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yer\Downloads\Financials Jan 2026\"/>
    </mc:Choice>
  </mc:AlternateContent>
  <xr:revisionPtr revIDLastSave="0" documentId="8_{77051B56-1940-41AC-8E6B-8127675A33FB}" xr6:coauthVersionLast="47" xr6:coauthVersionMax="47" xr10:uidLastSave="{00000000-0000-0000-0000-000000000000}"/>
  <bookViews>
    <workbookView xWindow="-98" yWindow="-98" windowWidth="19396" windowHeight="11475" xr2:uid="{50BC02C3-2001-4787-9571-F36073726E9A}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STATS'!$A$1:$M$130</definedName>
    <definedName name="_xlnm.Print_Area" localSheetId="4">'SLOT STATS'!$A$1:$I$131</definedName>
    <definedName name="_xlnm.Print_Area" localSheetId="2">'TABLE STATS'!$A$1:$H$130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9" i="4" l="1"/>
  <c r="D129" i="4"/>
  <c r="C129" i="4"/>
  <c r="F123" i="4"/>
  <c r="G123" i="4"/>
  <c r="H123" i="4"/>
  <c r="F114" i="4"/>
  <c r="G114" i="4"/>
  <c r="H114" i="4"/>
  <c r="F105" i="4"/>
  <c r="G105" i="4"/>
  <c r="H105" i="4"/>
  <c r="F96" i="4"/>
  <c r="G96" i="4"/>
  <c r="H96" i="4"/>
  <c r="F87" i="4"/>
  <c r="G87" i="4"/>
  <c r="H87" i="4"/>
  <c r="F78" i="4"/>
  <c r="G78" i="4"/>
  <c r="H78" i="4"/>
  <c r="F69" i="4"/>
  <c r="G69" i="4"/>
  <c r="H69" i="4"/>
  <c r="F60" i="4"/>
  <c r="G60" i="4"/>
  <c r="H60" i="4"/>
  <c r="F51" i="4"/>
  <c r="G51" i="4"/>
  <c r="H51" i="4"/>
  <c r="F42" i="4"/>
  <c r="G42" i="4"/>
  <c r="H42" i="4"/>
  <c r="F33" i="4"/>
  <c r="G33" i="4"/>
  <c r="H33" i="4"/>
  <c r="F24" i="4"/>
  <c r="G24" i="4"/>
  <c r="H24" i="4"/>
  <c r="F15" i="4"/>
  <c r="G15" i="4"/>
  <c r="H15" i="4"/>
  <c r="B123" i="4"/>
  <c r="B114" i="4"/>
  <c r="B105" i="4"/>
  <c r="B96" i="4"/>
  <c r="B87" i="4"/>
  <c r="B78" i="4"/>
  <c r="B69" i="4"/>
  <c r="B60" i="4"/>
  <c r="B51" i="4"/>
  <c r="B42" i="4"/>
  <c r="B33" i="4"/>
  <c r="B24" i="4"/>
  <c r="B15" i="4"/>
  <c r="E129" i="5"/>
  <c r="D129" i="5"/>
  <c r="C129" i="5"/>
  <c r="F123" i="5"/>
  <c r="F122" i="5"/>
  <c r="G123" i="5"/>
  <c r="H123" i="5"/>
  <c r="B123" i="5"/>
  <c r="B114" i="5"/>
  <c r="B105" i="5"/>
  <c r="B96" i="5"/>
  <c r="B87" i="5"/>
  <c r="B78" i="5"/>
  <c r="B69" i="5"/>
  <c r="B60" i="5"/>
  <c r="B51" i="5"/>
  <c r="B42" i="5"/>
  <c r="B33" i="5"/>
  <c r="B24" i="5"/>
  <c r="B15" i="5"/>
  <c r="E128" i="3"/>
  <c r="D128" i="3"/>
  <c r="C128" i="3"/>
  <c r="F122" i="3"/>
  <c r="G122" i="3"/>
  <c r="F113" i="3"/>
  <c r="G113" i="3"/>
  <c r="F95" i="3"/>
  <c r="G95" i="3"/>
  <c r="F86" i="3"/>
  <c r="G86" i="3"/>
  <c r="F77" i="3"/>
  <c r="G77" i="3"/>
  <c r="F68" i="3"/>
  <c r="G68" i="3"/>
  <c r="F59" i="3"/>
  <c r="G59" i="3"/>
  <c r="F50" i="3"/>
  <c r="G50" i="3"/>
  <c r="F41" i="3"/>
  <c r="G41" i="3"/>
  <c r="F32" i="3"/>
  <c r="G32" i="3"/>
  <c r="F23" i="3"/>
  <c r="G23" i="3"/>
  <c r="F14" i="3"/>
  <c r="G14" i="3"/>
  <c r="B122" i="3"/>
  <c r="B113" i="3"/>
  <c r="B104" i="3"/>
  <c r="B95" i="3"/>
  <c r="B86" i="3"/>
  <c r="B77" i="3"/>
  <c r="B68" i="3"/>
  <c r="B59" i="3"/>
  <c r="B50" i="3"/>
  <c r="B41" i="3"/>
  <c r="B32" i="3"/>
  <c r="B23" i="3"/>
  <c r="B14" i="3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O3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O15" i="2"/>
  <c r="A36" i="2"/>
  <c r="A15" i="2"/>
  <c r="F22" i="1"/>
  <c r="F58" i="1"/>
  <c r="F67" i="1"/>
  <c r="L128" i="1"/>
  <c r="K128" i="1"/>
  <c r="G128" i="1"/>
  <c r="F128" i="1"/>
  <c r="D128" i="1"/>
  <c r="E128" i="1"/>
  <c r="C128" i="1"/>
  <c r="H122" i="1"/>
  <c r="M122" i="1"/>
  <c r="I122" i="1"/>
  <c r="J122" i="1"/>
  <c r="G122" i="1"/>
  <c r="F122" i="1"/>
  <c r="E122" i="1"/>
  <c r="H113" i="1"/>
  <c r="M113" i="1"/>
  <c r="I113" i="1"/>
  <c r="J113" i="1"/>
  <c r="G113" i="1"/>
  <c r="F113" i="1"/>
  <c r="E113" i="1"/>
  <c r="H104" i="1"/>
  <c r="M104" i="1"/>
  <c r="I104" i="1"/>
  <c r="J104" i="1"/>
  <c r="G104" i="1"/>
  <c r="F104" i="1"/>
  <c r="E104" i="1"/>
  <c r="H95" i="1"/>
  <c r="M95" i="1"/>
  <c r="I95" i="1"/>
  <c r="J95" i="1"/>
  <c r="G95" i="1"/>
  <c r="F95" i="1"/>
  <c r="E95" i="1"/>
  <c r="H86" i="1"/>
  <c r="M86" i="1"/>
  <c r="I86" i="1"/>
  <c r="J86" i="1"/>
  <c r="G86" i="1"/>
  <c r="F86" i="1"/>
  <c r="E86" i="1"/>
  <c r="H77" i="1"/>
  <c r="M77" i="1"/>
  <c r="I77" i="1"/>
  <c r="J77" i="1"/>
  <c r="G77" i="1"/>
  <c r="F77" i="1"/>
  <c r="E77" i="1"/>
  <c r="H68" i="1"/>
  <c r="M68" i="1"/>
  <c r="I68" i="1"/>
  <c r="J68" i="1"/>
  <c r="G68" i="1"/>
  <c r="F68" i="1"/>
  <c r="E68" i="1"/>
  <c r="H59" i="1"/>
  <c r="M59" i="1"/>
  <c r="I59" i="1"/>
  <c r="J59" i="1"/>
  <c r="G59" i="1"/>
  <c r="F59" i="1"/>
  <c r="E59" i="1"/>
  <c r="H50" i="1"/>
  <c r="M50" i="1"/>
  <c r="I50" i="1"/>
  <c r="J50" i="1"/>
  <c r="G50" i="1"/>
  <c r="F50" i="1"/>
  <c r="E50" i="1"/>
  <c r="H41" i="1"/>
  <c r="M41" i="1"/>
  <c r="I41" i="1"/>
  <c r="J41" i="1"/>
  <c r="G41" i="1"/>
  <c r="F41" i="1"/>
  <c r="E41" i="1"/>
  <c r="H32" i="1"/>
  <c r="M32" i="1"/>
  <c r="I32" i="1"/>
  <c r="J32" i="1"/>
  <c r="G32" i="1"/>
  <c r="F32" i="1"/>
  <c r="E32" i="1"/>
  <c r="H23" i="1"/>
  <c r="M23" i="1"/>
  <c r="I23" i="1"/>
  <c r="J23" i="1"/>
  <c r="G23" i="1"/>
  <c r="F23" i="1"/>
  <c r="E23" i="1"/>
  <c r="H14" i="1"/>
  <c r="M14" i="1"/>
  <c r="I14" i="1"/>
  <c r="J14" i="1"/>
  <c r="G14" i="1"/>
  <c r="F14" i="1"/>
  <c r="E14" i="1"/>
  <c r="B122" i="1"/>
  <c r="B113" i="1"/>
  <c r="B104" i="1"/>
  <c r="B95" i="1"/>
  <c r="B86" i="1"/>
  <c r="B77" i="1"/>
  <c r="B68" i="1"/>
  <c r="B59" i="1"/>
  <c r="B50" i="1"/>
  <c r="B41" i="1"/>
  <c r="B32" i="1"/>
  <c r="B23" i="1"/>
  <c r="B14" i="1"/>
  <c r="F122" i="4"/>
  <c r="G122" i="4"/>
  <c r="H122" i="4"/>
  <c r="F113" i="4"/>
  <c r="G113" i="4"/>
  <c r="H113" i="4"/>
  <c r="F104" i="4"/>
  <c r="G104" i="4"/>
  <c r="H104" i="4"/>
  <c r="F95" i="4"/>
  <c r="G95" i="4"/>
  <c r="H95" i="4"/>
  <c r="F86" i="4"/>
  <c r="G86" i="4"/>
  <c r="H86" i="4"/>
  <c r="F77" i="4"/>
  <c r="G77" i="4"/>
  <c r="H77" i="4"/>
  <c r="F68" i="4"/>
  <c r="G68" i="4"/>
  <c r="H68" i="4"/>
  <c r="F59" i="4"/>
  <c r="G59" i="4"/>
  <c r="H59" i="4"/>
  <c r="F50" i="4"/>
  <c r="G50" i="4"/>
  <c r="H50" i="4"/>
  <c r="F41" i="4"/>
  <c r="G41" i="4"/>
  <c r="H41" i="4"/>
  <c r="F32" i="4"/>
  <c r="G32" i="4"/>
  <c r="H32" i="4"/>
  <c r="F23" i="4"/>
  <c r="G23" i="4"/>
  <c r="H23" i="4"/>
  <c r="F14" i="4"/>
  <c r="G14" i="4"/>
  <c r="H14" i="4"/>
  <c r="B122" i="4"/>
  <c r="B113" i="4"/>
  <c r="B104" i="4"/>
  <c r="B95" i="4"/>
  <c r="B86" i="4"/>
  <c r="B77" i="4"/>
  <c r="B68" i="4"/>
  <c r="B59" i="4"/>
  <c r="B50" i="4"/>
  <c r="B41" i="4"/>
  <c r="B32" i="4"/>
  <c r="B23" i="4"/>
  <c r="B14" i="4"/>
  <c r="G122" i="5"/>
  <c r="H122" i="5"/>
  <c r="B122" i="5"/>
  <c r="B113" i="5"/>
  <c r="B104" i="5"/>
  <c r="B95" i="5"/>
  <c r="B86" i="5"/>
  <c r="B77" i="5"/>
  <c r="B68" i="5"/>
  <c r="B59" i="5"/>
  <c r="B50" i="5"/>
  <c r="B41" i="5"/>
  <c r="B32" i="5"/>
  <c r="B23" i="5"/>
  <c r="B14" i="5"/>
  <c r="F121" i="3"/>
  <c r="G121" i="3"/>
  <c r="F112" i="3"/>
  <c r="G112" i="3"/>
  <c r="F94" i="3"/>
  <c r="G94" i="3"/>
  <c r="F85" i="3"/>
  <c r="G85" i="3"/>
  <c r="F76" i="3"/>
  <c r="G76" i="3"/>
  <c r="F67" i="3"/>
  <c r="G67" i="3"/>
  <c r="F58" i="3"/>
  <c r="G58" i="3"/>
  <c r="F49" i="3"/>
  <c r="G49" i="3"/>
  <c r="F40" i="3"/>
  <c r="G40" i="3"/>
  <c r="F31" i="3"/>
  <c r="G31" i="3"/>
  <c r="F22" i="3"/>
  <c r="G22" i="3"/>
  <c r="F13" i="3"/>
  <c r="G13" i="3"/>
  <c r="B121" i="3"/>
  <c r="B112" i="3"/>
  <c r="B103" i="3"/>
  <c r="B94" i="3"/>
  <c r="B85" i="3"/>
  <c r="B76" i="3"/>
  <c r="B67" i="3"/>
  <c r="B58" i="3"/>
  <c r="B49" i="3"/>
  <c r="B40" i="3"/>
  <c r="B31" i="3"/>
  <c r="B22" i="3"/>
  <c r="B13" i="3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F21" i="1"/>
  <c r="J21" i="1"/>
  <c r="F39" i="1"/>
  <c r="J39" i="1"/>
  <c r="F66" i="1"/>
  <c r="J66" i="1"/>
  <c r="F84" i="1"/>
  <c r="F93" i="1"/>
  <c r="J93" i="1"/>
  <c r="F120" i="1"/>
  <c r="M121" i="1"/>
  <c r="I121" i="1"/>
  <c r="J121" i="1"/>
  <c r="G121" i="1"/>
  <c r="F121" i="1"/>
  <c r="E121" i="1"/>
  <c r="M112" i="1"/>
  <c r="I112" i="1"/>
  <c r="G112" i="1"/>
  <c r="F112" i="1"/>
  <c r="E112" i="1"/>
  <c r="M103" i="1"/>
  <c r="I103" i="1"/>
  <c r="G103" i="1"/>
  <c r="F103" i="1"/>
  <c r="H103" i="1"/>
  <c r="E103" i="1"/>
  <c r="M94" i="1"/>
  <c r="I94" i="1"/>
  <c r="G94" i="1"/>
  <c r="F94" i="1"/>
  <c r="E94" i="1"/>
  <c r="M85" i="1"/>
  <c r="I85" i="1"/>
  <c r="G85" i="1"/>
  <c r="F85" i="1"/>
  <c r="H85" i="1"/>
  <c r="E85" i="1"/>
  <c r="M76" i="1"/>
  <c r="I76" i="1"/>
  <c r="G76" i="1"/>
  <c r="F76" i="1"/>
  <c r="E76" i="1"/>
  <c r="M67" i="1"/>
  <c r="I67" i="1"/>
  <c r="G67" i="1"/>
  <c r="E67" i="1"/>
  <c r="M58" i="1"/>
  <c r="I58" i="1"/>
  <c r="G58" i="1"/>
  <c r="E58" i="1"/>
  <c r="M49" i="1"/>
  <c r="I49" i="1"/>
  <c r="G49" i="1"/>
  <c r="F49" i="1"/>
  <c r="E49" i="1"/>
  <c r="M40" i="1"/>
  <c r="I40" i="1"/>
  <c r="G40" i="1"/>
  <c r="F40" i="1"/>
  <c r="E40" i="1"/>
  <c r="M31" i="1"/>
  <c r="I31" i="1"/>
  <c r="G31" i="1"/>
  <c r="F31" i="1"/>
  <c r="E31" i="1"/>
  <c r="M22" i="1"/>
  <c r="I22" i="1"/>
  <c r="G22" i="1"/>
  <c r="E22" i="1"/>
  <c r="M13" i="1"/>
  <c r="I13" i="1"/>
  <c r="G13" i="1"/>
  <c r="F13" i="1"/>
  <c r="E13" i="1"/>
  <c r="B121" i="1"/>
  <c r="B112" i="1"/>
  <c r="B103" i="1"/>
  <c r="B94" i="1"/>
  <c r="B85" i="1"/>
  <c r="B76" i="1"/>
  <c r="B67" i="1"/>
  <c r="B58" i="1"/>
  <c r="B49" i="1"/>
  <c r="B40" i="1"/>
  <c r="B31" i="1"/>
  <c r="B22" i="1"/>
  <c r="B13" i="1"/>
  <c r="F121" i="4"/>
  <c r="G121" i="4"/>
  <c r="H121" i="4"/>
  <c r="F112" i="4"/>
  <c r="G112" i="4"/>
  <c r="H112" i="4"/>
  <c r="F103" i="4"/>
  <c r="G103" i="4"/>
  <c r="H103" i="4"/>
  <c r="F94" i="4"/>
  <c r="G94" i="4"/>
  <c r="H94" i="4"/>
  <c r="F85" i="4"/>
  <c r="G85" i="4"/>
  <c r="H85" i="4"/>
  <c r="F76" i="4"/>
  <c r="G76" i="4"/>
  <c r="H76" i="4"/>
  <c r="F67" i="4"/>
  <c r="G67" i="4"/>
  <c r="H67" i="4"/>
  <c r="F58" i="4"/>
  <c r="G58" i="4"/>
  <c r="H58" i="4"/>
  <c r="F49" i="4"/>
  <c r="G49" i="4"/>
  <c r="H49" i="4"/>
  <c r="F40" i="4"/>
  <c r="G40" i="4"/>
  <c r="H40" i="4"/>
  <c r="F31" i="4"/>
  <c r="G31" i="4"/>
  <c r="H31" i="4"/>
  <c r="F22" i="4"/>
  <c r="G22" i="4"/>
  <c r="H22" i="4"/>
  <c r="G13" i="4"/>
  <c r="H13" i="4"/>
  <c r="F13" i="4"/>
  <c r="B121" i="4"/>
  <c r="B112" i="4"/>
  <c r="B103" i="4"/>
  <c r="B94" i="4"/>
  <c r="B85" i="4"/>
  <c r="B76" i="4"/>
  <c r="B67" i="4"/>
  <c r="B58" i="4"/>
  <c r="B49" i="4"/>
  <c r="B40" i="4"/>
  <c r="B31" i="4"/>
  <c r="B22" i="4"/>
  <c r="B13" i="4"/>
  <c r="G121" i="5"/>
  <c r="H121" i="5"/>
  <c r="F121" i="5"/>
  <c r="B121" i="5"/>
  <c r="B112" i="5"/>
  <c r="B103" i="5"/>
  <c r="B94" i="5"/>
  <c r="B85" i="5"/>
  <c r="B76" i="5"/>
  <c r="B67" i="5"/>
  <c r="B58" i="5"/>
  <c r="B49" i="5"/>
  <c r="B40" i="5"/>
  <c r="B31" i="5"/>
  <c r="B22" i="5"/>
  <c r="B13" i="5"/>
  <c r="F120" i="3"/>
  <c r="G120" i="3"/>
  <c r="G111" i="3"/>
  <c r="F111" i="3"/>
  <c r="F93" i="3"/>
  <c r="G93" i="3"/>
  <c r="F84" i="3"/>
  <c r="G84" i="3"/>
  <c r="F75" i="3"/>
  <c r="G75" i="3"/>
  <c r="F66" i="3"/>
  <c r="G66" i="3"/>
  <c r="F57" i="3"/>
  <c r="G57" i="3"/>
  <c r="F48" i="3"/>
  <c r="G48" i="3"/>
  <c r="F39" i="3"/>
  <c r="G39" i="3"/>
  <c r="F30" i="3"/>
  <c r="G30" i="3"/>
  <c r="F21" i="3"/>
  <c r="G21" i="3"/>
  <c r="G12" i="3"/>
  <c r="F12" i="3"/>
  <c r="B120" i="3"/>
  <c r="B111" i="3"/>
  <c r="B102" i="3"/>
  <c r="B93" i="3"/>
  <c r="B84" i="3"/>
  <c r="B75" i="3"/>
  <c r="B66" i="3"/>
  <c r="B57" i="3"/>
  <c r="B48" i="3"/>
  <c r="B39" i="3"/>
  <c r="B30" i="3"/>
  <c r="B21" i="3"/>
  <c r="B12" i="3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34" i="2"/>
  <c r="A13" i="2"/>
  <c r="F65" i="1"/>
  <c r="F20" i="1"/>
  <c r="J20" i="1"/>
  <c r="F38" i="1"/>
  <c r="J38" i="1"/>
  <c r="L39" i="1"/>
  <c r="M39" i="1"/>
  <c r="M120" i="1"/>
  <c r="I120" i="1"/>
  <c r="G120" i="1"/>
  <c r="E120" i="1"/>
  <c r="M111" i="1"/>
  <c r="I111" i="1"/>
  <c r="G111" i="1"/>
  <c r="F111" i="1"/>
  <c r="J111" i="1"/>
  <c r="E111" i="1"/>
  <c r="G102" i="1"/>
  <c r="M102" i="1"/>
  <c r="I102" i="1"/>
  <c r="F102" i="1"/>
  <c r="E102" i="1"/>
  <c r="M93" i="1"/>
  <c r="I93" i="1"/>
  <c r="G93" i="1"/>
  <c r="E93" i="1"/>
  <c r="M84" i="1"/>
  <c r="I84" i="1"/>
  <c r="G84" i="1"/>
  <c r="E84" i="1"/>
  <c r="M75" i="1"/>
  <c r="I75" i="1"/>
  <c r="G75" i="1"/>
  <c r="H75" i="1"/>
  <c r="F75" i="1"/>
  <c r="J75" i="1"/>
  <c r="E75" i="1"/>
  <c r="M66" i="1"/>
  <c r="I66" i="1"/>
  <c r="G66" i="1"/>
  <c r="E66" i="1"/>
  <c r="M57" i="1"/>
  <c r="I57" i="1"/>
  <c r="G57" i="1"/>
  <c r="F57" i="1"/>
  <c r="J57" i="1"/>
  <c r="E57" i="1"/>
  <c r="M48" i="1"/>
  <c r="I48" i="1"/>
  <c r="G48" i="1"/>
  <c r="F48" i="1"/>
  <c r="E48" i="1"/>
  <c r="I39" i="1"/>
  <c r="G39" i="1"/>
  <c r="E39" i="1"/>
  <c r="M30" i="1"/>
  <c r="I30" i="1"/>
  <c r="G30" i="1"/>
  <c r="F30" i="1"/>
  <c r="E30" i="1"/>
  <c r="M21" i="1"/>
  <c r="I21" i="1"/>
  <c r="G21" i="1"/>
  <c r="H21" i="1"/>
  <c r="E21" i="1"/>
  <c r="M12" i="1"/>
  <c r="I12" i="1"/>
  <c r="E12" i="1"/>
  <c r="G12" i="1"/>
  <c r="F12" i="1"/>
  <c r="B120" i="1"/>
  <c r="B111" i="1"/>
  <c r="B102" i="1"/>
  <c r="B93" i="1"/>
  <c r="B84" i="1"/>
  <c r="B75" i="1"/>
  <c r="B66" i="1"/>
  <c r="B57" i="1"/>
  <c r="B48" i="1"/>
  <c r="B39" i="1"/>
  <c r="B30" i="1"/>
  <c r="B21" i="1"/>
  <c r="B12" i="1"/>
  <c r="G12" i="4"/>
  <c r="H12" i="4"/>
  <c r="F12" i="4"/>
  <c r="G21" i="4"/>
  <c r="H21" i="4"/>
  <c r="F21" i="4"/>
  <c r="G30" i="4"/>
  <c r="H30" i="4"/>
  <c r="F30" i="4"/>
  <c r="G39" i="4"/>
  <c r="H39" i="4"/>
  <c r="F39" i="4"/>
  <c r="G48" i="4"/>
  <c r="H48" i="4"/>
  <c r="F48" i="4"/>
  <c r="G57" i="4"/>
  <c r="H57" i="4"/>
  <c r="F57" i="4"/>
  <c r="G66" i="4"/>
  <c r="H66" i="4"/>
  <c r="F66" i="4"/>
  <c r="G75" i="4"/>
  <c r="H75" i="4"/>
  <c r="F75" i="4"/>
  <c r="G84" i="4"/>
  <c r="H84" i="4"/>
  <c r="F84" i="4"/>
  <c r="G93" i="4"/>
  <c r="H93" i="4"/>
  <c r="F93" i="4"/>
  <c r="G102" i="4"/>
  <c r="H102" i="4"/>
  <c r="F102" i="4"/>
  <c r="G111" i="4"/>
  <c r="H111" i="4"/>
  <c r="F111" i="4"/>
  <c r="G120" i="4"/>
  <c r="H120" i="4"/>
  <c r="F120" i="4"/>
  <c r="B120" i="4"/>
  <c r="B111" i="4"/>
  <c r="B102" i="4"/>
  <c r="B93" i="4"/>
  <c r="B84" i="4"/>
  <c r="B75" i="4"/>
  <c r="B66" i="4"/>
  <c r="B57" i="4"/>
  <c r="B48" i="4"/>
  <c r="B39" i="4"/>
  <c r="B30" i="4"/>
  <c r="B21" i="4"/>
  <c r="B12" i="4"/>
  <c r="G120" i="5"/>
  <c r="H120" i="5"/>
  <c r="B120" i="5"/>
  <c r="B111" i="5"/>
  <c r="B102" i="5"/>
  <c r="B93" i="5"/>
  <c r="B84" i="5"/>
  <c r="B75" i="5"/>
  <c r="B66" i="5"/>
  <c r="B57" i="5"/>
  <c r="B48" i="5"/>
  <c r="B39" i="5"/>
  <c r="B30" i="5"/>
  <c r="B21" i="5"/>
  <c r="B12" i="5"/>
  <c r="G11" i="3"/>
  <c r="F11" i="3"/>
  <c r="G20" i="3"/>
  <c r="F20" i="3"/>
  <c r="G29" i="3"/>
  <c r="F29" i="3"/>
  <c r="G38" i="3"/>
  <c r="F38" i="3"/>
  <c r="G47" i="3"/>
  <c r="F47" i="3"/>
  <c r="G56" i="3"/>
  <c r="F56" i="3"/>
  <c r="G65" i="3"/>
  <c r="F65" i="3"/>
  <c r="G74" i="3"/>
  <c r="F74" i="3"/>
  <c r="G83" i="3"/>
  <c r="F83" i="3"/>
  <c r="G92" i="3"/>
  <c r="F92" i="3"/>
  <c r="G110" i="3"/>
  <c r="F110" i="3"/>
  <c r="G119" i="3"/>
  <c r="F119" i="3"/>
  <c r="D88" i="3"/>
  <c r="B119" i="3"/>
  <c r="B110" i="3"/>
  <c r="B101" i="3"/>
  <c r="B92" i="3"/>
  <c r="B83" i="3"/>
  <c r="B74" i="3"/>
  <c r="B65" i="3"/>
  <c r="B56" i="3"/>
  <c r="B47" i="3"/>
  <c r="B38" i="3"/>
  <c r="B29" i="3"/>
  <c r="B20" i="3"/>
  <c r="B11" i="3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33" i="2"/>
  <c r="A12" i="2"/>
  <c r="F64" i="1"/>
  <c r="J64" i="1"/>
  <c r="F109" i="1"/>
  <c r="M119" i="1"/>
  <c r="I119" i="1"/>
  <c r="E119" i="1"/>
  <c r="M110" i="1"/>
  <c r="I110" i="1"/>
  <c r="E110" i="1"/>
  <c r="G110" i="1"/>
  <c r="F110" i="1"/>
  <c r="G119" i="1"/>
  <c r="F119" i="1"/>
  <c r="J119" i="1"/>
  <c r="M101" i="1"/>
  <c r="I101" i="1"/>
  <c r="E101" i="1"/>
  <c r="G101" i="1"/>
  <c r="F101" i="1"/>
  <c r="J101" i="1"/>
  <c r="M92" i="1"/>
  <c r="I92" i="1"/>
  <c r="E92" i="1"/>
  <c r="G92" i="1"/>
  <c r="F92" i="1"/>
  <c r="J92" i="1"/>
  <c r="M83" i="1"/>
  <c r="I83" i="1"/>
  <c r="E83" i="1"/>
  <c r="G83" i="1"/>
  <c r="F83" i="1"/>
  <c r="M74" i="1"/>
  <c r="I74" i="1"/>
  <c r="E74" i="1"/>
  <c r="G74" i="1"/>
  <c r="F74" i="1"/>
  <c r="J74" i="1"/>
  <c r="M65" i="1"/>
  <c r="I65" i="1"/>
  <c r="E65" i="1"/>
  <c r="G65" i="1"/>
  <c r="M56" i="1"/>
  <c r="I56" i="1"/>
  <c r="E56" i="1"/>
  <c r="G56" i="1"/>
  <c r="F56" i="1"/>
  <c r="J56" i="1"/>
  <c r="M47" i="1"/>
  <c r="I47" i="1"/>
  <c r="E47" i="1"/>
  <c r="G47" i="1"/>
  <c r="F47" i="1"/>
  <c r="J47" i="1"/>
  <c r="I38" i="1"/>
  <c r="E38" i="1"/>
  <c r="L38" i="1"/>
  <c r="G38" i="1"/>
  <c r="M29" i="1"/>
  <c r="I29" i="1"/>
  <c r="E29" i="1"/>
  <c r="G29" i="1"/>
  <c r="F29" i="1"/>
  <c r="M20" i="1"/>
  <c r="I20" i="1"/>
  <c r="E20" i="1"/>
  <c r="G20" i="1"/>
  <c r="M11" i="1"/>
  <c r="I11" i="1"/>
  <c r="E11" i="1"/>
  <c r="G11" i="1"/>
  <c r="F11" i="1"/>
  <c r="B119" i="1"/>
  <c r="B110" i="1"/>
  <c r="B101" i="1"/>
  <c r="B92" i="1"/>
  <c r="B83" i="1"/>
  <c r="B74" i="1"/>
  <c r="B65" i="1"/>
  <c r="B56" i="1"/>
  <c r="B47" i="1"/>
  <c r="B38" i="1"/>
  <c r="B29" i="1"/>
  <c r="B20" i="1"/>
  <c r="B11" i="1"/>
  <c r="G119" i="4"/>
  <c r="H119" i="4"/>
  <c r="F119" i="4"/>
  <c r="G110" i="4"/>
  <c r="H110" i="4"/>
  <c r="F110" i="4"/>
  <c r="G101" i="4"/>
  <c r="H101" i="4"/>
  <c r="F101" i="4"/>
  <c r="G92" i="4"/>
  <c r="H92" i="4"/>
  <c r="F92" i="4"/>
  <c r="G83" i="4"/>
  <c r="H83" i="4"/>
  <c r="F83" i="4"/>
  <c r="G74" i="4"/>
  <c r="H74" i="4"/>
  <c r="F74" i="4"/>
  <c r="G65" i="4"/>
  <c r="H65" i="4"/>
  <c r="F65" i="4"/>
  <c r="G56" i="4"/>
  <c r="H56" i="4"/>
  <c r="F56" i="4"/>
  <c r="G47" i="4"/>
  <c r="H47" i="4"/>
  <c r="F47" i="4"/>
  <c r="G38" i="4"/>
  <c r="H38" i="4"/>
  <c r="F38" i="4"/>
  <c r="G29" i="4"/>
  <c r="H29" i="4"/>
  <c r="F29" i="4"/>
  <c r="G20" i="4"/>
  <c r="H20" i="4"/>
  <c r="F20" i="4"/>
  <c r="G11" i="4"/>
  <c r="H11" i="4"/>
  <c r="F11" i="4"/>
  <c r="B119" i="4"/>
  <c r="B110" i="4"/>
  <c r="B101" i="4"/>
  <c r="B92" i="4"/>
  <c r="B83" i="4"/>
  <c r="B74" i="4"/>
  <c r="B65" i="4"/>
  <c r="B56" i="4"/>
  <c r="B47" i="4"/>
  <c r="B38" i="4"/>
  <c r="B29" i="4"/>
  <c r="B20" i="4"/>
  <c r="B11" i="4"/>
  <c r="G119" i="5"/>
  <c r="H119" i="5"/>
  <c r="B119" i="5"/>
  <c r="B110" i="5"/>
  <c r="B101" i="5"/>
  <c r="B92" i="5"/>
  <c r="B83" i="5"/>
  <c r="B74" i="5"/>
  <c r="B65" i="5"/>
  <c r="B56" i="5"/>
  <c r="B47" i="5"/>
  <c r="B38" i="5"/>
  <c r="B29" i="5"/>
  <c r="B20" i="5"/>
  <c r="B11" i="5"/>
  <c r="G118" i="3"/>
  <c r="F118" i="3"/>
  <c r="G109" i="3"/>
  <c r="F109" i="3"/>
  <c r="G91" i="3"/>
  <c r="F91" i="3"/>
  <c r="G82" i="3"/>
  <c r="F82" i="3"/>
  <c r="G73" i="3"/>
  <c r="F73" i="3"/>
  <c r="G64" i="3"/>
  <c r="F64" i="3"/>
  <c r="G55" i="3"/>
  <c r="F55" i="3"/>
  <c r="G46" i="3"/>
  <c r="F46" i="3"/>
  <c r="G37" i="3"/>
  <c r="F37" i="3"/>
  <c r="G28" i="3"/>
  <c r="F28" i="3"/>
  <c r="G19" i="3"/>
  <c r="F19" i="3"/>
  <c r="G10" i="3"/>
  <c r="F10" i="3"/>
  <c r="B118" i="3"/>
  <c r="B109" i="3"/>
  <c r="B100" i="3"/>
  <c r="B91" i="3"/>
  <c r="B82" i="3"/>
  <c r="B73" i="3"/>
  <c r="B64" i="3"/>
  <c r="B55" i="3"/>
  <c r="B46" i="3"/>
  <c r="B37" i="3"/>
  <c r="B28" i="3"/>
  <c r="B19" i="3"/>
  <c r="B10" i="3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32" i="2"/>
  <c r="A11" i="2"/>
  <c r="F108" i="1"/>
  <c r="J108" i="1"/>
  <c r="F45" i="1"/>
  <c r="J45" i="1"/>
  <c r="F27" i="1"/>
  <c r="J27" i="1"/>
  <c r="M118" i="1"/>
  <c r="I118" i="1"/>
  <c r="E118" i="1"/>
  <c r="G118" i="1"/>
  <c r="F118" i="1"/>
  <c r="J118" i="1"/>
  <c r="M109" i="1"/>
  <c r="I109" i="1"/>
  <c r="E109" i="1"/>
  <c r="G109" i="1"/>
  <c r="M100" i="1"/>
  <c r="I100" i="1"/>
  <c r="E100" i="1"/>
  <c r="G100" i="1"/>
  <c r="F100" i="1"/>
  <c r="J100" i="1"/>
  <c r="M91" i="1"/>
  <c r="I91" i="1"/>
  <c r="E91" i="1"/>
  <c r="G91" i="1"/>
  <c r="F91" i="1"/>
  <c r="M82" i="1"/>
  <c r="I82" i="1"/>
  <c r="E82" i="1"/>
  <c r="G82" i="1"/>
  <c r="F82" i="1"/>
  <c r="M73" i="1"/>
  <c r="M72" i="1"/>
  <c r="I73" i="1"/>
  <c r="E73" i="1"/>
  <c r="G73" i="1"/>
  <c r="F73" i="1"/>
  <c r="J73" i="1"/>
  <c r="M64" i="1"/>
  <c r="I64" i="1"/>
  <c r="E64" i="1"/>
  <c r="G64" i="1"/>
  <c r="M55" i="1"/>
  <c r="I55" i="1"/>
  <c r="E55" i="1"/>
  <c r="G55" i="1"/>
  <c r="F55" i="1"/>
  <c r="J55" i="1"/>
  <c r="M46" i="1"/>
  <c r="I46" i="1"/>
  <c r="E46" i="1"/>
  <c r="G46" i="1"/>
  <c r="F46" i="1"/>
  <c r="J46" i="1"/>
  <c r="M37" i="1"/>
  <c r="I37" i="1"/>
  <c r="E37" i="1"/>
  <c r="G37" i="1"/>
  <c r="F37" i="1"/>
  <c r="M28" i="1"/>
  <c r="I28" i="1"/>
  <c r="E28" i="1"/>
  <c r="G28" i="1"/>
  <c r="F28" i="1"/>
  <c r="M19" i="1"/>
  <c r="I19" i="1"/>
  <c r="E19" i="1"/>
  <c r="G19" i="1"/>
  <c r="F19" i="1"/>
  <c r="M10" i="1"/>
  <c r="I10" i="1"/>
  <c r="E10" i="1"/>
  <c r="G10" i="1"/>
  <c r="F10" i="1"/>
  <c r="J10" i="1"/>
  <c r="B118" i="1"/>
  <c r="B109" i="1"/>
  <c r="B100" i="1"/>
  <c r="B91" i="1"/>
  <c r="B82" i="1"/>
  <c r="B73" i="1"/>
  <c r="B64" i="1"/>
  <c r="B55" i="1"/>
  <c r="B46" i="1"/>
  <c r="B37" i="1"/>
  <c r="B28" i="1"/>
  <c r="B19" i="1"/>
  <c r="B10" i="1"/>
  <c r="B118" i="4"/>
  <c r="B109" i="4"/>
  <c r="B100" i="4"/>
  <c r="B91" i="4"/>
  <c r="B82" i="4"/>
  <c r="B73" i="4"/>
  <c r="B64" i="4"/>
  <c r="B55" i="4"/>
  <c r="B46" i="4"/>
  <c r="B37" i="4"/>
  <c r="B28" i="4"/>
  <c r="B19" i="4"/>
  <c r="B10" i="4"/>
  <c r="G118" i="5"/>
  <c r="H118" i="5"/>
  <c r="B118" i="5"/>
  <c r="B109" i="5"/>
  <c r="B100" i="5"/>
  <c r="B91" i="5"/>
  <c r="B82" i="5"/>
  <c r="B73" i="5"/>
  <c r="B64" i="5"/>
  <c r="B55" i="5"/>
  <c r="B46" i="5"/>
  <c r="B37" i="5"/>
  <c r="B28" i="5"/>
  <c r="B19" i="5"/>
  <c r="B10" i="5"/>
  <c r="B117" i="3"/>
  <c r="B108" i="3"/>
  <c r="B99" i="3"/>
  <c r="B90" i="3"/>
  <c r="B81" i="3"/>
  <c r="B72" i="3"/>
  <c r="B63" i="3"/>
  <c r="B54" i="3"/>
  <c r="B45" i="3"/>
  <c r="B36" i="3"/>
  <c r="B27" i="3"/>
  <c r="B18" i="3"/>
  <c r="B9" i="3"/>
  <c r="A31" i="2"/>
  <c r="A10" i="2"/>
  <c r="G117" i="1"/>
  <c r="F117" i="1"/>
  <c r="J117" i="1"/>
  <c r="G108" i="1"/>
  <c r="E108" i="1"/>
  <c r="G99" i="1"/>
  <c r="F99" i="1"/>
  <c r="G90" i="1"/>
  <c r="F90" i="1"/>
  <c r="G81" i="1"/>
  <c r="F81" i="1"/>
  <c r="G72" i="1"/>
  <c r="F72" i="1"/>
  <c r="H72" i="1"/>
  <c r="G63" i="1"/>
  <c r="F63" i="1"/>
  <c r="J63" i="1"/>
  <c r="G54" i="1"/>
  <c r="F54" i="1"/>
  <c r="J54" i="1"/>
  <c r="G45" i="1"/>
  <c r="G36" i="1"/>
  <c r="F36" i="1"/>
  <c r="J36" i="1"/>
  <c r="G27" i="1"/>
  <c r="G18" i="1"/>
  <c r="F18" i="1"/>
  <c r="G9" i="1"/>
  <c r="F9" i="1"/>
  <c r="J9" i="1"/>
  <c r="B117" i="1"/>
  <c r="B108" i="1"/>
  <c r="B99" i="1"/>
  <c r="B90" i="1"/>
  <c r="B81" i="1"/>
  <c r="B72" i="1"/>
  <c r="B63" i="1"/>
  <c r="B54" i="1"/>
  <c r="B45" i="1"/>
  <c r="B36" i="1"/>
  <c r="B27" i="1"/>
  <c r="B18" i="1"/>
  <c r="B9" i="1"/>
  <c r="B10" i="2"/>
  <c r="E125" i="5"/>
  <c r="D125" i="5"/>
  <c r="F125" i="5"/>
  <c r="C125" i="5"/>
  <c r="E116" i="5"/>
  <c r="D116" i="5"/>
  <c r="C116" i="5"/>
  <c r="E107" i="5"/>
  <c r="D107" i="5"/>
  <c r="C107" i="5"/>
  <c r="E98" i="5"/>
  <c r="D98" i="5"/>
  <c r="C98" i="5"/>
  <c r="E89" i="5"/>
  <c r="D89" i="5"/>
  <c r="C89" i="5"/>
  <c r="E80" i="5"/>
  <c r="D80" i="5"/>
  <c r="C80" i="5"/>
  <c r="E71" i="5"/>
  <c r="D71" i="5"/>
  <c r="C71" i="5"/>
  <c r="E62" i="5"/>
  <c r="D62" i="5"/>
  <c r="C62" i="5"/>
  <c r="E53" i="5"/>
  <c r="D53" i="5"/>
  <c r="C53" i="5"/>
  <c r="E44" i="5"/>
  <c r="D44" i="5"/>
  <c r="C44" i="5"/>
  <c r="E35" i="5"/>
  <c r="D35" i="5"/>
  <c r="C35" i="5"/>
  <c r="E26" i="5"/>
  <c r="D26" i="5"/>
  <c r="C26" i="5"/>
  <c r="E17" i="5"/>
  <c r="D17" i="5"/>
  <c r="C17" i="5"/>
  <c r="F55" i="4"/>
  <c r="F54" i="3"/>
  <c r="M54" i="1"/>
  <c r="E54" i="1"/>
  <c r="F118" i="4"/>
  <c r="F117" i="3"/>
  <c r="G31" i="2"/>
  <c r="G10" i="2"/>
  <c r="M117" i="1"/>
  <c r="E117" i="1"/>
  <c r="E62" i="4"/>
  <c r="D62" i="4"/>
  <c r="C62" i="4"/>
  <c r="G62" i="4"/>
  <c r="H62" i="4"/>
  <c r="G55" i="4"/>
  <c r="H55" i="4"/>
  <c r="E61" i="3"/>
  <c r="D61" i="3"/>
  <c r="C61" i="3"/>
  <c r="G61" i="3"/>
  <c r="G54" i="3"/>
  <c r="L61" i="1"/>
  <c r="D61" i="1"/>
  <c r="C61" i="1"/>
  <c r="I54" i="1"/>
  <c r="G118" i="4"/>
  <c r="H118" i="4"/>
  <c r="G117" i="3"/>
  <c r="I117" i="1"/>
  <c r="D16" i="1"/>
  <c r="D25" i="1"/>
  <c r="D34" i="1"/>
  <c r="D43" i="1"/>
  <c r="D52" i="1"/>
  <c r="D70" i="1"/>
  <c r="D79" i="1"/>
  <c r="D88" i="1"/>
  <c r="D97" i="1"/>
  <c r="D106" i="1"/>
  <c r="D115" i="1"/>
  <c r="D124" i="1"/>
  <c r="C124" i="1"/>
  <c r="C125" i="4"/>
  <c r="D125" i="4"/>
  <c r="C124" i="3"/>
  <c r="D124" i="3"/>
  <c r="E17" i="4"/>
  <c r="E26" i="4"/>
  <c r="E35" i="4"/>
  <c r="E44" i="4"/>
  <c r="E53" i="4"/>
  <c r="E71" i="4"/>
  <c r="E80" i="4"/>
  <c r="E89" i="4"/>
  <c r="E98" i="4"/>
  <c r="E107" i="4"/>
  <c r="E116" i="4"/>
  <c r="E125" i="4"/>
  <c r="D17" i="4"/>
  <c r="D26" i="4"/>
  <c r="D35" i="4"/>
  <c r="D44" i="4"/>
  <c r="D53" i="4"/>
  <c r="D71" i="4"/>
  <c r="D80" i="4"/>
  <c r="D89" i="4"/>
  <c r="D98" i="4"/>
  <c r="D107" i="4"/>
  <c r="D116" i="4"/>
  <c r="C17" i="4"/>
  <c r="C26" i="4"/>
  <c r="C35" i="4"/>
  <c r="C44" i="4"/>
  <c r="C53" i="4"/>
  <c r="C71" i="4"/>
  <c r="C80" i="4"/>
  <c r="C89" i="4"/>
  <c r="C98" i="4"/>
  <c r="C107" i="4"/>
  <c r="C116" i="4"/>
  <c r="F91" i="4"/>
  <c r="E16" i="3"/>
  <c r="E25" i="3"/>
  <c r="E34" i="3"/>
  <c r="E43" i="3"/>
  <c r="E52" i="3"/>
  <c r="E70" i="3"/>
  <c r="F70" i="3"/>
  <c r="E79" i="3"/>
  <c r="E88" i="3"/>
  <c r="E97" i="3"/>
  <c r="E106" i="3"/>
  <c r="E115" i="3"/>
  <c r="E124" i="3"/>
  <c r="D16" i="3"/>
  <c r="D25" i="3"/>
  <c r="D34" i="3"/>
  <c r="D43" i="3"/>
  <c r="D52" i="3"/>
  <c r="D70" i="3"/>
  <c r="D79" i="3"/>
  <c r="D97" i="3"/>
  <c r="D106" i="3"/>
  <c r="D115" i="3"/>
  <c r="C16" i="3"/>
  <c r="C25" i="3"/>
  <c r="C34" i="3"/>
  <c r="C43" i="3"/>
  <c r="C52" i="3"/>
  <c r="C70" i="3"/>
  <c r="C79" i="3"/>
  <c r="C88" i="3"/>
  <c r="C97" i="3"/>
  <c r="C106" i="3"/>
  <c r="C115" i="3"/>
  <c r="F90" i="3"/>
  <c r="M90" i="1"/>
  <c r="E90" i="1"/>
  <c r="L16" i="1"/>
  <c r="L25" i="1"/>
  <c r="L34" i="1"/>
  <c r="L52" i="1"/>
  <c r="L70" i="1"/>
  <c r="L79" i="1"/>
  <c r="L88" i="1"/>
  <c r="L97" i="1"/>
  <c r="L106" i="1"/>
  <c r="L115" i="1"/>
  <c r="K16" i="1"/>
  <c r="K25" i="1"/>
  <c r="C16" i="1"/>
  <c r="C25" i="1"/>
  <c r="C34" i="1"/>
  <c r="C43" i="1"/>
  <c r="C52" i="1"/>
  <c r="C70" i="1"/>
  <c r="C79" i="1"/>
  <c r="C88" i="1"/>
  <c r="C97" i="1"/>
  <c r="C106" i="1"/>
  <c r="C115" i="1"/>
  <c r="E99" i="1"/>
  <c r="I99" i="1"/>
  <c r="M99" i="1"/>
  <c r="K97" i="1"/>
  <c r="F109" i="4"/>
  <c r="K31" i="2"/>
  <c r="K10" i="2"/>
  <c r="K43" i="1"/>
  <c r="K52" i="1"/>
  <c r="K70" i="1"/>
  <c r="K79" i="1"/>
  <c r="K88" i="1"/>
  <c r="K115" i="1"/>
  <c r="I90" i="1"/>
  <c r="G91" i="4"/>
  <c r="H91" i="4"/>
  <c r="G90" i="3"/>
  <c r="F73" i="4"/>
  <c r="F72" i="3"/>
  <c r="N31" i="2"/>
  <c r="M31" i="2"/>
  <c r="L31" i="2"/>
  <c r="J31" i="2"/>
  <c r="I31" i="2"/>
  <c r="H31" i="2"/>
  <c r="F31" i="2"/>
  <c r="E31" i="2"/>
  <c r="C31" i="2"/>
  <c r="B31" i="2"/>
  <c r="E72" i="1"/>
  <c r="I10" i="2"/>
  <c r="G73" i="4"/>
  <c r="H73" i="4"/>
  <c r="G82" i="4"/>
  <c r="H82" i="4"/>
  <c r="F82" i="4"/>
  <c r="G72" i="3"/>
  <c r="I72" i="1"/>
  <c r="F10" i="4"/>
  <c r="G10" i="4"/>
  <c r="H10" i="4"/>
  <c r="I9" i="1"/>
  <c r="I18" i="1"/>
  <c r="I36" i="1"/>
  <c r="I45" i="1"/>
  <c r="I63" i="1"/>
  <c r="I81" i="1"/>
  <c r="I108" i="1"/>
  <c r="E9" i="1"/>
  <c r="M9" i="1"/>
  <c r="E18" i="1"/>
  <c r="M18" i="1"/>
  <c r="E27" i="1"/>
  <c r="E36" i="1"/>
  <c r="M36" i="1"/>
  <c r="E45" i="1"/>
  <c r="M45" i="1"/>
  <c r="E63" i="1"/>
  <c r="M63" i="1"/>
  <c r="E81" i="1"/>
  <c r="M81" i="1"/>
  <c r="M108" i="1"/>
  <c r="F19" i="4"/>
  <c r="G19" i="4"/>
  <c r="H19" i="4"/>
  <c r="F28" i="4"/>
  <c r="G28" i="4"/>
  <c r="H28" i="4"/>
  <c r="F37" i="4"/>
  <c r="G37" i="4"/>
  <c r="H37" i="4"/>
  <c r="F46" i="4"/>
  <c r="G46" i="4"/>
  <c r="H46" i="4"/>
  <c r="F64" i="4"/>
  <c r="G64" i="4"/>
  <c r="H64" i="4"/>
  <c r="F100" i="4"/>
  <c r="G100" i="4"/>
  <c r="H100" i="4"/>
  <c r="G109" i="4"/>
  <c r="H109" i="4"/>
  <c r="F9" i="3"/>
  <c r="F18" i="3"/>
  <c r="G18" i="3"/>
  <c r="F27" i="3"/>
  <c r="G27" i="3"/>
  <c r="F36" i="3"/>
  <c r="G36" i="3"/>
  <c r="F45" i="3"/>
  <c r="G45" i="3"/>
  <c r="F63" i="3"/>
  <c r="G63" i="3"/>
  <c r="F81" i="3"/>
  <c r="G81" i="3"/>
  <c r="F108" i="3"/>
  <c r="G108" i="3"/>
  <c r="G9" i="3"/>
  <c r="C10" i="2"/>
  <c r="D10" i="2"/>
  <c r="E10" i="2"/>
  <c r="F10" i="2"/>
  <c r="H10" i="2"/>
  <c r="J10" i="2"/>
  <c r="L10" i="2"/>
  <c r="M10" i="2"/>
  <c r="N10" i="2"/>
  <c r="I27" i="1"/>
  <c r="M27" i="1"/>
  <c r="K34" i="1"/>
  <c r="D31" i="2"/>
  <c r="L124" i="1"/>
  <c r="K124" i="1"/>
  <c r="K61" i="1"/>
  <c r="K106" i="1"/>
  <c r="F107" i="4"/>
  <c r="F129" i="4"/>
  <c r="G17" i="4"/>
  <c r="H17" i="4"/>
  <c r="F62" i="4"/>
  <c r="G107" i="4"/>
  <c r="H107" i="4"/>
  <c r="F98" i="4"/>
  <c r="G53" i="4"/>
  <c r="H53" i="4"/>
  <c r="G44" i="4"/>
  <c r="H44" i="4"/>
  <c r="G35" i="4"/>
  <c r="H35" i="4"/>
  <c r="G26" i="4"/>
  <c r="H26" i="4"/>
  <c r="F125" i="4"/>
  <c r="F35" i="4"/>
  <c r="F17" i="4"/>
  <c r="G116" i="4"/>
  <c r="H116" i="4"/>
  <c r="G80" i="4"/>
  <c r="H80" i="4"/>
  <c r="G71" i="4"/>
  <c r="H71" i="4"/>
  <c r="F44" i="4"/>
  <c r="G129" i="4"/>
  <c r="H129" i="4"/>
  <c r="F53" i="4"/>
  <c r="E127" i="4"/>
  <c r="G125" i="4"/>
  <c r="H125" i="4"/>
  <c r="F71" i="4"/>
  <c r="D127" i="4"/>
  <c r="G98" i="4"/>
  <c r="H98" i="4"/>
  <c r="C127" i="4"/>
  <c r="F80" i="4"/>
  <c r="G89" i="4"/>
  <c r="H89" i="4"/>
  <c r="F89" i="4"/>
  <c r="F26" i="4"/>
  <c r="F116" i="4"/>
  <c r="G129" i="5"/>
  <c r="H129" i="5"/>
  <c r="F129" i="5"/>
  <c r="C127" i="5"/>
  <c r="D127" i="5"/>
  <c r="E127" i="5"/>
  <c r="G125" i="5"/>
  <c r="H125" i="5"/>
  <c r="F97" i="3"/>
  <c r="F43" i="3"/>
  <c r="G52" i="3"/>
  <c r="G16" i="3"/>
  <c r="G34" i="3"/>
  <c r="F124" i="3"/>
  <c r="F79" i="3"/>
  <c r="G43" i="3"/>
  <c r="F88" i="3"/>
  <c r="G25" i="3"/>
  <c r="F115" i="3"/>
  <c r="E126" i="3"/>
  <c r="D126" i="3"/>
  <c r="G79" i="3"/>
  <c r="F61" i="3"/>
  <c r="F16" i="3"/>
  <c r="G115" i="3"/>
  <c r="C126" i="3"/>
  <c r="F34" i="3"/>
  <c r="G88" i="3"/>
  <c r="G128" i="3"/>
  <c r="F128" i="3"/>
  <c r="F25" i="3"/>
  <c r="G97" i="3"/>
  <c r="G124" i="3"/>
  <c r="F52" i="3"/>
  <c r="G70" i="3"/>
  <c r="M52" i="1"/>
  <c r="H81" i="1"/>
  <c r="E70" i="1"/>
  <c r="H19" i="1"/>
  <c r="H12" i="1"/>
  <c r="H49" i="1"/>
  <c r="H47" i="1"/>
  <c r="H48" i="1"/>
  <c r="H54" i="1"/>
  <c r="H63" i="1"/>
  <c r="E25" i="1"/>
  <c r="H45" i="1"/>
  <c r="F44" i="2"/>
  <c r="H84" i="1"/>
  <c r="H20" i="1"/>
  <c r="H90" i="1"/>
  <c r="H110" i="1"/>
  <c r="H30" i="1"/>
  <c r="H31" i="1"/>
  <c r="H9" i="1"/>
  <c r="I106" i="1"/>
  <c r="M97" i="1"/>
  <c r="H58" i="1"/>
  <c r="M128" i="1"/>
  <c r="E79" i="1"/>
  <c r="E61" i="1"/>
  <c r="E43" i="1"/>
  <c r="M25" i="1"/>
  <c r="H82" i="1"/>
  <c r="H102" i="1"/>
  <c r="J82" i="1"/>
  <c r="H29" i="1"/>
  <c r="H46" i="1"/>
  <c r="H99" i="1"/>
  <c r="G52" i="1"/>
  <c r="J12" i="1"/>
  <c r="K23" i="2"/>
  <c r="J84" i="1"/>
  <c r="J81" i="1"/>
  <c r="H94" i="1"/>
  <c r="F43" i="1"/>
  <c r="J43" i="1"/>
  <c r="M124" i="1"/>
  <c r="E115" i="1"/>
  <c r="M106" i="1"/>
  <c r="E16" i="1"/>
  <c r="J19" i="1"/>
  <c r="H91" i="1"/>
  <c r="H119" i="1"/>
  <c r="L44" i="2"/>
  <c r="O14" i="2"/>
  <c r="O35" i="2"/>
  <c r="I52" i="1"/>
  <c r="G23" i="2"/>
  <c r="C23" i="2"/>
  <c r="D23" i="2"/>
  <c r="H92" i="1"/>
  <c r="H117" i="1"/>
  <c r="J31" i="1"/>
  <c r="H101" i="1"/>
  <c r="M61" i="1"/>
  <c r="H108" i="1"/>
  <c r="H39" i="1"/>
  <c r="H57" i="1"/>
  <c r="I16" i="1"/>
  <c r="E34" i="1"/>
  <c r="H37" i="1"/>
  <c r="J29" i="1"/>
  <c r="H13" i="1"/>
  <c r="H112" i="1"/>
  <c r="M44" i="2"/>
  <c r="H40" i="1"/>
  <c r="O31" i="2"/>
  <c r="H67" i="1"/>
  <c r="G34" i="1"/>
  <c r="H111" i="1"/>
  <c r="J30" i="1"/>
  <c r="G79" i="1"/>
  <c r="J110" i="1"/>
  <c r="E88" i="1"/>
  <c r="H22" i="1"/>
  <c r="H121" i="1"/>
  <c r="G16" i="1"/>
  <c r="H38" i="1"/>
  <c r="F124" i="1"/>
  <c r="J124" i="1"/>
  <c r="J48" i="1"/>
  <c r="H109" i="1"/>
  <c r="H44" i="2"/>
  <c r="J109" i="1"/>
  <c r="I44" i="2"/>
  <c r="J13" i="1"/>
  <c r="J103" i="1"/>
  <c r="J40" i="1"/>
  <c r="J85" i="1"/>
  <c r="H73" i="1"/>
  <c r="L43" i="1"/>
  <c r="M43" i="1"/>
  <c r="M23" i="2"/>
  <c r="N44" i="2"/>
  <c r="E52" i="1"/>
  <c r="H23" i="2"/>
  <c r="K44" i="2"/>
  <c r="M16" i="1"/>
  <c r="O32" i="2"/>
  <c r="N23" i="2"/>
  <c r="G115" i="1"/>
  <c r="F79" i="1"/>
  <c r="H79" i="1"/>
  <c r="F23" i="2"/>
  <c r="I25" i="1"/>
  <c r="H100" i="1"/>
  <c r="I23" i="2"/>
  <c r="E23" i="2"/>
  <c r="J67" i="1"/>
  <c r="J91" i="1"/>
  <c r="J23" i="2"/>
  <c r="I43" i="1"/>
  <c r="E106" i="1"/>
  <c r="J72" i="1"/>
  <c r="H55" i="1"/>
  <c r="O10" i="2"/>
  <c r="H74" i="1"/>
  <c r="J49" i="1"/>
  <c r="F61" i="1"/>
  <c r="J61" i="1"/>
  <c r="G88" i="1"/>
  <c r="H76" i="1"/>
  <c r="J65" i="1"/>
  <c r="H65" i="1"/>
  <c r="J28" i="1"/>
  <c r="H28" i="1"/>
  <c r="O34" i="2"/>
  <c r="J22" i="1"/>
  <c r="I128" i="1"/>
  <c r="F34" i="1"/>
  <c r="O13" i="2"/>
  <c r="C44" i="2"/>
  <c r="G124" i="1"/>
  <c r="B23" i="2"/>
  <c r="H10" i="1"/>
  <c r="F16" i="1"/>
  <c r="F115" i="1"/>
  <c r="J115" i="1"/>
  <c r="D44" i="2"/>
  <c r="E44" i="2"/>
  <c r="K126" i="1"/>
  <c r="M115" i="1"/>
  <c r="I115" i="1"/>
  <c r="J18" i="1"/>
  <c r="H18" i="1"/>
  <c r="F25" i="1"/>
  <c r="J112" i="1"/>
  <c r="I34" i="1"/>
  <c r="M34" i="1"/>
  <c r="I88" i="1"/>
  <c r="M88" i="1"/>
  <c r="G25" i="1"/>
  <c r="B44" i="2"/>
  <c r="H120" i="1"/>
  <c r="M79" i="1"/>
  <c r="I79" i="1"/>
  <c r="I97" i="1"/>
  <c r="E97" i="1"/>
  <c r="I124" i="1"/>
  <c r="C126" i="1"/>
  <c r="E124" i="1"/>
  <c r="G70" i="1"/>
  <c r="J94" i="1"/>
  <c r="H93" i="1"/>
  <c r="I70" i="1"/>
  <c r="M70" i="1"/>
  <c r="D126" i="1"/>
  <c r="F97" i="1"/>
  <c r="J83" i="1"/>
  <c r="H83" i="1"/>
  <c r="J44" i="2"/>
  <c r="G97" i="1"/>
  <c r="H56" i="1"/>
  <c r="G61" i="1"/>
  <c r="H64" i="1"/>
  <c r="F70" i="1"/>
  <c r="J70" i="1"/>
  <c r="J76" i="1"/>
  <c r="H66" i="1"/>
  <c r="G43" i="1"/>
  <c r="F106" i="1"/>
  <c r="J11" i="1"/>
  <c r="H11" i="1"/>
  <c r="F88" i="1"/>
  <c r="H27" i="1"/>
  <c r="L23" i="2"/>
  <c r="G106" i="1"/>
  <c r="O11" i="2"/>
  <c r="J58" i="1"/>
  <c r="G44" i="2"/>
  <c r="M38" i="1"/>
  <c r="O12" i="2"/>
  <c r="O33" i="2"/>
  <c r="F52" i="1"/>
  <c r="J37" i="1"/>
  <c r="J102" i="1"/>
  <c r="J99" i="1"/>
  <c r="J90" i="1"/>
  <c r="H36" i="1"/>
  <c r="J120" i="1"/>
  <c r="I61" i="1"/>
  <c r="H118" i="1"/>
  <c r="F127" i="4"/>
  <c r="G127" i="4"/>
  <c r="H127" i="4"/>
  <c r="F127" i="5"/>
  <c r="G127" i="5"/>
  <c r="H127" i="5"/>
  <c r="G126" i="3"/>
  <c r="F126" i="3"/>
  <c r="H43" i="1"/>
  <c r="H34" i="1"/>
  <c r="J79" i="1"/>
  <c r="O44" i="2"/>
  <c r="H128" i="1"/>
  <c r="O23" i="2"/>
  <c r="G126" i="1"/>
  <c r="L126" i="1"/>
  <c r="M126" i="1"/>
  <c r="H88" i="1"/>
  <c r="H61" i="1"/>
  <c r="H106" i="1"/>
  <c r="J106" i="1"/>
  <c r="I126" i="1"/>
  <c r="H70" i="1"/>
  <c r="H124" i="1"/>
  <c r="J88" i="1"/>
  <c r="H52" i="1"/>
  <c r="J52" i="1"/>
  <c r="J25" i="1"/>
  <c r="H25" i="1"/>
  <c r="J97" i="1"/>
  <c r="H97" i="1"/>
  <c r="J128" i="1"/>
  <c r="H115" i="1"/>
  <c r="F126" i="1"/>
  <c r="J126" i="1"/>
  <c r="J16" i="1"/>
  <c r="H16" i="1"/>
  <c r="E126" i="1"/>
  <c r="J34" i="1"/>
  <c r="H126" i="1"/>
</calcChain>
</file>

<file path=xl/sharedStrings.xml><?xml version="1.0" encoding="utf-8"?>
<sst xmlns="http://schemas.openxmlformats.org/spreadsheetml/2006/main" count="241" uniqueCount="79">
  <si>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</si>
  <si>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</si>
  <si>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</si>
  <si>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</si>
  <si>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</si>
  <si>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</si>
  <si>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</si>
  <si>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</si>
  <si>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</si>
  <si>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</si>
  <si>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</si>
  <si>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</si>
  <si>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</si>
  <si>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</si>
  <si>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</si>
  <si>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</si>
  <si>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</si>
  <si>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</si>
  <si>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</si>
  <si>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</si>
  <si>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</si>
  <si>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</si>
  <si>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</si>
  <si>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</si>
  <si>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</si>
  <si>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</si>
  <si>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</si>
  <si>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</si>
  <si>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</si>
  <si>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</si>
  <si>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</si>
  <si>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</si>
  <si>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</si>
  <si>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</si>
  <si>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</si>
  <si>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</si>
  <si>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</si>
  <si>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</si>
  <si>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</si>
  <si>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</si>
  <si>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</si>
  <si>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</si>
  <si>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</si>
  <si>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</si>
  <si>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</si>
  <si>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</si>
  <si>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</si>
  <si>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</si>
  <si>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</si>
  <si>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</si>
  <si>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</si>
  <si>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</si>
  <si>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</si>
  <si>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</si>
  <si>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</si>
  <si>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</si>
  <si>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</si>
  <si>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</si>
  <si>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</si>
  <si>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</si>
  <si>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</si>
  <si>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</si>
  <si>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</si>
  <si>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</si>
  <si>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</si>
  <si>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</si>
  <si>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</si>
  <si>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</si>
  <si>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</si>
  <si>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</si>
  <si>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</si>
  <si>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2026 YTD ADMISSIONS, PATRONS AND AGR SUMMARY </t>
  </si>
  <si>
    <t>MONTH ENDED:  DECEMBER 31, 2025</t>
  </si>
  <si>
    <t>(as reported on the tax remittal database dtd 1/8/26)</t>
  </si>
  <si>
    <t>FOR THE MONTH ENDED:   DECEMBER 31, 2025</t>
  </si>
  <si>
    <t>THRU MONTH ENDED:   DECEMBER 31, 2025</t>
  </si>
  <si>
    <t>(as reported on the tax remittal database as of 1/8/26)</t>
  </si>
  <si>
    <t>THRU MONTH ENDED:    DECEMBER 31, 2025</t>
  </si>
  <si>
    <t>THRU MONTH ENDED:    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</si>
</sst>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7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3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4" fontId="0" fillId="0" borderId="10" xfId="0" applyNumberFormat="1" applyFont="1" applyBorder="1" applyAlignment="1">
      <alignment horizontal="center"/>
    </xf>
    <xf numFmtId="167" fontId="2" fillId="0" borderId="10" xfId="1" applyNumberFormat="1" applyFont="1" applyBorder="1" applyAlignment="1">
      <alignment horizontal="center"/>
    </xf>
    <xf numFmtId="167" fontId="0" fillId="0" borderId="9" xfId="1" applyNumberFormat="1" applyFont="1" applyBorder="1" applyAlignment="1">
      <alignment horizontal="center"/>
    </xf>
  </cellXfs>
  <cellStyles count="4">
    <cellStyle name="Normal" xfId="0" builtinId="0"/>
    <cellStyle name="Normal_SLOT STATS" xfId="1" xr:uid="{C94BECF8-4C9D-4EEE-B4A7-5939D407AB3F}"/>
    <cellStyle name="Normal_TABLE STATS" xfId="2" xr:uid="{83460755-7A39-4895-ACB1-8CED54CCAEF5}"/>
    <cellStyle name="Normal_YTD TAXES" xfId="3" xr:uid="{1F1B8AE8-9823-4C11-88F8-DD3BF8EEE4D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A994C-89D6-453F-BD0D-645AC9E24BF1}">
  <sheetPr>
    <pageSetUpPr autoPageBreaks="0"/>
  </sheetPr>
  <dimension ref="A1:R400"/>
  <sheetViews>
    <sheetView tabSelected="1" showOutlineSymbols="0" zoomScaleNormal="100" workbookViewId="0">
      <selection activeCell="A5" sqref="A5"/>
    </sheetView>
  </sheetViews>
  <sheetFormatPr defaultColWidth="9.6640625" defaultRowHeight="15" x14ac:dyDescent="0.4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8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7.649999999999999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1"/>
      <c r="L1" s="191"/>
      <c r="M1" s="2"/>
      <c r="N1" s="2"/>
      <c r="O1" s="2"/>
      <c r="P1" s="2"/>
      <c r="Q1" s="2"/>
      <c r="R1" s="2"/>
    </row>
    <row r="2" spans="1:18" ht="18" customHeight="1" x14ac:dyDescent="0.45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1"/>
      <c r="L2" s="191"/>
      <c r="M2" s="2"/>
      <c r="N2" s="2"/>
      <c r="O2" s="2"/>
      <c r="P2" s="2"/>
      <c r="Q2" s="2"/>
      <c r="R2" s="2"/>
    </row>
    <row r="3" spans="1:18" ht="17.649999999999999" x14ac:dyDescent="0.5">
      <c r="A3" s="276" t="s">
        <v>72</v>
      </c>
      <c r="B3" s="2"/>
      <c r="C3" s="2"/>
      <c r="D3" s="2"/>
      <c r="E3" s="2"/>
      <c r="F3" s="2"/>
      <c r="G3" s="2"/>
      <c r="H3" s="2"/>
      <c r="I3" s="2"/>
      <c r="J3" s="2"/>
      <c r="K3" s="191"/>
      <c r="L3" s="191"/>
      <c r="M3" s="2"/>
      <c r="N3" s="2"/>
      <c r="O3" s="2"/>
      <c r="P3" s="2"/>
      <c r="Q3" s="2"/>
      <c r="R3" s="2"/>
    </row>
    <row r="4" spans="1:18" x14ac:dyDescent="0.4">
      <c r="A4" s="277" t="s">
        <v>73</v>
      </c>
      <c r="B4" s="2"/>
      <c r="C4" s="2"/>
      <c r="D4" s="2"/>
      <c r="E4" s="2"/>
      <c r="F4" s="2"/>
      <c r="G4" s="2"/>
      <c r="H4" s="2"/>
      <c r="I4" s="2"/>
      <c r="J4" s="2"/>
      <c r="K4" s="191"/>
      <c r="L4" s="191"/>
      <c r="M4" s="2"/>
      <c r="N4" s="2"/>
      <c r="O4" s="2"/>
      <c r="P4" s="2"/>
      <c r="Q4" s="2"/>
      <c r="R4" s="2"/>
    </row>
    <row r="5" spans="1:18" ht="15.4" thickBot="1" x14ac:dyDescent="0.4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1"/>
      <c r="L5" s="191"/>
      <c r="M5" s="2"/>
      <c r="N5" s="2"/>
      <c r="O5" s="2"/>
      <c r="P5" s="2"/>
      <c r="Q5" s="2"/>
      <c r="R5" s="2"/>
    </row>
    <row r="6" spans="1:18" ht="15.4" thickTop="1" x14ac:dyDescent="0.4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2" t="s">
        <v>1</v>
      </c>
      <c r="L6" s="192" t="s">
        <v>3</v>
      </c>
      <c r="M6" s="9"/>
      <c r="N6" s="10"/>
      <c r="R6" s="2"/>
    </row>
    <row r="7" spans="1:18" ht="15.4" thickBot="1" x14ac:dyDescent="0.45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3" t="s">
        <v>12</v>
      </c>
      <c r="L7" s="193" t="s">
        <v>12</v>
      </c>
      <c r="M7" s="14" t="s">
        <v>8</v>
      </c>
      <c r="N7" s="10"/>
      <c r="R7" s="2"/>
    </row>
    <row r="8" spans="1:18" ht="15.75" customHeight="1" thickTop="1" x14ac:dyDescent="0.4">
      <c r="A8" s="15"/>
      <c r="B8" s="16"/>
      <c r="C8" s="16"/>
      <c r="D8" s="16"/>
      <c r="E8" s="17"/>
      <c r="F8" s="16"/>
      <c r="G8" s="16"/>
      <c r="H8" s="17"/>
      <c r="I8" s="16"/>
      <c r="J8" s="16"/>
      <c r="K8" s="194"/>
      <c r="L8" s="194"/>
      <c r="M8" s="18"/>
      <c r="N8" s="10"/>
      <c r="R8" s="2"/>
    </row>
    <row r="9" spans="1:18" x14ac:dyDescent="0.4">
      <c r="A9" s="19" t="s">
        <v>13</v>
      </c>
      <c r="B9" s="20">
        <f>DATE(2025,7,1)</f>
        <v>45839</v>
      </c>
      <c r="C9" s="21">
        <v>180280</v>
      </c>
      <c r="D9" s="21">
        <v>182873</v>
      </c>
      <c r="E9" s="22">
        <f t="shared" ref="E9:E14" si="0">(+C9-D9)/D9</f>
        <v>-1.4179239144105472E-2</v>
      </c>
      <c r="F9" s="21">
        <f>+C9-86141</f>
        <v>94139</v>
      </c>
      <c r="G9" s="21">
        <f>+D9-86094</f>
        <v>96779</v>
      </c>
      <c r="H9" s="22">
        <f t="shared" ref="H9:H14" si="1">(+F9-G9)/G9</f>
        <v>-2.7278645160623689E-2</v>
      </c>
      <c r="I9" s="23">
        <f t="shared" ref="I9:I14" si="2">K9/C9</f>
        <v>75.772670401597509</v>
      </c>
      <c r="J9" s="23">
        <f t="shared" ref="J9:J14" si="3">K9/F9</f>
        <v>145.10773452023071</v>
      </c>
      <c r="K9" s="21">
        <v>13660297.02</v>
      </c>
      <c r="L9" s="21">
        <v>13370133.560000001</v>
      </c>
      <c r="M9" s="24">
        <f t="shared" ref="M9:M14" si="4">(+K9-L9)/L9</f>
        <v>2.1702360615760297E-2</v>
      </c>
      <c r="N9" s="10"/>
      <c r="R9" s="2"/>
    </row>
    <row r="10" spans="1:18" x14ac:dyDescent="0.4">
      <c r="A10" s="19"/>
      <c r="B10" s="20">
        <f>DATE(2025,8,1)</f>
        <v>45870</v>
      </c>
      <c r="C10" s="21">
        <v>189582</v>
      </c>
      <c r="D10" s="21">
        <v>193595</v>
      </c>
      <c r="E10" s="22">
        <f t="shared" si="0"/>
        <v>-2.0728841137426068E-2</v>
      </c>
      <c r="F10" s="21">
        <f>+C10-90399</f>
        <v>99183</v>
      </c>
      <c r="G10" s="21">
        <f>+D10-91892</f>
        <v>101703</v>
      </c>
      <c r="H10" s="22">
        <f t="shared" si="1"/>
        <v>-2.4778030146603344E-2</v>
      </c>
      <c r="I10" s="23">
        <f t="shared" si="2"/>
        <v>78.115140519669595</v>
      </c>
      <c r="J10" s="23">
        <f t="shared" si="3"/>
        <v>149.31212576752066</v>
      </c>
      <c r="K10" s="21">
        <v>14809224.57</v>
      </c>
      <c r="L10" s="21">
        <v>13993160.5</v>
      </c>
      <c r="M10" s="24">
        <f t="shared" si="4"/>
        <v>5.8318781521872795E-2</v>
      </c>
      <c r="N10" s="10"/>
      <c r="R10" s="2"/>
    </row>
    <row r="11" spans="1:18" x14ac:dyDescent="0.4">
      <c r="A11" s="19"/>
      <c r="B11" s="20">
        <f>DATE(2025,9,1)</f>
        <v>45901</v>
      </c>
      <c r="C11" s="21">
        <v>160329</v>
      </c>
      <c r="D11" s="21">
        <v>175693</v>
      </c>
      <c r="E11" s="22">
        <f t="shared" si="0"/>
        <v>-8.7447991667283273E-2</v>
      </c>
      <c r="F11" s="21">
        <f>+C11-75298</f>
        <v>85031</v>
      </c>
      <c r="G11" s="21">
        <f>+D11-81570</f>
        <v>94123</v>
      </c>
      <c r="H11" s="22">
        <f t="shared" si="1"/>
        <v>-9.6597006045281181E-2</v>
      </c>
      <c r="I11" s="23">
        <f t="shared" si="2"/>
        <v>75.439092303950005</v>
      </c>
      <c r="J11" s="23">
        <f t="shared" si="3"/>
        <v>142.24311404076161</v>
      </c>
      <c r="K11" s="21">
        <v>12095074.23</v>
      </c>
      <c r="L11" s="21">
        <v>12504940.25</v>
      </c>
      <c r="M11" s="24">
        <f t="shared" si="4"/>
        <v>-3.2776327739750657E-2</v>
      </c>
      <c r="N11" s="10"/>
      <c r="R11" s="2"/>
    </row>
    <row r="12" spans="1:18" x14ac:dyDescent="0.4">
      <c r="A12" s="19"/>
      <c r="B12" s="20">
        <f>DATE(2025,10,1)</f>
        <v>45931</v>
      </c>
      <c r="C12" s="21">
        <v>170956</v>
      </c>
      <c r="D12" s="21">
        <v>169905</v>
      </c>
      <c r="E12" s="22">
        <f t="shared" si="0"/>
        <v>6.1858097171949029E-3</v>
      </c>
      <c r="F12" s="21">
        <f>+C12-81592</f>
        <v>89364</v>
      </c>
      <c r="G12" s="21">
        <f>+D12-79197</f>
        <v>90708</v>
      </c>
      <c r="H12" s="22">
        <f t="shared" si="1"/>
        <v>-1.4816774705648895E-2</v>
      </c>
      <c r="I12" s="23">
        <f t="shared" si="2"/>
        <v>77.714595626944941</v>
      </c>
      <c r="J12" s="23">
        <f t="shared" si="3"/>
        <v>148.67034163645317</v>
      </c>
      <c r="K12" s="21">
        <v>13285776.41</v>
      </c>
      <c r="L12" s="21">
        <v>12397438.83</v>
      </c>
      <c r="M12" s="24">
        <f t="shared" si="4"/>
        <v>7.165492745568966E-2</v>
      </c>
      <c r="N12" s="10"/>
      <c r="R12" s="2"/>
    </row>
    <row r="13" spans="1:18" x14ac:dyDescent="0.4">
      <c r="A13" s="19"/>
      <c r="B13" s="20">
        <f>DATE(2025,11,1)</f>
        <v>45962</v>
      </c>
      <c r="C13" s="21">
        <v>168263</v>
      </c>
      <c r="D13" s="21">
        <v>184234</v>
      </c>
      <c r="E13" s="22">
        <f t="shared" si="0"/>
        <v>-8.668866767263371E-2</v>
      </c>
      <c r="F13" s="21">
        <f>+C13-79739</f>
        <v>88524</v>
      </c>
      <c r="G13" s="21">
        <f>+D13-88163</f>
        <v>96071</v>
      </c>
      <c r="H13" s="22">
        <f t="shared" si="1"/>
        <v>-7.8556484266844306E-2</v>
      </c>
      <c r="I13" s="23">
        <f t="shared" si="2"/>
        <v>78.699185560699618</v>
      </c>
      <c r="J13" s="23">
        <f t="shared" si="3"/>
        <v>149.58837219285166</v>
      </c>
      <c r="K13" s="21">
        <v>13242161.060000001</v>
      </c>
      <c r="L13" s="21">
        <v>13614631.85</v>
      </c>
      <c r="M13" s="24">
        <f t="shared" si="4"/>
        <v>-2.735812426687095E-2</v>
      </c>
      <c r="N13" s="10"/>
      <c r="R13" s="2"/>
    </row>
    <row r="14" spans="1:18" x14ac:dyDescent="0.4">
      <c r="A14" s="19"/>
      <c r="B14" s="20">
        <f>DATE(2025,12,1)</f>
        <v>45992</v>
      </c>
      <c r="C14" s="21">
        <v>192820</v>
      </c>
      <c r="D14" s="21">
        <v>195892</v>
      </c>
      <c r="E14" s="22">
        <f t="shared" si="0"/>
        <v>-1.5682110550711618E-2</v>
      </c>
      <c r="F14" s="21">
        <f>+C14-93180</f>
        <v>99640</v>
      </c>
      <c r="G14" s="21">
        <f>+D14-94115</f>
        <v>101777</v>
      </c>
      <c r="H14" s="22">
        <f t="shared" si="1"/>
        <v>-2.099688534737711E-2</v>
      </c>
      <c r="I14" s="23">
        <f t="shared" si="2"/>
        <v>73.145365366663214</v>
      </c>
      <c r="J14" s="23">
        <f t="shared" si="3"/>
        <v>141.54846798474509</v>
      </c>
      <c r="K14" s="21">
        <v>14103889.35</v>
      </c>
      <c r="L14" s="21">
        <v>13872436.279999999</v>
      </c>
      <c r="M14" s="24">
        <f t="shared" si="4"/>
        <v>1.6684385159778173E-2</v>
      </c>
      <c r="N14" s="10"/>
      <c r="R14" s="2"/>
    </row>
    <row r="15" spans="1:18" ht="15.75" customHeight="1" thickBot="1" x14ac:dyDescent="0.45">
      <c r="A15" s="19"/>
      <c r="B15" s="20"/>
      <c r="C15" s="21"/>
      <c r="D15" s="21"/>
      <c r="E15" s="22"/>
      <c r="F15" s="21"/>
      <c r="G15" s="21"/>
      <c r="H15" s="22"/>
      <c r="I15" s="23"/>
      <c r="J15" s="23"/>
      <c r="K15" s="21"/>
      <c r="L15" s="21"/>
      <c r="M15" s="24"/>
      <c r="N15" s="10"/>
      <c r="R15" s="2"/>
    </row>
    <row r="16" spans="1:18" ht="15.75" thickTop="1" thickBot="1" x14ac:dyDescent="0.45">
      <c r="A16" s="25" t="s">
        <v>14</v>
      </c>
      <c r="B16" s="26"/>
      <c r="C16" s="27">
        <f>SUM(C9:C15)</f>
        <v>1062230</v>
      </c>
      <c r="D16" s="27">
        <f>SUM(D9:D15)</f>
        <v>1102192</v>
      </c>
      <c r="E16" s="278">
        <f>(+C16-D16)/D16</f>
        <v>-3.6256840913379884E-2</v>
      </c>
      <c r="F16" s="27">
        <f>SUM(F9:F15)</f>
        <v>555881</v>
      </c>
      <c r="G16" s="27">
        <f>SUM(G9:G15)</f>
        <v>581161</v>
      </c>
      <c r="H16" s="29">
        <f>(+F16-G16)/G16</f>
        <v>-4.34991336307839E-2</v>
      </c>
      <c r="I16" s="30">
        <f>K16/C16</f>
        <v>76.439587132730196</v>
      </c>
      <c r="J16" s="30">
        <f>K16/F16</f>
        <v>146.06799412104388</v>
      </c>
      <c r="K16" s="27">
        <f>SUM(K9:K15)</f>
        <v>81196422.640000001</v>
      </c>
      <c r="L16" s="27">
        <f>SUM(L9:L15)</f>
        <v>79752741.269999996</v>
      </c>
      <c r="M16" s="31">
        <f>(+K16-L16)/L16</f>
        <v>1.8101965487461732E-2</v>
      </c>
      <c r="N16" s="10"/>
      <c r="R16" s="2"/>
    </row>
    <row r="17" spans="1:18" ht="15.75" customHeight="1" thickTop="1" x14ac:dyDescent="0.4">
      <c r="A17" s="15"/>
      <c r="B17" s="16"/>
      <c r="C17" s="16"/>
      <c r="D17" s="16"/>
      <c r="E17" s="17"/>
      <c r="F17" s="16"/>
      <c r="G17" s="16"/>
      <c r="H17" s="17"/>
      <c r="I17" s="16"/>
      <c r="J17" s="16"/>
      <c r="K17" s="194"/>
      <c r="L17" s="194"/>
      <c r="M17" s="18"/>
      <c r="N17" s="10"/>
      <c r="R17" s="2"/>
    </row>
    <row r="18" spans="1:18" x14ac:dyDescent="0.4">
      <c r="A18" s="19" t="s">
        <v>15</v>
      </c>
      <c r="B18" s="20">
        <f>DATE(2025,7,1)</f>
        <v>45839</v>
      </c>
      <c r="C18" s="21">
        <v>107305</v>
      </c>
      <c r="D18" s="21">
        <v>94277</v>
      </c>
      <c r="E18" s="22">
        <f t="shared" ref="E18:E23" si="5">(+C18-D18)/D18</f>
        <v>0.13818852954591257</v>
      </c>
      <c r="F18" s="21">
        <f>+C18-51168</f>
        <v>56137</v>
      </c>
      <c r="G18" s="21">
        <f>+D18-44772</f>
        <v>49505</v>
      </c>
      <c r="H18" s="22">
        <f t="shared" ref="H18:H23" si="6">(+F18-G18)/G18</f>
        <v>0.13396626603373396</v>
      </c>
      <c r="I18" s="23">
        <f t="shared" ref="I18:I23" si="7">K18/C18</f>
        <v>77.914331298634735</v>
      </c>
      <c r="J18" s="23">
        <f t="shared" ref="J18:J23" si="8">K18/F18</f>
        <v>148.93202914298948</v>
      </c>
      <c r="K18" s="21">
        <v>8360597.3200000003</v>
      </c>
      <c r="L18" s="21">
        <v>6681618.7599999998</v>
      </c>
      <c r="M18" s="24">
        <f t="shared" ref="M18:M23" si="9">(+K18-L18)/L18</f>
        <v>0.25128320251543362</v>
      </c>
      <c r="N18" s="10"/>
      <c r="R18" s="2"/>
    </row>
    <row r="19" spans="1:18" x14ac:dyDescent="0.4">
      <c r="A19" s="19"/>
      <c r="B19" s="20">
        <f>DATE(2025,8,1)</f>
        <v>45870</v>
      </c>
      <c r="C19" s="21">
        <v>110037</v>
      </c>
      <c r="D19" s="21">
        <v>95698</v>
      </c>
      <c r="E19" s="22">
        <f t="shared" si="5"/>
        <v>0.14983594223494745</v>
      </c>
      <c r="F19" s="21">
        <f>+C19-52170</f>
        <v>57867</v>
      </c>
      <c r="G19" s="21">
        <f>+D19-45591</f>
        <v>50107</v>
      </c>
      <c r="H19" s="22">
        <f t="shared" si="6"/>
        <v>0.15486858123615463</v>
      </c>
      <c r="I19" s="23">
        <f t="shared" si="7"/>
        <v>75.953694484582456</v>
      </c>
      <c r="J19" s="23">
        <f t="shared" si="8"/>
        <v>144.42975581937893</v>
      </c>
      <c r="K19" s="21">
        <v>8357716.6799999997</v>
      </c>
      <c r="L19" s="21">
        <v>7224866.7999999998</v>
      </c>
      <c r="M19" s="24">
        <f t="shared" si="9"/>
        <v>0.15679872188093488</v>
      </c>
      <c r="N19" s="10"/>
      <c r="R19" s="2"/>
    </row>
    <row r="20" spans="1:18" x14ac:dyDescent="0.4">
      <c r="A20" s="19"/>
      <c r="B20" s="20">
        <f>DATE(2025,9,1)</f>
        <v>45901</v>
      </c>
      <c r="C20" s="21">
        <v>100100</v>
      </c>
      <c r="D20" s="21">
        <v>91160</v>
      </c>
      <c r="E20" s="22">
        <f t="shared" si="5"/>
        <v>9.8069328652917953E-2</v>
      </c>
      <c r="F20" s="21">
        <f>+C20-46239</f>
        <v>53861</v>
      </c>
      <c r="G20" s="21">
        <f>+D20-43108</f>
        <v>48052</v>
      </c>
      <c r="H20" s="22">
        <f t="shared" si="6"/>
        <v>0.1208898693082494</v>
      </c>
      <c r="I20" s="23">
        <f t="shared" si="7"/>
        <v>79.124169630369636</v>
      </c>
      <c r="J20" s="23">
        <f t="shared" si="8"/>
        <v>147.0512872022428</v>
      </c>
      <c r="K20" s="21">
        <v>7920329.3799999999</v>
      </c>
      <c r="L20" s="21">
        <v>6820970.8499999996</v>
      </c>
      <c r="M20" s="24">
        <f t="shared" si="9"/>
        <v>0.16117332182998559</v>
      </c>
      <c r="N20" s="10"/>
      <c r="R20" s="2"/>
    </row>
    <row r="21" spans="1:18" x14ac:dyDescent="0.4">
      <c r="A21" s="19"/>
      <c r="B21" s="20">
        <f>DATE(2025,10,1)</f>
        <v>45931</v>
      </c>
      <c r="C21" s="21">
        <v>104165</v>
      </c>
      <c r="D21" s="21">
        <v>92138</v>
      </c>
      <c r="E21" s="22">
        <f t="shared" si="5"/>
        <v>0.13053246217630077</v>
      </c>
      <c r="F21" s="21">
        <f>+C21-49066</f>
        <v>55099</v>
      </c>
      <c r="G21" s="21">
        <f>+D21-42815</f>
        <v>49323</v>
      </c>
      <c r="H21" s="22">
        <f t="shared" si="6"/>
        <v>0.11710560995884273</v>
      </c>
      <c r="I21" s="23">
        <f t="shared" si="7"/>
        <v>75.934553832861326</v>
      </c>
      <c r="J21" s="23">
        <f t="shared" si="8"/>
        <v>143.55474328027731</v>
      </c>
      <c r="K21" s="21">
        <v>7909722.7999999998</v>
      </c>
      <c r="L21" s="21">
        <v>6568817.1600000001</v>
      </c>
      <c r="M21" s="24">
        <f t="shared" si="9"/>
        <v>0.20413197800134836</v>
      </c>
      <c r="N21" s="10"/>
      <c r="R21" s="2"/>
    </row>
    <row r="22" spans="1:18" x14ac:dyDescent="0.4">
      <c r="A22" s="19"/>
      <c r="B22" s="20">
        <f>DATE(2025,11,1)</f>
        <v>45962</v>
      </c>
      <c r="C22" s="21">
        <v>98366</v>
      </c>
      <c r="D22" s="21">
        <v>92599</v>
      </c>
      <c r="E22" s="22">
        <f t="shared" si="5"/>
        <v>6.2279290273113103E-2</v>
      </c>
      <c r="F22" s="21">
        <f>+C22-46816</f>
        <v>51550</v>
      </c>
      <c r="G22" s="21">
        <f>+D22-45193</f>
        <v>47406</v>
      </c>
      <c r="H22" s="22">
        <f t="shared" si="6"/>
        <v>8.7415095135636833E-2</v>
      </c>
      <c r="I22" s="23">
        <f t="shared" si="7"/>
        <v>77.130044120936091</v>
      </c>
      <c r="J22" s="23">
        <f t="shared" si="8"/>
        <v>147.17699165858389</v>
      </c>
      <c r="K22" s="21">
        <v>7586973.9199999999</v>
      </c>
      <c r="L22" s="21">
        <v>7336177.1699999999</v>
      </c>
      <c r="M22" s="24">
        <f t="shared" si="9"/>
        <v>3.4186299511084463E-2</v>
      </c>
      <c r="N22" s="10"/>
      <c r="R22" s="2"/>
    </row>
    <row r="23" spans="1:18" x14ac:dyDescent="0.4">
      <c r="A23" s="19"/>
      <c r="B23" s="20">
        <f>DATE(2025,12,1)</f>
        <v>45992</v>
      </c>
      <c r="C23" s="21">
        <v>98906</v>
      </c>
      <c r="D23" s="21">
        <v>96752</v>
      </c>
      <c r="E23" s="22">
        <f t="shared" si="5"/>
        <v>2.2263105672234166E-2</v>
      </c>
      <c r="F23" s="21">
        <f>+C23-48203</f>
        <v>50703</v>
      </c>
      <c r="G23" s="21">
        <f>+D23-47637</f>
        <v>49115</v>
      </c>
      <c r="H23" s="22">
        <f t="shared" si="6"/>
        <v>3.2332281380433675E-2</v>
      </c>
      <c r="I23" s="23">
        <f t="shared" si="7"/>
        <v>78.630538389986455</v>
      </c>
      <c r="J23" s="23">
        <f t="shared" si="8"/>
        <v>153.38406070646707</v>
      </c>
      <c r="K23" s="21">
        <v>7777032.0300000003</v>
      </c>
      <c r="L23" s="21">
        <v>7359301.0700000003</v>
      </c>
      <c r="M23" s="24">
        <f t="shared" si="9"/>
        <v>5.6762314250584117E-2</v>
      </c>
      <c r="N23" s="10"/>
      <c r="R23" s="2"/>
    </row>
    <row r="24" spans="1:18" ht="15.75" customHeight="1" thickBot="1" x14ac:dyDescent="0.45">
      <c r="A24" s="19"/>
      <c r="B24" s="20"/>
      <c r="C24" s="21"/>
      <c r="D24" s="21"/>
      <c r="E24" s="22"/>
      <c r="F24" s="21"/>
      <c r="G24" s="21"/>
      <c r="H24" s="22"/>
      <c r="I24" s="23"/>
      <c r="J24" s="23"/>
      <c r="K24" s="21"/>
      <c r="L24" s="21"/>
      <c r="M24" s="24"/>
      <c r="N24" s="10"/>
      <c r="R24" s="2"/>
    </row>
    <row r="25" spans="1:18" ht="17.25" customHeight="1" thickTop="1" thickBot="1" x14ac:dyDescent="0.45">
      <c r="A25" s="25" t="s">
        <v>14</v>
      </c>
      <c r="B25" s="26"/>
      <c r="C25" s="27">
        <f>SUM(C18:C24)</f>
        <v>618879</v>
      </c>
      <c r="D25" s="27">
        <f>SUM(D18:D24)</f>
        <v>562624</v>
      </c>
      <c r="E25" s="278">
        <f>(+C25-D25)/D25</f>
        <v>9.9986847343874419E-2</v>
      </c>
      <c r="F25" s="27">
        <f>SUM(F18:F24)</f>
        <v>325217</v>
      </c>
      <c r="G25" s="27">
        <f>SUM(G18:G24)</f>
        <v>293508</v>
      </c>
      <c r="H25" s="29">
        <f>(+F25-G25)/G25</f>
        <v>0.10803453398203797</v>
      </c>
      <c r="I25" s="30">
        <f>K25/C25</f>
        <v>77.417996296529694</v>
      </c>
      <c r="J25" s="30">
        <f>K25/F25</f>
        <v>147.32431616428417</v>
      </c>
      <c r="K25" s="27">
        <f>SUM(K18:K24)</f>
        <v>47912372.130000003</v>
      </c>
      <c r="L25" s="27">
        <f>SUM(L18:L24)</f>
        <v>41991751.809999995</v>
      </c>
      <c r="M25" s="31">
        <f>(+K25-L25)/L25</f>
        <v>0.14099483981494815</v>
      </c>
      <c r="N25" s="10"/>
      <c r="R25" s="2"/>
    </row>
    <row r="26" spans="1:18" ht="15.75" customHeight="1" thickTop="1" x14ac:dyDescent="0.4">
      <c r="A26" s="32"/>
      <c r="B26" s="33"/>
      <c r="C26" s="34"/>
      <c r="D26" s="34"/>
      <c r="E26" s="28"/>
      <c r="F26" s="34"/>
      <c r="G26" s="34"/>
      <c r="H26" s="28"/>
      <c r="I26" s="35"/>
      <c r="J26" s="35"/>
      <c r="K26" s="34"/>
      <c r="L26" s="34"/>
      <c r="M26" s="36"/>
      <c r="N26" s="10"/>
      <c r="R26" s="2"/>
    </row>
    <row r="27" spans="1:18" ht="15.75" customHeight="1" x14ac:dyDescent="0.4">
      <c r="A27" s="19" t="s">
        <v>62</v>
      </c>
      <c r="B27" s="20">
        <f>DATE(2025,7,1)</f>
        <v>45839</v>
      </c>
      <c r="C27" s="21">
        <v>72536</v>
      </c>
      <c r="D27" s="21">
        <v>53756</v>
      </c>
      <c r="E27" s="22">
        <f t="shared" ref="E27:E32" si="10">(+C27-D27)/D27</f>
        <v>0.34935635091896716</v>
      </c>
      <c r="F27" s="21">
        <f>+C27-42110</f>
        <v>30426</v>
      </c>
      <c r="G27" s="21">
        <f>+D27-27520</f>
        <v>26236</v>
      </c>
      <c r="H27" s="22">
        <f t="shared" ref="H27:H32" si="11">(+F27-G27)/G27</f>
        <v>0.15970422320475683</v>
      </c>
      <c r="I27" s="23">
        <f t="shared" ref="I27:I32" si="12">K27/C27</f>
        <v>70.35019562699901</v>
      </c>
      <c r="J27" s="23">
        <f t="shared" ref="J27:J32" si="13">K27/F27</f>
        <v>167.7158282390061</v>
      </c>
      <c r="K27" s="21">
        <v>5102921.79</v>
      </c>
      <c r="L27" s="21">
        <v>3867138.09</v>
      </c>
      <c r="M27" s="24">
        <f t="shared" ref="M27:M32" si="14">(+K27-L27)/L27</f>
        <v>0.31956027202535203</v>
      </c>
      <c r="N27" s="10"/>
      <c r="R27" s="2"/>
    </row>
    <row r="28" spans="1:18" ht="15.75" customHeight="1" x14ac:dyDescent="0.4">
      <c r="A28" s="19"/>
      <c r="B28" s="20">
        <f>DATE(2025,8,1)</f>
        <v>45870</v>
      </c>
      <c r="C28" s="21">
        <v>77461</v>
      </c>
      <c r="D28" s="21">
        <v>54520</v>
      </c>
      <c r="E28" s="22">
        <f t="shared" si="10"/>
        <v>0.42078136463683052</v>
      </c>
      <c r="F28" s="21">
        <f>+C28-45920</f>
        <v>31541</v>
      </c>
      <c r="G28" s="21">
        <f>+D28-28215</f>
        <v>26305</v>
      </c>
      <c r="H28" s="22">
        <f t="shared" si="11"/>
        <v>0.19904961034023949</v>
      </c>
      <c r="I28" s="23">
        <f t="shared" si="12"/>
        <v>69.311892565290918</v>
      </c>
      <c r="J28" s="23">
        <f t="shared" si="13"/>
        <v>170.22188611648329</v>
      </c>
      <c r="K28" s="21">
        <v>5368968.5099999998</v>
      </c>
      <c r="L28" s="21">
        <v>3925251.53</v>
      </c>
      <c r="M28" s="24">
        <f t="shared" si="14"/>
        <v>0.36780241188772939</v>
      </c>
      <c r="N28" s="10"/>
      <c r="R28" s="2"/>
    </row>
    <row r="29" spans="1:18" ht="15.75" customHeight="1" x14ac:dyDescent="0.4">
      <c r="A29" s="19"/>
      <c r="B29" s="20">
        <f>DATE(2025,9,1)</f>
        <v>45901</v>
      </c>
      <c r="C29" s="21">
        <v>67800</v>
      </c>
      <c r="D29" s="21">
        <v>50120</v>
      </c>
      <c r="E29" s="22">
        <f t="shared" si="10"/>
        <v>0.35275339185953714</v>
      </c>
      <c r="F29" s="21">
        <f>+C29-40027</f>
        <v>27773</v>
      </c>
      <c r="G29" s="21">
        <f>+D29-26015</f>
        <v>24105</v>
      </c>
      <c r="H29" s="22">
        <f t="shared" si="11"/>
        <v>0.15216760008297034</v>
      </c>
      <c r="I29" s="23">
        <f t="shared" si="12"/>
        <v>68.181462389380542</v>
      </c>
      <c r="J29" s="23">
        <f t="shared" si="13"/>
        <v>166.44594210204156</v>
      </c>
      <c r="K29" s="21">
        <v>4622703.1500000004</v>
      </c>
      <c r="L29" s="21">
        <v>3808834.78</v>
      </c>
      <c r="M29" s="24">
        <f t="shared" si="14"/>
        <v>0.21367909531638982</v>
      </c>
      <c r="N29" s="10"/>
      <c r="R29" s="2"/>
    </row>
    <row r="30" spans="1:18" ht="15.75" customHeight="1" x14ac:dyDescent="0.4">
      <c r="A30" s="19"/>
      <c r="B30" s="20">
        <f>DATE(2025,10,1)</f>
        <v>45931</v>
      </c>
      <c r="C30" s="21">
        <v>70043</v>
      </c>
      <c r="D30" s="21">
        <v>42557</v>
      </c>
      <c r="E30" s="22">
        <f t="shared" si="10"/>
        <v>0.64586319524402569</v>
      </c>
      <c r="F30" s="21">
        <f>+C30-40944</f>
        <v>29099</v>
      </c>
      <c r="G30" s="21">
        <f>+D30-21743</f>
        <v>20814</v>
      </c>
      <c r="H30" s="22">
        <f t="shared" si="11"/>
        <v>0.39804938983376575</v>
      </c>
      <c r="I30" s="23">
        <f t="shared" si="12"/>
        <v>69.614976942735183</v>
      </c>
      <c r="J30" s="23">
        <f t="shared" si="13"/>
        <v>167.56733324169215</v>
      </c>
      <c r="K30" s="21">
        <v>4876041.83</v>
      </c>
      <c r="L30" s="21">
        <v>3023362.89</v>
      </c>
      <c r="M30" s="24">
        <f t="shared" si="14"/>
        <v>0.61278748446899134</v>
      </c>
      <c r="N30" s="10"/>
      <c r="R30" s="2"/>
    </row>
    <row r="31" spans="1:18" ht="15.75" customHeight="1" x14ac:dyDescent="0.4">
      <c r="A31" s="19"/>
      <c r="B31" s="20">
        <f>DATE(2025,11,1)</f>
        <v>45962</v>
      </c>
      <c r="C31" s="21">
        <v>71638</v>
      </c>
      <c r="D31" s="21">
        <v>78482</v>
      </c>
      <c r="E31" s="22">
        <f t="shared" si="10"/>
        <v>-8.7204709360108046E-2</v>
      </c>
      <c r="F31" s="21">
        <f>+C31-42438</f>
        <v>29200</v>
      </c>
      <c r="G31" s="21">
        <f>+D31-44771</f>
        <v>33711</v>
      </c>
      <c r="H31" s="22">
        <f t="shared" si="11"/>
        <v>-0.13381388864168967</v>
      </c>
      <c r="I31" s="23">
        <f t="shared" si="12"/>
        <v>69.910493732376679</v>
      </c>
      <c r="J31" s="23">
        <f t="shared" si="13"/>
        <v>171.51534075342465</v>
      </c>
      <c r="K31" s="21">
        <v>5008247.95</v>
      </c>
      <c r="L31" s="21">
        <v>5253938.45</v>
      </c>
      <c r="M31" s="24">
        <f t="shared" si="14"/>
        <v>-4.6763109682032913E-2</v>
      </c>
      <c r="N31" s="10"/>
      <c r="R31" s="2"/>
    </row>
    <row r="32" spans="1:18" ht="15.75" customHeight="1" x14ac:dyDescent="0.4">
      <c r="A32" s="19"/>
      <c r="B32" s="20">
        <f>DATE(2025,12,1)</f>
        <v>45992</v>
      </c>
      <c r="C32" s="21">
        <v>74573</v>
      </c>
      <c r="D32" s="21">
        <v>65653</v>
      </c>
      <c r="E32" s="22">
        <f t="shared" si="10"/>
        <v>0.13586584009870076</v>
      </c>
      <c r="F32" s="21">
        <f>+C32-44069</f>
        <v>30504</v>
      </c>
      <c r="G32" s="21">
        <f>+D32-37748</f>
        <v>27905</v>
      </c>
      <c r="H32" s="22">
        <f t="shared" si="11"/>
        <v>9.3137430567998572E-2</v>
      </c>
      <c r="I32" s="23">
        <f t="shared" si="12"/>
        <v>70.740407654244834</v>
      </c>
      <c r="J32" s="23">
        <f t="shared" si="13"/>
        <v>172.93877589824285</v>
      </c>
      <c r="K32" s="21">
        <v>5275324.42</v>
      </c>
      <c r="L32" s="21">
        <v>4823289.1500000004</v>
      </c>
      <c r="M32" s="24">
        <f t="shared" si="14"/>
        <v>9.371929733882936E-2</v>
      </c>
      <c r="N32" s="10"/>
      <c r="R32" s="2"/>
    </row>
    <row r="33" spans="1:18" ht="15.75" customHeight="1" thickBot="1" x14ac:dyDescent="0.45">
      <c r="A33" s="37"/>
      <c r="B33" s="20"/>
      <c r="C33" s="21"/>
      <c r="D33" s="21"/>
      <c r="E33" s="22"/>
      <c r="F33" s="21"/>
      <c r="G33" s="21"/>
      <c r="H33" s="22"/>
      <c r="I33" s="23"/>
      <c r="J33" s="23"/>
      <c r="K33" s="21"/>
      <c r="L33" s="21"/>
      <c r="M33" s="24"/>
      <c r="N33" s="10"/>
      <c r="R33" s="2"/>
    </row>
    <row r="34" spans="1:18" ht="17.25" customHeight="1" thickTop="1" thickBot="1" x14ac:dyDescent="0.45">
      <c r="A34" s="38" t="s">
        <v>14</v>
      </c>
      <c r="B34" s="39"/>
      <c r="C34" s="40">
        <f>SUM(C27:C33)</f>
        <v>434051</v>
      </c>
      <c r="D34" s="40">
        <f>SUM(D27:D33)</f>
        <v>345088</v>
      </c>
      <c r="E34" s="279">
        <f>(+C34-D34)/D34</f>
        <v>0.2577980109421365</v>
      </c>
      <c r="F34" s="40">
        <f>SUM(F27:F33)</f>
        <v>178543</v>
      </c>
      <c r="G34" s="40">
        <f>SUM(G27:G33)</f>
        <v>159076</v>
      </c>
      <c r="H34" s="41">
        <f>(+F34-G34)/G34</f>
        <v>0.12237546832960346</v>
      </c>
      <c r="I34" s="42">
        <f>K34/C34</f>
        <v>69.70196509165973</v>
      </c>
      <c r="J34" s="42">
        <f>K34/F34</f>
        <v>169.45053936586703</v>
      </c>
      <c r="K34" s="40">
        <f>SUM(K27:K33)</f>
        <v>30254207.649999999</v>
      </c>
      <c r="L34" s="40">
        <f>SUM(L27:L33)</f>
        <v>24701814.890000001</v>
      </c>
      <c r="M34" s="43">
        <f>(+K34-L34)/L34</f>
        <v>0.22477671315753261</v>
      </c>
      <c r="N34" s="10"/>
      <c r="R34" s="2"/>
    </row>
    <row r="35" spans="1:18" ht="15.75" customHeight="1" thickTop="1" x14ac:dyDescent="0.4">
      <c r="A35" s="37"/>
      <c r="B35" s="44"/>
      <c r="C35" s="21"/>
      <c r="D35" s="21"/>
      <c r="E35" s="22"/>
      <c r="F35" s="21"/>
      <c r="G35" s="21"/>
      <c r="H35" s="22"/>
      <c r="I35" s="23"/>
      <c r="J35" s="23"/>
      <c r="K35" s="21"/>
      <c r="L35" s="21"/>
      <c r="M35" s="24"/>
      <c r="N35" s="10"/>
      <c r="R35" s="2"/>
    </row>
    <row r="36" spans="1:18" ht="15.75" customHeight="1" x14ac:dyDescent="0.4">
      <c r="A36" s="176" t="s">
        <v>58</v>
      </c>
      <c r="B36" s="20">
        <f>DATE(2025,7,1)</f>
        <v>45839</v>
      </c>
      <c r="C36" s="21">
        <v>313256</v>
      </c>
      <c r="D36" s="21">
        <v>318097</v>
      </c>
      <c r="E36" s="22">
        <f t="shared" ref="E36:E41" si="15">(+C36-D36)/D36</f>
        <v>-1.5218628280052941E-2</v>
      </c>
      <c r="F36" s="21">
        <f>+C36-156640</f>
        <v>156616</v>
      </c>
      <c r="G36" s="21">
        <f>+D36-155689</f>
        <v>162408</v>
      </c>
      <c r="H36" s="22">
        <f t="shared" ref="H36:H41" si="16">(+F36-G36)/G36</f>
        <v>-3.5663267819319243E-2</v>
      </c>
      <c r="I36" s="23">
        <f t="shared" ref="I36:I41" si="17">K36/C36</f>
        <v>70.419114494215592</v>
      </c>
      <c r="J36" s="23">
        <f t="shared" ref="J36:J41" si="18">K36/F36</f>
        <v>140.84902008734738</v>
      </c>
      <c r="K36" s="21">
        <v>22059210.129999999</v>
      </c>
      <c r="L36" s="21">
        <v>20559621.309999999</v>
      </c>
      <c r="M36" s="24">
        <f t="shared" ref="M36:M41" si="19">(+K36-L36)/L36</f>
        <v>7.2938542854902436E-2</v>
      </c>
      <c r="N36" s="10"/>
      <c r="R36" s="2"/>
    </row>
    <row r="37" spans="1:18" ht="15.75" customHeight="1" x14ac:dyDescent="0.4">
      <c r="A37" s="176"/>
      <c r="B37" s="20">
        <f>DATE(2025,8,1)</f>
        <v>45870</v>
      </c>
      <c r="C37" s="21">
        <v>334817</v>
      </c>
      <c r="D37" s="21">
        <v>340265</v>
      </c>
      <c r="E37" s="22">
        <f t="shared" si="15"/>
        <v>-1.601105021086506E-2</v>
      </c>
      <c r="F37" s="21">
        <f>+C37-170142</f>
        <v>164675</v>
      </c>
      <c r="G37" s="21">
        <f>+D37-163301</f>
        <v>176964</v>
      </c>
      <c r="H37" s="22">
        <f t="shared" si="16"/>
        <v>-6.9443502633303955E-2</v>
      </c>
      <c r="I37" s="23">
        <f t="shared" si="17"/>
        <v>70.872690514519874</v>
      </c>
      <c r="J37" s="23">
        <f t="shared" si="18"/>
        <v>144.09826397449521</v>
      </c>
      <c r="K37" s="21">
        <v>23729381.620000001</v>
      </c>
      <c r="L37" s="21">
        <v>22930250.41</v>
      </c>
      <c r="M37" s="24">
        <f t="shared" si="19"/>
        <v>3.485052259400951E-2</v>
      </c>
      <c r="N37" s="10"/>
      <c r="R37" s="2"/>
    </row>
    <row r="38" spans="1:18" ht="15.75" customHeight="1" x14ac:dyDescent="0.4">
      <c r="A38" s="176"/>
      <c r="B38" s="20">
        <f>DATE(2025,9,1)</f>
        <v>45901</v>
      </c>
      <c r="C38" s="21">
        <v>295737</v>
      </c>
      <c r="D38" s="21">
        <v>306427</v>
      </c>
      <c r="E38" s="22">
        <f t="shared" si="15"/>
        <v>-3.4885959788138771E-2</v>
      </c>
      <c r="F38" s="21">
        <f>+C38-155395</f>
        <v>140342</v>
      </c>
      <c r="G38" s="21">
        <f>+D38-149563</f>
        <v>156864</v>
      </c>
      <c r="H38" s="22">
        <f t="shared" si="16"/>
        <v>-0.10532690738474092</v>
      </c>
      <c r="I38" s="23">
        <f t="shared" si="17"/>
        <v>71.137868477735282</v>
      </c>
      <c r="J38" s="23">
        <f t="shared" si="18"/>
        <v>149.9059426971256</v>
      </c>
      <c r="K38" s="21">
        <v>21038099.809999999</v>
      </c>
      <c r="L38" s="21">
        <f>20248455.39+180818.97</f>
        <v>20429274.359999999</v>
      </c>
      <c r="M38" s="24">
        <f t="shared" si="19"/>
        <v>2.9801618954810458E-2</v>
      </c>
      <c r="N38" s="10"/>
      <c r="R38" s="2"/>
    </row>
    <row r="39" spans="1:18" ht="15.75" customHeight="1" x14ac:dyDescent="0.4">
      <c r="A39" s="176"/>
      <c r="B39" s="20">
        <f>DATE(2025,10,1)</f>
        <v>45931</v>
      </c>
      <c r="C39" s="21">
        <v>308251</v>
      </c>
      <c r="D39" s="21">
        <v>285141</v>
      </c>
      <c r="E39" s="22">
        <f t="shared" si="15"/>
        <v>8.1047622053650653E-2</v>
      </c>
      <c r="F39" s="21">
        <f>+C39-162296</f>
        <v>145955</v>
      </c>
      <c r="G39" s="21">
        <f>+D39-140161</f>
        <v>144980</v>
      </c>
      <c r="H39" s="22">
        <f t="shared" si="16"/>
        <v>6.7250655262794867E-3</v>
      </c>
      <c r="I39" s="23">
        <f t="shared" si="17"/>
        <v>74.708120395392072</v>
      </c>
      <c r="J39" s="23">
        <f t="shared" si="18"/>
        <v>157.78049960604295</v>
      </c>
      <c r="K39" s="21">
        <v>23028852.82</v>
      </c>
      <c r="L39" s="21">
        <f>21581148.8-180818.97</f>
        <v>21400329.830000002</v>
      </c>
      <c r="M39" s="24">
        <f t="shared" si="19"/>
        <v>7.609803227037451E-2</v>
      </c>
      <c r="N39" s="10"/>
      <c r="R39" s="2"/>
    </row>
    <row r="40" spans="1:18" ht="15.75" customHeight="1" x14ac:dyDescent="0.4">
      <c r="A40" s="176"/>
      <c r="B40" s="20">
        <f>DATE(2025,11,1)</f>
        <v>45962</v>
      </c>
      <c r="C40" s="21">
        <v>298694</v>
      </c>
      <c r="D40" s="21">
        <v>289423</v>
      </c>
      <c r="E40" s="22">
        <f t="shared" si="15"/>
        <v>3.2032699543574628E-2</v>
      </c>
      <c r="F40" s="21">
        <f>+C40-161448</f>
        <v>137246</v>
      </c>
      <c r="G40" s="21">
        <f>+D40-144427</f>
        <v>144996</v>
      </c>
      <c r="H40" s="22">
        <f t="shared" si="16"/>
        <v>-5.3449750337940354E-2</v>
      </c>
      <c r="I40" s="23">
        <f t="shared" si="17"/>
        <v>70.113389622824698</v>
      </c>
      <c r="J40" s="23">
        <f t="shared" si="18"/>
        <v>152.59059499001793</v>
      </c>
      <c r="K40" s="21">
        <v>20942448.800000001</v>
      </c>
      <c r="L40" s="21">
        <v>19374975.079999998</v>
      </c>
      <c r="M40" s="24">
        <f t="shared" si="19"/>
        <v>8.0901973474951316E-2</v>
      </c>
      <c r="N40" s="10"/>
      <c r="R40" s="2"/>
    </row>
    <row r="41" spans="1:18" ht="15.75" customHeight="1" x14ac:dyDescent="0.4">
      <c r="A41" s="176"/>
      <c r="B41" s="20">
        <f>DATE(2025,12,1)</f>
        <v>45992</v>
      </c>
      <c r="C41" s="21">
        <v>309654</v>
      </c>
      <c r="D41" s="21">
        <v>304581</v>
      </c>
      <c r="E41" s="22">
        <f t="shared" si="15"/>
        <v>1.665566795039743E-2</v>
      </c>
      <c r="F41" s="21">
        <f>+C41-165062</f>
        <v>144592</v>
      </c>
      <c r="G41" s="21">
        <f>+D41-152410</f>
        <v>152171</v>
      </c>
      <c r="H41" s="22">
        <f t="shared" si="16"/>
        <v>-4.9805810568373736E-2</v>
      </c>
      <c r="I41" s="23">
        <f t="shared" si="17"/>
        <v>71.661963126586457</v>
      </c>
      <c r="J41" s="23">
        <f t="shared" si="18"/>
        <v>153.46916516819741</v>
      </c>
      <c r="K41" s="21">
        <v>22190413.530000001</v>
      </c>
      <c r="L41" s="21">
        <v>22399477.760000002</v>
      </c>
      <c r="M41" s="24">
        <f t="shared" si="19"/>
        <v>-9.3334421561085731E-3</v>
      </c>
      <c r="N41" s="10"/>
      <c r="R41" s="2"/>
    </row>
    <row r="42" spans="1:18" ht="15.4" thickBot="1" x14ac:dyDescent="0.45">
      <c r="A42" s="37"/>
      <c r="B42" s="44"/>
      <c r="C42" s="21"/>
      <c r="D42" s="21"/>
      <c r="E42" s="22"/>
      <c r="F42" s="21"/>
      <c r="G42" s="21"/>
      <c r="H42" s="22"/>
      <c r="I42" s="23"/>
      <c r="J42" s="23"/>
      <c r="K42" s="21"/>
      <c r="L42" s="21"/>
      <c r="M42" s="24"/>
      <c r="N42" s="10"/>
      <c r="R42" s="2"/>
    </row>
    <row r="43" spans="1:18" ht="15.75" thickTop="1" thickBot="1" x14ac:dyDescent="0.45">
      <c r="A43" s="38" t="s">
        <v>14</v>
      </c>
      <c r="B43" s="39"/>
      <c r="C43" s="40">
        <f>SUM(C36:C42)</f>
        <v>1860409</v>
      </c>
      <c r="D43" s="40">
        <f>SUM(D36:D42)</f>
        <v>1843934</v>
      </c>
      <c r="E43" s="279">
        <f>(+C43-D43)/D43</f>
        <v>8.9347015674096798E-3</v>
      </c>
      <c r="F43" s="40">
        <f>SUM(F36:F42)</f>
        <v>889426</v>
      </c>
      <c r="G43" s="40">
        <f>SUM(G36:G42)</f>
        <v>938383</v>
      </c>
      <c r="H43" s="41">
        <f>(+F43-G43)/G43</f>
        <v>-5.2171661251322755E-2</v>
      </c>
      <c r="I43" s="42">
        <f>K43/C43</f>
        <v>71.483424725423276</v>
      </c>
      <c r="J43" s="42">
        <f>K43/F43</f>
        <v>149.5216091164414</v>
      </c>
      <c r="K43" s="40">
        <f>SUM(K36:K42)</f>
        <v>132988406.70999999</v>
      </c>
      <c r="L43" s="40">
        <f>SUM(L36:L42)</f>
        <v>127093928.75</v>
      </c>
      <c r="M43" s="43">
        <f>(+K43-L43)/L43</f>
        <v>4.6378910605515397E-2</v>
      </c>
      <c r="N43" s="10"/>
      <c r="R43" s="2"/>
    </row>
    <row r="44" spans="1:18" ht="15.4" thickTop="1" x14ac:dyDescent="0.4">
      <c r="A44" s="37"/>
      <c r="B44" s="44"/>
      <c r="C44" s="21"/>
      <c r="D44" s="21"/>
      <c r="E44" s="22"/>
      <c r="F44" s="21"/>
      <c r="G44" s="21"/>
      <c r="H44" s="22"/>
      <c r="I44" s="23"/>
      <c r="J44" s="23"/>
      <c r="K44" s="21"/>
      <c r="L44" s="21"/>
      <c r="M44" s="24"/>
      <c r="N44" s="10"/>
      <c r="R44" s="2"/>
    </row>
    <row r="45" spans="1:18" x14ac:dyDescent="0.4">
      <c r="A45" s="19" t="s">
        <v>60</v>
      </c>
      <c r="B45" s="20">
        <f>DATE(2025,7,1)</f>
        <v>45839</v>
      </c>
      <c r="C45" s="21">
        <v>189028</v>
      </c>
      <c r="D45" s="21">
        <v>164838</v>
      </c>
      <c r="E45" s="22">
        <f t="shared" ref="E45:E50" si="20">(+C45-D45)/D45</f>
        <v>0.14675014256421456</v>
      </c>
      <c r="F45" s="21">
        <f>+C45-89606</f>
        <v>99422</v>
      </c>
      <c r="G45" s="21">
        <f>+D45-73814</f>
        <v>91024</v>
      </c>
      <c r="H45" s="22">
        <f t="shared" ref="H45:H50" si="21">(+F45-G45)/G45</f>
        <v>9.2261381613640364E-2</v>
      </c>
      <c r="I45" s="23">
        <f t="shared" ref="I45:I50" si="22">K45/C45</f>
        <v>76.743073089700999</v>
      </c>
      <c r="J45" s="23">
        <f t="shared" ref="J45:J50" si="23">K45/F45</f>
        <v>145.90925167467964</v>
      </c>
      <c r="K45" s="21">
        <v>14506589.619999999</v>
      </c>
      <c r="L45" s="21">
        <v>12724515.279999999</v>
      </c>
      <c r="M45" s="24">
        <f t="shared" ref="M45:M50" si="24">(+K45-L45)/L45</f>
        <v>0.14005046956884945</v>
      </c>
      <c r="N45" s="10"/>
      <c r="R45" s="2"/>
    </row>
    <row r="46" spans="1:18" x14ac:dyDescent="0.4">
      <c r="A46" s="19"/>
      <c r="B46" s="20">
        <f>DATE(2025,8,1)</f>
        <v>45870</v>
      </c>
      <c r="C46" s="21">
        <v>194053</v>
      </c>
      <c r="D46" s="21">
        <v>175348</v>
      </c>
      <c r="E46" s="22">
        <f t="shared" si="20"/>
        <v>0.1066735862399343</v>
      </c>
      <c r="F46" s="21">
        <f>+C46-90254</f>
        <v>103799</v>
      </c>
      <c r="G46" s="21">
        <f>+D46-80823</f>
        <v>94525</v>
      </c>
      <c r="H46" s="22">
        <f t="shared" si="21"/>
        <v>9.8111610685003972E-2</v>
      </c>
      <c r="I46" s="23">
        <f t="shared" si="22"/>
        <v>83.202486691780081</v>
      </c>
      <c r="J46" s="23">
        <f t="shared" si="23"/>
        <v>155.54766568078691</v>
      </c>
      <c r="K46" s="21">
        <v>16145692.15</v>
      </c>
      <c r="L46" s="21">
        <v>13808966.68</v>
      </c>
      <c r="M46" s="24">
        <f t="shared" si="24"/>
        <v>0.16921798163104851</v>
      </c>
      <c r="N46" s="10"/>
      <c r="R46" s="2"/>
    </row>
    <row r="47" spans="1:18" x14ac:dyDescent="0.4">
      <c r="A47" s="19"/>
      <c r="B47" s="20">
        <f>DATE(2025,9,1)</f>
        <v>45901</v>
      </c>
      <c r="C47" s="21">
        <v>174429</v>
      </c>
      <c r="D47" s="21">
        <v>160883</v>
      </c>
      <c r="E47" s="22">
        <f t="shared" si="20"/>
        <v>8.4197833207983436E-2</v>
      </c>
      <c r="F47" s="21">
        <f>+C47-83114</f>
        <v>91315</v>
      </c>
      <c r="G47" s="21">
        <f>+D47-72644</f>
        <v>88239</v>
      </c>
      <c r="H47" s="22">
        <f t="shared" si="21"/>
        <v>3.4859869218826139E-2</v>
      </c>
      <c r="I47" s="23">
        <f t="shared" si="22"/>
        <v>86.026088838438568</v>
      </c>
      <c r="J47" s="23">
        <f t="shared" si="23"/>
        <v>164.32617477960906</v>
      </c>
      <c r="K47" s="21">
        <v>15005444.65</v>
      </c>
      <c r="L47" s="21">
        <v>12533263.369999999</v>
      </c>
      <c r="M47" s="24">
        <f t="shared" si="24"/>
        <v>0.19724960746596051</v>
      </c>
      <c r="N47" s="10"/>
      <c r="R47" s="2"/>
    </row>
    <row r="48" spans="1:18" x14ac:dyDescent="0.4">
      <c r="A48" s="19"/>
      <c r="B48" s="20">
        <f>DATE(2025,10,1)</f>
        <v>45931</v>
      </c>
      <c r="C48" s="21">
        <v>181056</v>
      </c>
      <c r="D48" s="21">
        <v>173754</v>
      </c>
      <c r="E48" s="22">
        <f t="shared" si="20"/>
        <v>4.202493180013122E-2</v>
      </c>
      <c r="F48" s="21">
        <f>+C48-85844</f>
        <v>95212</v>
      </c>
      <c r="G48" s="21">
        <f>+D48-80828</f>
        <v>92926</v>
      </c>
      <c r="H48" s="22">
        <f t="shared" si="21"/>
        <v>2.4600219529518109E-2</v>
      </c>
      <c r="I48" s="23">
        <f t="shared" si="22"/>
        <v>76.664947198656762</v>
      </c>
      <c r="J48" s="23">
        <f t="shared" si="23"/>
        <v>145.78675671133891</v>
      </c>
      <c r="K48" s="21">
        <v>13880648.68</v>
      </c>
      <c r="L48" s="21">
        <v>13312238.460000001</v>
      </c>
      <c r="M48" s="24">
        <f t="shared" si="24"/>
        <v>4.2698320174171425E-2</v>
      </c>
      <c r="N48" s="10"/>
      <c r="R48" s="2"/>
    </row>
    <row r="49" spans="1:18" x14ac:dyDescent="0.4">
      <c r="A49" s="19"/>
      <c r="B49" s="20">
        <f>DATE(2025,11,1)</f>
        <v>45962</v>
      </c>
      <c r="C49" s="21">
        <v>177694</v>
      </c>
      <c r="D49" s="21">
        <v>170154</v>
      </c>
      <c r="E49" s="22">
        <f t="shared" si="20"/>
        <v>4.4312798993852626E-2</v>
      </c>
      <c r="F49" s="21">
        <f>+C49-86343</f>
        <v>91351</v>
      </c>
      <c r="G49" s="21">
        <f>+D49-77441</f>
        <v>92713</v>
      </c>
      <c r="H49" s="22">
        <f t="shared" si="21"/>
        <v>-1.4690496478379516E-2</v>
      </c>
      <c r="I49" s="23">
        <f t="shared" si="22"/>
        <v>77.862690299053426</v>
      </c>
      <c r="J49" s="23">
        <f t="shared" si="23"/>
        <v>151.45683013869581</v>
      </c>
      <c r="K49" s="21">
        <v>13835732.890000001</v>
      </c>
      <c r="L49" s="21">
        <v>13348990.84</v>
      </c>
      <c r="M49" s="24">
        <f t="shared" si="24"/>
        <v>3.6462834968879247E-2</v>
      </c>
      <c r="N49" s="10"/>
      <c r="R49" s="2"/>
    </row>
    <row r="50" spans="1:18" x14ac:dyDescent="0.4">
      <c r="A50" s="19"/>
      <c r="B50" s="20">
        <f>DATE(2025,12,1)</f>
        <v>45992</v>
      </c>
      <c r="C50" s="21">
        <v>207138</v>
      </c>
      <c r="D50" s="21">
        <v>183070</v>
      </c>
      <c r="E50" s="22">
        <f t="shared" si="20"/>
        <v>0.13146883705686349</v>
      </c>
      <c r="F50" s="21">
        <f>+C50-102914</f>
        <v>104224</v>
      </c>
      <c r="G50" s="21">
        <f>+D50-85167</f>
        <v>97903</v>
      </c>
      <c r="H50" s="22">
        <f t="shared" si="21"/>
        <v>6.4563905089731671E-2</v>
      </c>
      <c r="I50" s="23">
        <f t="shared" si="22"/>
        <v>82.451923114059227</v>
      </c>
      <c r="J50" s="23">
        <f t="shared" si="23"/>
        <v>163.86750124731347</v>
      </c>
      <c r="K50" s="21">
        <v>17078926.449999999</v>
      </c>
      <c r="L50" s="21">
        <v>14362744.140000001</v>
      </c>
      <c r="M50" s="24">
        <f t="shared" si="24"/>
        <v>0.18911304716732205</v>
      </c>
      <c r="N50" s="10"/>
      <c r="R50" s="2"/>
    </row>
    <row r="51" spans="1:18" ht="15.4" thickBot="1" x14ac:dyDescent="0.45">
      <c r="A51" s="37"/>
      <c r="B51" s="20"/>
      <c r="C51" s="21"/>
      <c r="D51" s="21"/>
      <c r="E51" s="22"/>
      <c r="F51" s="21"/>
      <c r="G51" s="21"/>
      <c r="H51" s="22"/>
      <c r="I51" s="23"/>
      <c r="J51" s="23"/>
      <c r="K51" s="21"/>
      <c r="L51" s="21"/>
      <c r="M51" s="24"/>
      <c r="N51" s="10"/>
      <c r="R51" s="2"/>
    </row>
    <row r="52" spans="1:18" ht="15.75" thickTop="1" thickBot="1" x14ac:dyDescent="0.45">
      <c r="A52" s="38" t="s">
        <v>14</v>
      </c>
      <c r="B52" s="39"/>
      <c r="C52" s="40">
        <f>SUM(C45:C51)</f>
        <v>1123398</v>
      </c>
      <c r="D52" s="40">
        <f>SUM(D45:D51)</f>
        <v>1028047</v>
      </c>
      <c r="E52" s="280">
        <f>(+C52-D52)/D52</f>
        <v>9.274965055099621E-2</v>
      </c>
      <c r="F52" s="46">
        <f>SUM(F45:F51)</f>
        <v>585323</v>
      </c>
      <c r="G52" s="47">
        <f>SUM(G45:G51)</f>
        <v>557330</v>
      </c>
      <c r="H52" s="48">
        <f>(+F52-G52)/G52</f>
        <v>5.0226975041716755E-2</v>
      </c>
      <c r="I52" s="49">
        <f>K52/C52</f>
        <v>80.517353992084736</v>
      </c>
      <c r="J52" s="50">
        <f>K52/F52</f>
        <v>154.53524710288167</v>
      </c>
      <c r="K52" s="47">
        <f>SUM(K45:K51)</f>
        <v>90453034.440000013</v>
      </c>
      <c r="L52" s="46">
        <f>SUM(L45:L51)</f>
        <v>80090718.769999996</v>
      </c>
      <c r="M52" s="43">
        <f>(+K52-L52)/L52</f>
        <v>0.12938222841722685</v>
      </c>
      <c r="N52" s="10"/>
      <c r="R52" s="2"/>
    </row>
    <row r="53" spans="1:18" ht="15.75" customHeight="1" thickTop="1" x14ac:dyDescent="0.4">
      <c r="A53" s="272"/>
      <c r="B53" s="44"/>
      <c r="C53" s="21"/>
      <c r="D53" s="21"/>
      <c r="E53" s="22"/>
      <c r="F53" s="21"/>
      <c r="G53" s="21"/>
      <c r="H53" s="22"/>
      <c r="I53" s="23"/>
      <c r="J53" s="23"/>
      <c r="K53" s="21"/>
      <c r="L53" s="21"/>
      <c r="M53" s="24"/>
      <c r="N53" s="10"/>
      <c r="R53" s="2"/>
    </row>
    <row r="54" spans="1:18" x14ac:dyDescent="0.4">
      <c r="A54" s="273" t="s">
        <v>61</v>
      </c>
      <c r="B54" s="20">
        <f>DATE(2025,7,1)</f>
        <v>45839</v>
      </c>
      <c r="C54" s="21">
        <v>94878</v>
      </c>
      <c r="D54" s="21">
        <v>92648</v>
      </c>
      <c r="E54" s="22">
        <f t="shared" ref="E54:E59" si="25">(+C54-D54)/D54</f>
        <v>2.4069596753302825E-2</v>
      </c>
      <c r="F54" s="21">
        <f>+C54-48029</f>
        <v>46849</v>
      </c>
      <c r="G54" s="21">
        <f>+D54-46627</f>
        <v>46021</v>
      </c>
      <c r="H54" s="22">
        <f t="shared" ref="H54:H59" si="26">(+F54-G54)/G54</f>
        <v>1.7991786358401599E-2</v>
      </c>
      <c r="I54" s="23">
        <f t="shared" ref="I54:I59" si="27">K54/C54</f>
        <v>61.843469613609052</v>
      </c>
      <c r="J54" s="23">
        <f t="shared" ref="J54:J59" si="28">K54/F54</f>
        <v>125.24460949006382</v>
      </c>
      <c r="K54" s="21">
        <v>5867584.71</v>
      </c>
      <c r="L54" s="21">
        <v>5846003.7300000004</v>
      </c>
      <c r="M54" s="24">
        <f t="shared" ref="M54:M59" si="29">(+K54-L54)/L54</f>
        <v>3.6915782125235687E-3</v>
      </c>
      <c r="N54" s="10"/>
      <c r="R54" s="2"/>
    </row>
    <row r="55" spans="1:18" x14ac:dyDescent="0.4">
      <c r="A55" s="273"/>
      <c r="B55" s="20">
        <f>DATE(2025,8,1)</f>
        <v>45870</v>
      </c>
      <c r="C55" s="21">
        <v>97250</v>
      </c>
      <c r="D55" s="21">
        <v>95306</v>
      </c>
      <c r="E55" s="22">
        <f t="shared" si="25"/>
        <v>2.039745661343462E-2</v>
      </c>
      <c r="F55" s="21">
        <f>+C55-49642</f>
        <v>47608</v>
      </c>
      <c r="G55" s="21">
        <f>+D55-47322</f>
        <v>47984</v>
      </c>
      <c r="H55" s="22">
        <f t="shared" si="26"/>
        <v>-7.8359453151050345E-3</v>
      </c>
      <c r="I55" s="23">
        <f t="shared" si="27"/>
        <v>62.609686169665814</v>
      </c>
      <c r="J55" s="23">
        <f t="shared" si="28"/>
        <v>127.89430305830953</v>
      </c>
      <c r="K55" s="21">
        <v>6088791.9800000004</v>
      </c>
      <c r="L55" s="21">
        <v>6105616.8799999999</v>
      </c>
      <c r="M55" s="24">
        <f t="shared" si="29"/>
        <v>-2.7556429318571071E-3</v>
      </c>
      <c r="N55" s="10"/>
      <c r="R55" s="2"/>
    </row>
    <row r="56" spans="1:18" x14ac:dyDescent="0.4">
      <c r="A56" s="273"/>
      <c r="B56" s="20">
        <f>DATE(2025,9,1)</f>
        <v>45901</v>
      </c>
      <c r="C56" s="21">
        <v>89768</v>
      </c>
      <c r="D56" s="21">
        <v>91616</v>
      </c>
      <c r="E56" s="22">
        <f t="shared" si="25"/>
        <v>-2.0171149144254278E-2</v>
      </c>
      <c r="F56" s="21">
        <f>+C56-44178</f>
        <v>45590</v>
      </c>
      <c r="G56" s="21">
        <f>+D56-47055</f>
        <v>44561</v>
      </c>
      <c r="H56" s="22">
        <f t="shared" si="26"/>
        <v>2.3091941383721191E-2</v>
      </c>
      <c r="I56" s="23">
        <f t="shared" si="27"/>
        <v>62.32700717404866</v>
      </c>
      <c r="J56" s="23">
        <f t="shared" si="28"/>
        <v>122.72364071068218</v>
      </c>
      <c r="K56" s="21">
        <v>5594970.7800000003</v>
      </c>
      <c r="L56" s="21">
        <v>5893817.8799999999</v>
      </c>
      <c r="M56" s="24">
        <f t="shared" si="29"/>
        <v>-5.0705180595094948E-2</v>
      </c>
      <c r="N56" s="10"/>
      <c r="R56" s="2"/>
    </row>
    <row r="57" spans="1:18" x14ac:dyDescent="0.4">
      <c r="A57" s="273"/>
      <c r="B57" s="20">
        <f>DATE(2025,10,1)</f>
        <v>45931</v>
      </c>
      <c r="C57" s="21">
        <v>86661</v>
      </c>
      <c r="D57" s="21">
        <v>87502</v>
      </c>
      <c r="E57" s="22">
        <f t="shared" si="25"/>
        <v>-9.6112088866540189E-3</v>
      </c>
      <c r="F57" s="21">
        <f>+C57-42878</f>
        <v>43783</v>
      </c>
      <c r="G57" s="21">
        <f>+D57-43980</f>
        <v>43522</v>
      </c>
      <c r="H57" s="22">
        <f t="shared" si="26"/>
        <v>5.9969670511465468E-3</v>
      </c>
      <c r="I57" s="23">
        <f t="shared" si="27"/>
        <v>61.934212275418005</v>
      </c>
      <c r="J57" s="23">
        <f t="shared" si="28"/>
        <v>122.58823675855925</v>
      </c>
      <c r="K57" s="21">
        <v>5367280.7699999996</v>
      </c>
      <c r="L57" s="21">
        <v>5684741.7699999996</v>
      </c>
      <c r="M57" s="24">
        <f t="shared" si="29"/>
        <v>-5.584440117849012E-2</v>
      </c>
      <c r="N57" s="10"/>
      <c r="R57" s="2"/>
    </row>
    <row r="58" spans="1:18" x14ac:dyDescent="0.4">
      <c r="A58" s="273"/>
      <c r="B58" s="20">
        <f>DATE(2025,11,1)</f>
        <v>45962</v>
      </c>
      <c r="C58" s="21">
        <v>91773</v>
      </c>
      <c r="D58" s="21">
        <v>90838</v>
      </c>
      <c r="E58" s="22">
        <f t="shared" si="25"/>
        <v>1.0293049164446597E-2</v>
      </c>
      <c r="F58" s="21">
        <f>+C58-46467</f>
        <v>45306</v>
      </c>
      <c r="G58" s="21">
        <f>+D58-45664</f>
        <v>45174</v>
      </c>
      <c r="H58" s="22">
        <f t="shared" si="26"/>
        <v>2.922034798778058E-3</v>
      </c>
      <c r="I58" s="23">
        <f t="shared" si="27"/>
        <v>63.778900330162465</v>
      </c>
      <c r="J58" s="23">
        <f t="shared" si="28"/>
        <v>129.19218249238511</v>
      </c>
      <c r="K58" s="21">
        <v>5853181.0199999996</v>
      </c>
      <c r="L58" s="21">
        <v>6221115.5499999998</v>
      </c>
      <c r="M58" s="24">
        <f t="shared" si="29"/>
        <v>-5.9142854210447876E-2</v>
      </c>
      <c r="N58" s="10"/>
      <c r="R58" s="2"/>
    </row>
    <row r="59" spans="1:18" x14ac:dyDescent="0.4">
      <c r="A59" s="273"/>
      <c r="B59" s="20">
        <f>DATE(2025,12,1)</f>
        <v>45992</v>
      </c>
      <c r="C59" s="21">
        <v>102358</v>
      </c>
      <c r="D59" s="21">
        <v>97178</v>
      </c>
      <c r="E59" s="22">
        <f t="shared" si="25"/>
        <v>5.3304245816954456E-2</v>
      </c>
      <c r="F59" s="21">
        <f>+C59-52502</f>
        <v>49856</v>
      </c>
      <c r="G59" s="21">
        <f>+D59-49780</f>
        <v>47398</v>
      </c>
      <c r="H59" s="22">
        <f t="shared" si="26"/>
        <v>5.1858728216380441E-2</v>
      </c>
      <c r="I59" s="23">
        <f t="shared" si="27"/>
        <v>59.412657730709867</v>
      </c>
      <c r="J59" s="23">
        <f t="shared" si="28"/>
        <v>121.97851452182286</v>
      </c>
      <c r="K59" s="21">
        <v>6081360.8200000003</v>
      </c>
      <c r="L59" s="21">
        <v>6137531.1200000001</v>
      </c>
      <c r="M59" s="24">
        <f t="shared" si="29"/>
        <v>-9.1519373021117668E-3</v>
      </c>
      <c r="N59" s="10"/>
      <c r="R59" s="2"/>
    </row>
    <row r="60" spans="1:18" ht="15.75" customHeight="1" thickBot="1" x14ac:dyDescent="0.45">
      <c r="A60" s="19"/>
      <c r="B60" s="20"/>
      <c r="C60" s="21"/>
      <c r="D60" s="21"/>
      <c r="E60" s="22"/>
      <c r="F60" s="21"/>
      <c r="G60" s="21"/>
      <c r="H60" s="22"/>
      <c r="I60" s="23"/>
      <c r="J60" s="23"/>
      <c r="K60" s="21"/>
      <c r="L60" s="21"/>
      <c r="M60" s="24"/>
      <c r="N60" s="10"/>
      <c r="R60" s="2"/>
    </row>
    <row r="61" spans="1:18" ht="17.45" customHeight="1" thickTop="1" thickBot="1" x14ac:dyDescent="0.45">
      <c r="A61" s="38" t="s">
        <v>14</v>
      </c>
      <c r="B61" s="51"/>
      <c r="C61" s="46">
        <f>SUM(C54:C60)</f>
        <v>562688</v>
      </c>
      <c r="D61" s="47">
        <f>SUM(D54:D60)</f>
        <v>555088</v>
      </c>
      <c r="E61" s="280">
        <f>(+C61-D61)/D61</f>
        <v>1.3691522785576341E-2</v>
      </c>
      <c r="F61" s="47">
        <f>SUM(F54:F60)</f>
        <v>278992</v>
      </c>
      <c r="G61" s="46">
        <f>SUM(G54:G60)</f>
        <v>274660</v>
      </c>
      <c r="H61" s="45">
        <f>(+F61-G61)/G61</f>
        <v>1.5772227481249543E-2</v>
      </c>
      <c r="I61" s="50">
        <f>K61/C61</f>
        <v>61.94048936533212</v>
      </c>
      <c r="J61" s="49">
        <f>K61/F61</f>
        <v>124.92533864770316</v>
      </c>
      <c r="K61" s="46">
        <f>SUM(K54:K60)</f>
        <v>34853170.079999998</v>
      </c>
      <c r="L61" s="47">
        <f>SUM(L54:L60)</f>
        <v>35888826.93</v>
      </c>
      <c r="M61" s="43">
        <f>(+K61-L61)/L61</f>
        <v>-2.8857361429506092E-2</v>
      </c>
      <c r="N61" s="10"/>
      <c r="R61" s="2"/>
    </row>
    <row r="62" spans="1:18" ht="15.75" customHeight="1" thickTop="1" x14ac:dyDescent="0.4">
      <c r="A62" s="19"/>
      <c r="B62" s="44"/>
      <c r="C62" s="21"/>
      <c r="D62" s="21"/>
      <c r="E62" s="22"/>
      <c r="F62" s="21"/>
      <c r="G62" s="21"/>
      <c r="H62" s="22"/>
      <c r="I62" s="23"/>
      <c r="J62" s="23"/>
      <c r="K62" s="21"/>
      <c r="L62" s="21"/>
      <c r="M62" s="24"/>
      <c r="N62" s="10"/>
      <c r="R62" s="2"/>
    </row>
    <row r="63" spans="1:18" x14ac:dyDescent="0.4">
      <c r="A63" s="19" t="s">
        <v>67</v>
      </c>
      <c r="B63" s="20">
        <f>DATE(2025,7,1)</f>
        <v>45839</v>
      </c>
      <c r="C63" s="21">
        <v>204452</v>
      </c>
      <c r="D63" s="21">
        <v>257776</v>
      </c>
      <c r="E63" s="22">
        <f t="shared" ref="E63:E68" si="30">(+C63-D63)/D63</f>
        <v>-0.20686177146049284</v>
      </c>
      <c r="F63" s="21">
        <f>+C63-91736</f>
        <v>112716</v>
      </c>
      <c r="G63" s="21">
        <f>+D63-114796</f>
        <v>142980</v>
      </c>
      <c r="H63" s="22">
        <f t="shared" ref="H63:H68" si="31">(+F63-G63)/G63</f>
        <v>-0.2116659672681494</v>
      </c>
      <c r="I63" s="23">
        <f t="shared" ref="I63:I68" si="32">K63/C63</f>
        <v>54.137227124214974</v>
      </c>
      <c r="J63" s="23">
        <f t="shared" ref="J63:J68" si="33">K63/F63</f>
        <v>98.197810071329712</v>
      </c>
      <c r="K63" s="21">
        <v>11068464.359999999</v>
      </c>
      <c r="L63" s="21">
        <v>11751251.060000001</v>
      </c>
      <c r="M63" s="24">
        <f t="shared" ref="M63:M68" si="34">(+K63-L63)/L63</f>
        <v>-5.8103319937068985E-2</v>
      </c>
      <c r="N63" s="10"/>
      <c r="R63" s="2"/>
    </row>
    <row r="64" spans="1:18" x14ac:dyDescent="0.4">
      <c r="A64" s="19"/>
      <c r="B64" s="20">
        <f>DATE(2025,8,1)</f>
        <v>45870</v>
      </c>
      <c r="C64" s="21">
        <v>206623</v>
      </c>
      <c r="D64" s="21">
        <v>262210</v>
      </c>
      <c r="E64" s="22">
        <f t="shared" si="30"/>
        <v>-0.21199420311963693</v>
      </c>
      <c r="F64" s="21">
        <f>+C64-94997</f>
        <v>111626</v>
      </c>
      <c r="G64" s="21">
        <f>+D64-116032</f>
        <v>146178</v>
      </c>
      <c r="H64" s="22">
        <f t="shared" si="31"/>
        <v>-0.23636935790611446</v>
      </c>
      <c r="I64" s="23">
        <f t="shared" si="32"/>
        <v>54.642807383495544</v>
      </c>
      <c r="J64" s="23">
        <f t="shared" si="33"/>
        <v>101.14543914500206</v>
      </c>
      <c r="K64" s="21">
        <v>11290460.789999999</v>
      </c>
      <c r="L64" s="21">
        <v>11860379.300000001</v>
      </c>
      <c r="M64" s="24">
        <f t="shared" si="34"/>
        <v>-4.8052300485870766E-2</v>
      </c>
      <c r="N64" s="10"/>
      <c r="R64" s="2"/>
    </row>
    <row r="65" spans="1:18" x14ac:dyDescent="0.4">
      <c r="A65" s="19"/>
      <c r="B65" s="20">
        <f>DATE(2025,9,1)</f>
        <v>45901</v>
      </c>
      <c r="C65" s="21">
        <v>194883</v>
      </c>
      <c r="D65" s="21">
        <v>241213</v>
      </c>
      <c r="E65" s="22">
        <f t="shared" si="30"/>
        <v>-0.19207090828437937</v>
      </c>
      <c r="F65" s="21">
        <f>+C65-89384</f>
        <v>105499</v>
      </c>
      <c r="G65" s="21">
        <f>+D65-107281</f>
        <v>133932</v>
      </c>
      <c r="H65" s="22">
        <f t="shared" si="31"/>
        <v>-0.21229429859928919</v>
      </c>
      <c r="I65" s="23">
        <f t="shared" si="32"/>
        <v>52.214070237014006</v>
      </c>
      <c r="J65" s="23">
        <f t="shared" si="33"/>
        <v>96.452427511161247</v>
      </c>
      <c r="K65" s="21">
        <v>10175634.65</v>
      </c>
      <c r="L65" s="21">
        <v>11084672.869999999</v>
      </c>
      <c r="M65" s="24">
        <f t="shared" si="34"/>
        <v>-8.2008574421736535E-2</v>
      </c>
      <c r="N65" s="10"/>
      <c r="R65" s="2"/>
    </row>
    <row r="66" spans="1:18" x14ac:dyDescent="0.4">
      <c r="A66" s="19"/>
      <c r="B66" s="20">
        <f>DATE(2025,10,1)</f>
        <v>45931</v>
      </c>
      <c r="C66" s="21">
        <v>224688</v>
      </c>
      <c r="D66" s="21">
        <v>231557</v>
      </c>
      <c r="E66" s="22">
        <f t="shared" si="30"/>
        <v>-2.9664402285398413E-2</v>
      </c>
      <c r="F66" s="21">
        <f>+C66-109723</f>
        <v>114965</v>
      </c>
      <c r="G66" s="21">
        <f>+D66-99889</f>
        <v>131668</v>
      </c>
      <c r="H66" s="22">
        <f t="shared" si="31"/>
        <v>-0.12685694322082813</v>
      </c>
      <c r="I66" s="23">
        <f t="shared" si="32"/>
        <v>52.205345011749628</v>
      </c>
      <c r="J66" s="23">
        <f t="shared" si="33"/>
        <v>102.03030974644457</v>
      </c>
      <c r="K66" s="21">
        <v>11729914.560000001</v>
      </c>
      <c r="L66" s="21">
        <v>11878281.369999999</v>
      </c>
      <c r="M66" s="24">
        <f t="shared" si="34"/>
        <v>-1.249059568286676E-2</v>
      </c>
      <c r="N66" s="10"/>
      <c r="R66" s="2"/>
    </row>
    <row r="67" spans="1:18" x14ac:dyDescent="0.4">
      <c r="A67" s="19"/>
      <c r="B67" s="20">
        <f>DATE(2025,11,1)</f>
        <v>45962</v>
      </c>
      <c r="C67" s="21">
        <v>209499</v>
      </c>
      <c r="D67" s="21">
        <v>205210</v>
      </c>
      <c r="E67" s="22">
        <f t="shared" si="30"/>
        <v>2.0900540909312412E-2</v>
      </c>
      <c r="F67" s="21">
        <f>+C67-100109</f>
        <v>109390</v>
      </c>
      <c r="G67" s="21">
        <f>+D67-93004</f>
        <v>112206</v>
      </c>
      <c r="H67" s="22">
        <f t="shared" si="31"/>
        <v>-2.5096697146320162E-2</v>
      </c>
      <c r="I67" s="23">
        <f t="shared" si="32"/>
        <v>50.730441720485544</v>
      </c>
      <c r="J67" s="23">
        <f t="shared" si="33"/>
        <v>97.156749337233762</v>
      </c>
      <c r="K67" s="21">
        <v>10627976.810000001</v>
      </c>
      <c r="L67" s="21">
        <v>10272183.310000001</v>
      </c>
      <c r="M67" s="24">
        <f t="shared" si="34"/>
        <v>3.463659956823726E-2</v>
      </c>
      <c r="N67" s="10"/>
      <c r="R67" s="2"/>
    </row>
    <row r="68" spans="1:18" x14ac:dyDescent="0.4">
      <c r="A68" s="19"/>
      <c r="B68" s="20">
        <f>DATE(2025,12,1)</f>
        <v>45992</v>
      </c>
      <c r="C68" s="21">
        <v>199859</v>
      </c>
      <c r="D68" s="21">
        <v>207194</v>
      </c>
      <c r="E68" s="22">
        <f t="shared" si="30"/>
        <v>-3.5401604293560623E-2</v>
      </c>
      <c r="F68" s="21">
        <f>+C68-94385</f>
        <v>105474</v>
      </c>
      <c r="G68" s="21">
        <f>+D68-94614</f>
        <v>112580</v>
      </c>
      <c r="H68" s="22">
        <f t="shared" si="31"/>
        <v>-6.3119559424409305E-2</v>
      </c>
      <c r="I68" s="23">
        <f t="shared" si="32"/>
        <v>52.817517249661009</v>
      </c>
      <c r="J68" s="23">
        <f t="shared" si="33"/>
        <v>100.08206932514175</v>
      </c>
      <c r="K68" s="21">
        <v>10556056.18</v>
      </c>
      <c r="L68" s="21">
        <v>10621511.76</v>
      </c>
      <c r="M68" s="24">
        <f t="shared" si="34"/>
        <v>-6.1625483715512146E-3</v>
      </c>
      <c r="N68" s="10"/>
      <c r="R68" s="2"/>
    </row>
    <row r="69" spans="1:18" ht="15.75" customHeight="1" thickBot="1" x14ac:dyDescent="0.45">
      <c r="A69" s="19"/>
      <c r="B69" s="44"/>
      <c r="C69" s="21"/>
      <c r="D69" s="21"/>
      <c r="E69" s="22"/>
      <c r="F69" s="21"/>
      <c r="G69" s="21"/>
      <c r="H69" s="22"/>
      <c r="I69" s="23"/>
      <c r="J69" s="23"/>
      <c r="K69" s="21"/>
      <c r="L69" s="21"/>
      <c r="M69" s="24"/>
      <c r="N69" s="10"/>
      <c r="R69" s="2"/>
    </row>
    <row r="70" spans="1:18" ht="17.45" customHeight="1" thickTop="1" thickBot="1" x14ac:dyDescent="0.45">
      <c r="A70" s="38" t="s">
        <v>14</v>
      </c>
      <c r="B70" s="51"/>
      <c r="C70" s="46">
        <f>SUM(C63:C69)</f>
        <v>1240004</v>
      </c>
      <c r="D70" s="47">
        <f>SUM(D63:D69)</f>
        <v>1405160</v>
      </c>
      <c r="E70" s="280">
        <f>(+C70-D70)/D70</f>
        <v>-0.11753536963762135</v>
      </c>
      <c r="F70" s="47">
        <f>SUM(F63:F69)</f>
        <v>659670</v>
      </c>
      <c r="G70" s="46">
        <f>SUM(G63:G69)</f>
        <v>779544</v>
      </c>
      <c r="H70" s="52">
        <f>(+F70-G70)/G70</f>
        <v>-0.15377451433145531</v>
      </c>
      <c r="I70" s="50">
        <f>K70/C70</f>
        <v>52.780884053599827</v>
      </c>
      <c r="J70" s="49">
        <f>K70/F70</f>
        <v>99.214012081798472</v>
      </c>
      <c r="K70" s="46">
        <f>SUM(K63:K69)</f>
        <v>65448507.350000001</v>
      </c>
      <c r="L70" s="47">
        <f>SUM(L63:L69)</f>
        <v>67468279.670000002</v>
      </c>
      <c r="M70" s="43">
        <f>(+K70-L70)/L70</f>
        <v>-2.9936621029602137E-2</v>
      </c>
      <c r="N70" s="10"/>
      <c r="R70" s="2"/>
    </row>
    <row r="71" spans="1:18" ht="15.75" customHeight="1" thickTop="1" x14ac:dyDescent="0.4">
      <c r="A71" s="19"/>
      <c r="B71" s="44"/>
      <c r="C71" s="21"/>
      <c r="D71" s="21"/>
      <c r="E71" s="22"/>
      <c r="F71" s="21"/>
      <c r="G71" s="21"/>
      <c r="H71" s="22"/>
      <c r="I71" s="23"/>
      <c r="J71" s="23"/>
      <c r="K71" s="21"/>
      <c r="L71" s="21"/>
      <c r="M71" s="24"/>
      <c r="N71" s="10"/>
      <c r="R71" s="2"/>
    </row>
    <row r="72" spans="1:18" ht="15.75" customHeight="1" x14ac:dyDescent="0.4">
      <c r="A72" s="19" t="s">
        <v>69</v>
      </c>
      <c r="B72" s="20">
        <f>DATE(2025,7,1)</f>
        <v>45839</v>
      </c>
      <c r="C72" s="21">
        <v>216398</v>
      </c>
      <c r="D72" s="21">
        <v>179532</v>
      </c>
      <c r="E72" s="22">
        <f t="shared" ref="E72:E77" si="35">(+C72-D72)/D72</f>
        <v>0.20534500813225498</v>
      </c>
      <c r="F72" s="21">
        <f>+C72-97090</f>
        <v>119308</v>
      </c>
      <c r="G72" s="21">
        <f>+D72-80702</f>
        <v>98830</v>
      </c>
      <c r="H72" s="22">
        <f t="shared" ref="H72:H77" si="36">(+F72-G72)/G72</f>
        <v>0.20720429019528483</v>
      </c>
      <c r="I72" s="23">
        <f t="shared" ref="I72:I77" si="37">K72/C72</f>
        <v>66.817602658065226</v>
      </c>
      <c r="J72" s="23">
        <f t="shared" ref="J72:J77" si="38">K72/F72</f>
        <v>121.19217135481276</v>
      </c>
      <c r="K72" s="21">
        <v>14459195.58</v>
      </c>
      <c r="L72" s="21">
        <v>11941116.9</v>
      </c>
      <c r="M72" s="24">
        <f t="shared" ref="M72:M77" si="39">(+K72-L72)/L72</f>
        <v>0.21087463602336895</v>
      </c>
      <c r="N72" s="10"/>
      <c r="R72" s="2"/>
    </row>
    <row r="73" spans="1:18" ht="15.75" customHeight="1" x14ac:dyDescent="0.4">
      <c r="A73" s="19"/>
      <c r="B73" s="20">
        <f>DATE(2025,8,1)</f>
        <v>45870</v>
      </c>
      <c r="C73" s="21">
        <v>230610</v>
      </c>
      <c r="D73" s="21">
        <v>184933</v>
      </c>
      <c r="E73" s="22">
        <f t="shared" si="35"/>
        <v>0.24699215391520171</v>
      </c>
      <c r="F73" s="21">
        <f>+C73-104945</f>
        <v>125665</v>
      </c>
      <c r="G73" s="21">
        <f>+D73-83211</f>
        <v>101722</v>
      </c>
      <c r="H73" s="22">
        <f t="shared" si="36"/>
        <v>0.23537681130925464</v>
      </c>
      <c r="I73" s="23">
        <f t="shared" si="37"/>
        <v>66.546834439096315</v>
      </c>
      <c r="J73" s="23">
        <f t="shared" si="38"/>
        <v>122.12123892889826</v>
      </c>
      <c r="K73" s="21">
        <v>15346365.49</v>
      </c>
      <c r="L73" s="21">
        <v>11618380.869999999</v>
      </c>
      <c r="M73" s="24">
        <f t="shared" si="39"/>
        <v>0.32086954815073138</v>
      </c>
      <c r="N73" s="10"/>
      <c r="R73" s="2"/>
    </row>
    <row r="74" spans="1:18" ht="15.75" customHeight="1" x14ac:dyDescent="0.4">
      <c r="A74" s="19"/>
      <c r="B74" s="20">
        <f>DATE(2025,9,1)</f>
        <v>45901</v>
      </c>
      <c r="C74" s="21">
        <v>204466</v>
      </c>
      <c r="D74" s="21">
        <v>169283</v>
      </c>
      <c r="E74" s="22">
        <f t="shared" si="35"/>
        <v>0.20783539989248773</v>
      </c>
      <c r="F74" s="21">
        <f>+C74-91793</f>
        <v>112673</v>
      </c>
      <c r="G74" s="21">
        <f>+D74-78026</f>
        <v>91257</v>
      </c>
      <c r="H74" s="22">
        <f t="shared" si="36"/>
        <v>0.23467788772368148</v>
      </c>
      <c r="I74" s="23">
        <f t="shared" si="37"/>
        <v>64.941878894290497</v>
      </c>
      <c r="J74" s="23">
        <f t="shared" si="38"/>
        <v>117.84905176927926</v>
      </c>
      <c r="K74" s="21">
        <v>13278406.210000001</v>
      </c>
      <c r="L74" s="21">
        <v>10583991.34</v>
      </c>
      <c r="M74" s="24">
        <f t="shared" si="39"/>
        <v>0.25457455353511288</v>
      </c>
      <c r="N74" s="10"/>
      <c r="R74" s="2"/>
    </row>
    <row r="75" spans="1:18" ht="15.75" customHeight="1" x14ac:dyDescent="0.4">
      <c r="A75" s="19"/>
      <c r="B75" s="20">
        <f>DATE(2025,10,1)</f>
        <v>45931</v>
      </c>
      <c r="C75" s="21">
        <v>202121</v>
      </c>
      <c r="D75" s="21">
        <v>170885</v>
      </c>
      <c r="E75" s="22">
        <f t="shared" si="35"/>
        <v>0.18278959534189659</v>
      </c>
      <c r="F75" s="21">
        <f>+C75-92017</f>
        <v>110104</v>
      </c>
      <c r="G75" s="21">
        <f>+D75-79112</f>
        <v>91773</v>
      </c>
      <c r="H75" s="22">
        <f t="shared" si="36"/>
        <v>0.19974284375578874</v>
      </c>
      <c r="I75" s="23">
        <f t="shared" si="37"/>
        <v>64.579149370921385</v>
      </c>
      <c r="J75" s="23">
        <f t="shared" si="38"/>
        <v>118.54975523141756</v>
      </c>
      <c r="K75" s="21">
        <v>13052802.25</v>
      </c>
      <c r="L75" s="21">
        <v>10511697.35</v>
      </c>
      <c r="M75" s="24">
        <f t="shared" si="39"/>
        <v>0.2417406832969749</v>
      </c>
      <c r="N75" s="10"/>
      <c r="R75" s="2"/>
    </row>
    <row r="76" spans="1:18" ht="15.75" customHeight="1" x14ac:dyDescent="0.4">
      <c r="A76" s="19"/>
      <c r="B76" s="20">
        <f>DATE(2025,11,1)</f>
        <v>45962</v>
      </c>
      <c r="C76" s="21">
        <v>195611</v>
      </c>
      <c r="D76" s="21">
        <v>163835</v>
      </c>
      <c r="E76" s="22">
        <f t="shared" si="35"/>
        <v>0.19395123142185736</v>
      </c>
      <c r="F76" s="21">
        <f>+C76-90302</f>
        <v>105309</v>
      </c>
      <c r="G76" s="21">
        <f>+D76-76658</f>
        <v>87177</v>
      </c>
      <c r="H76" s="22">
        <f t="shared" si="36"/>
        <v>0.20799063973295709</v>
      </c>
      <c r="I76" s="23">
        <f t="shared" si="37"/>
        <v>65.308032370367712</v>
      </c>
      <c r="J76" s="23">
        <f t="shared" si="38"/>
        <v>121.30938020492076</v>
      </c>
      <c r="K76" s="21">
        <v>12774969.52</v>
      </c>
      <c r="L76" s="21">
        <v>11439180.77</v>
      </c>
      <c r="M76" s="24">
        <f t="shared" si="39"/>
        <v>0.11677311311516236</v>
      </c>
      <c r="N76" s="10"/>
      <c r="R76" s="2"/>
    </row>
    <row r="77" spans="1:18" ht="15.75" customHeight="1" x14ac:dyDescent="0.4">
      <c r="A77" s="19"/>
      <c r="B77" s="20">
        <f>DATE(2025,12,1)</f>
        <v>45992</v>
      </c>
      <c r="C77" s="21">
        <v>218568</v>
      </c>
      <c r="D77" s="21">
        <v>187552</v>
      </c>
      <c r="E77" s="22">
        <f t="shared" si="35"/>
        <v>0.16537280327589149</v>
      </c>
      <c r="F77" s="21">
        <f>+C77-98946</f>
        <v>119622</v>
      </c>
      <c r="G77" s="21">
        <f>+D77-85356</f>
        <v>102196</v>
      </c>
      <c r="H77" s="22">
        <f t="shared" si="36"/>
        <v>0.17051548005792791</v>
      </c>
      <c r="I77" s="23">
        <f t="shared" si="37"/>
        <v>65.857020652611538</v>
      </c>
      <c r="J77" s="23">
        <f t="shared" si="38"/>
        <v>120.3310201300764</v>
      </c>
      <c r="K77" s="21">
        <v>14394237.289999999</v>
      </c>
      <c r="L77" s="21">
        <v>12422717.1</v>
      </c>
      <c r="M77" s="24">
        <f t="shared" si="39"/>
        <v>0.15870281631061209</v>
      </c>
      <c r="N77" s="10"/>
      <c r="R77" s="2"/>
    </row>
    <row r="78" spans="1:18" ht="15.75" customHeight="1" thickBot="1" x14ac:dyDescent="0.45">
      <c r="A78" s="19"/>
      <c r="B78" s="44"/>
      <c r="C78" s="21"/>
      <c r="D78" s="21"/>
      <c r="E78" s="22"/>
      <c r="F78" s="21"/>
      <c r="G78" s="21"/>
      <c r="H78" s="22"/>
      <c r="I78" s="23"/>
      <c r="J78" s="23"/>
      <c r="K78" s="21"/>
      <c r="L78" s="21"/>
      <c r="M78" s="24"/>
      <c r="N78" s="10"/>
      <c r="R78" s="2"/>
    </row>
    <row r="79" spans="1:18" ht="15.75" thickTop="1" thickBot="1" x14ac:dyDescent="0.45">
      <c r="A79" s="38" t="s">
        <v>14</v>
      </c>
      <c r="B79" s="39"/>
      <c r="C79" s="40">
        <f>SUM(C72:C78)</f>
        <v>1267774</v>
      </c>
      <c r="D79" s="40">
        <f>SUM(D72:D78)</f>
        <v>1056020</v>
      </c>
      <c r="E79" s="279">
        <f>(+C79-D79)/D79</f>
        <v>0.20052082346925248</v>
      </c>
      <c r="F79" s="40">
        <f>SUM(F72:F78)</f>
        <v>692681</v>
      </c>
      <c r="G79" s="40">
        <f>SUM(G72:G78)</f>
        <v>572955</v>
      </c>
      <c r="H79" s="41">
        <f>(+F79-G79)/G79</f>
        <v>0.20896230943093261</v>
      </c>
      <c r="I79" s="42">
        <f>K79/C79</f>
        <v>65.710431307157279</v>
      </c>
      <c r="J79" s="42">
        <f>K79/F79</f>
        <v>120.26600461106916</v>
      </c>
      <c r="K79" s="40">
        <f>SUM(K72:K78)</f>
        <v>83305976.340000004</v>
      </c>
      <c r="L79" s="40">
        <f>SUM(L72:L78)</f>
        <v>68517084.329999998</v>
      </c>
      <c r="M79" s="43">
        <f>(+K79-L79)/L79</f>
        <v>0.21584240127282728</v>
      </c>
      <c r="N79" s="10"/>
      <c r="R79" s="2"/>
    </row>
    <row r="80" spans="1:18" ht="15.75" customHeight="1" thickTop="1" x14ac:dyDescent="0.4">
      <c r="A80" s="53"/>
      <c r="B80" s="54"/>
      <c r="C80" s="54"/>
      <c r="D80" s="54"/>
      <c r="E80" s="55"/>
      <c r="F80" s="54"/>
      <c r="G80" s="54"/>
      <c r="H80" s="55"/>
      <c r="I80" s="54"/>
      <c r="J80" s="54"/>
      <c r="K80" s="195"/>
      <c r="L80" s="195"/>
      <c r="M80" s="56"/>
      <c r="N80" s="10"/>
      <c r="R80" s="2"/>
    </row>
    <row r="81" spans="1:18" ht="15.75" customHeight="1" x14ac:dyDescent="0.4">
      <c r="A81" s="19" t="s">
        <v>16</v>
      </c>
      <c r="B81" s="20">
        <f>DATE(2025,7,1)</f>
        <v>45839</v>
      </c>
      <c r="C81" s="21">
        <v>256392</v>
      </c>
      <c r="D81" s="21">
        <v>241251</v>
      </c>
      <c r="E81" s="22">
        <f t="shared" ref="E81:E86" si="40">(+C81-D81)/D81</f>
        <v>6.2760361615081389E-2</v>
      </c>
      <c r="F81" s="21">
        <f>+C81-136380</f>
        <v>120012</v>
      </c>
      <c r="G81" s="21">
        <f>+D81-122029</f>
        <v>119222</v>
      </c>
      <c r="H81" s="22">
        <f t="shared" ref="H81:H86" si="41">(+F81-G81)/G81</f>
        <v>6.6262938048346782E-3</v>
      </c>
      <c r="I81" s="23">
        <f t="shared" ref="I81:I86" si="42">K81/C81</f>
        <v>68.159802372928951</v>
      </c>
      <c r="J81" s="23">
        <f t="shared" ref="J81:J86" si="43">K81/F81</f>
        <v>145.61567218278174</v>
      </c>
      <c r="K81" s="21">
        <v>17475628.050000001</v>
      </c>
      <c r="L81" s="21">
        <v>16833896.640000001</v>
      </c>
      <c r="M81" s="24">
        <f t="shared" ref="M81:M86" si="44">(+K81-L81)/L81</f>
        <v>3.8121382334922078E-2</v>
      </c>
      <c r="N81" s="10"/>
      <c r="R81" s="2"/>
    </row>
    <row r="82" spans="1:18" ht="15.75" customHeight="1" x14ac:dyDescent="0.4">
      <c r="A82" s="19"/>
      <c r="B82" s="20">
        <f>DATE(2025,8,1)</f>
        <v>45870</v>
      </c>
      <c r="C82" s="21">
        <v>264680</v>
      </c>
      <c r="D82" s="21">
        <v>252387</v>
      </c>
      <c r="E82" s="22">
        <f t="shared" si="40"/>
        <v>4.8706946078839242E-2</v>
      </c>
      <c r="F82" s="21">
        <f>+C82-139345</f>
        <v>125335</v>
      </c>
      <c r="G82" s="21">
        <f>+D82-128448</f>
        <v>123939</v>
      </c>
      <c r="H82" s="22">
        <f t="shared" si="41"/>
        <v>1.1263605483342612E-2</v>
      </c>
      <c r="I82" s="23">
        <f t="shared" si="42"/>
        <v>67.211676515037027</v>
      </c>
      <c r="J82" s="23">
        <f t="shared" si="43"/>
        <v>141.93630302788526</v>
      </c>
      <c r="K82" s="21">
        <v>17789586.539999999</v>
      </c>
      <c r="L82" s="21">
        <v>17738787.879999999</v>
      </c>
      <c r="M82" s="24">
        <f t="shared" si="44"/>
        <v>2.8637052510940872E-3</v>
      </c>
      <c r="N82" s="10"/>
      <c r="R82" s="2"/>
    </row>
    <row r="83" spans="1:18" ht="15.75" customHeight="1" x14ac:dyDescent="0.4">
      <c r="A83" s="19"/>
      <c r="B83" s="20">
        <f>DATE(2025,9,1)</f>
        <v>45901</v>
      </c>
      <c r="C83" s="21">
        <v>229065</v>
      </c>
      <c r="D83" s="21">
        <v>226206</v>
      </c>
      <c r="E83" s="22">
        <f t="shared" si="40"/>
        <v>1.2638922044508102E-2</v>
      </c>
      <c r="F83" s="21">
        <f>+C83-122117</f>
        <v>106948</v>
      </c>
      <c r="G83" s="21">
        <f>+D83-113686</f>
        <v>112520</v>
      </c>
      <c r="H83" s="22">
        <f t="shared" si="41"/>
        <v>-4.9520085318165659E-2</v>
      </c>
      <c r="I83" s="23">
        <f t="shared" si="42"/>
        <v>68.787489096981204</v>
      </c>
      <c r="J83" s="23">
        <f t="shared" si="43"/>
        <v>147.33147127576018</v>
      </c>
      <c r="K83" s="21">
        <v>15756806.189999999</v>
      </c>
      <c r="L83" s="21">
        <v>16336895.189999999</v>
      </c>
      <c r="M83" s="24">
        <f t="shared" si="44"/>
        <v>-3.5507909749894158E-2</v>
      </c>
      <c r="N83" s="10"/>
      <c r="R83" s="2"/>
    </row>
    <row r="84" spans="1:18" ht="15.75" customHeight="1" x14ac:dyDescent="0.4">
      <c r="A84" s="19"/>
      <c r="B84" s="20">
        <f>DATE(2025,10,1)</f>
        <v>45931</v>
      </c>
      <c r="C84" s="21">
        <v>242671</v>
      </c>
      <c r="D84" s="21">
        <v>225125</v>
      </c>
      <c r="E84" s="22">
        <f t="shared" si="40"/>
        <v>7.793892282065519E-2</v>
      </c>
      <c r="F84" s="21">
        <f>+C84-126644</f>
        <v>116027</v>
      </c>
      <c r="G84" s="21">
        <f>+D84-114268</f>
        <v>110857</v>
      </c>
      <c r="H84" s="22">
        <f t="shared" si="41"/>
        <v>4.6636658036930463E-2</v>
      </c>
      <c r="I84" s="23">
        <f t="shared" si="42"/>
        <v>69.276230699177077</v>
      </c>
      <c r="J84" s="23">
        <f t="shared" si="43"/>
        <v>144.89155265584733</v>
      </c>
      <c r="K84" s="21">
        <v>16811332.18</v>
      </c>
      <c r="L84" s="21">
        <v>15330195.15</v>
      </c>
      <c r="M84" s="24">
        <f t="shared" si="44"/>
        <v>9.6615667022347029E-2</v>
      </c>
      <c r="N84" s="10"/>
      <c r="R84" s="2"/>
    </row>
    <row r="85" spans="1:18" ht="15.75" customHeight="1" x14ac:dyDescent="0.4">
      <c r="A85" s="19"/>
      <c r="B85" s="20">
        <f>DATE(2025,11,1)</f>
        <v>45962</v>
      </c>
      <c r="C85" s="21">
        <v>240994</v>
      </c>
      <c r="D85" s="21">
        <v>239580</v>
      </c>
      <c r="E85" s="22">
        <f t="shared" si="40"/>
        <v>5.9019951581935053E-3</v>
      </c>
      <c r="F85" s="21">
        <f>+C85-128119</f>
        <v>112875</v>
      </c>
      <c r="G85" s="21">
        <f>+D85-123980</f>
        <v>115600</v>
      </c>
      <c r="H85" s="22">
        <f t="shared" si="41"/>
        <v>-2.3572664359861592E-2</v>
      </c>
      <c r="I85" s="23">
        <f t="shared" si="42"/>
        <v>66.289486667717867</v>
      </c>
      <c r="J85" s="23">
        <f t="shared" si="43"/>
        <v>141.5315043189369</v>
      </c>
      <c r="K85" s="21">
        <v>15975368.550000001</v>
      </c>
      <c r="L85" s="21">
        <v>16335911.6</v>
      </c>
      <c r="M85" s="24">
        <f t="shared" si="44"/>
        <v>-2.2070580377038702E-2</v>
      </c>
      <c r="N85" s="10"/>
      <c r="R85" s="2"/>
    </row>
    <row r="86" spans="1:18" ht="15.75" customHeight="1" x14ac:dyDescent="0.4">
      <c r="A86" s="19"/>
      <c r="B86" s="20">
        <f>DATE(2025,12,1)</f>
        <v>45992</v>
      </c>
      <c r="C86" s="21">
        <v>269427</v>
      </c>
      <c r="D86" s="21">
        <v>259501</v>
      </c>
      <c r="E86" s="22">
        <f t="shared" si="40"/>
        <v>3.8250334295436242E-2</v>
      </c>
      <c r="F86" s="21">
        <f>+C86-143023</f>
        <v>126404</v>
      </c>
      <c r="G86" s="21">
        <f>+D86-135333</f>
        <v>124168</v>
      </c>
      <c r="H86" s="22">
        <f t="shared" si="41"/>
        <v>1.8007860318278463E-2</v>
      </c>
      <c r="I86" s="23">
        <f t="shared" si="42"/>
        <v>64.134331414446223</v>
      </c>
      <c r="J86" s="23">
        <f t="shared" si="43"/>
        <v>136.70074135312174</v>
      </c>
      <c r="K86" s="21">
        <v>17279520.510000002</v>
      </c>
      <c r="L86" s="21">
        <v>17129237.199999999</v>
      </c>
      <c r="M86" s="24">
        <f t="shared" si="44"/>
        <v>8.7734969307332843E-3</v>
      </c>
      <c r="N86" s="10"/>
      <c r="R86" s="2"/>
    </row>
    <row r="87" spans="1:18" ht="15.75" customHeight="1" thickBot="1" x14ac:dyDescent="0.45">
      <c r="A87" s="19"/>
      <c r="B87" s="44"/>
      <c r="C87" s="21"/>
      <c r="D87" s="21"/>
      <c r="E87" s="22"/>
      <c r="F87" s="21"/>
      <c r="G87" s="21"/>
      <c r="H87" s="22"/>
      <c r="I87" s="23"/>
      <c r="J87" s="23"/>
      <c r="K87" s="21"/>
      <c r="L87" s="21"/>
      <c r="M87" s="24"/>
      <c r="N87" s="10"/>
      <c r="R87" s="2"/>
    </row>
    <row r="88" spans="1:18" ht="15.75" thickTop="1" thickBot="1" x14ac:dyDescent="0.45">
      <c r="A88" s="38" t="s">
        <v>14</v>
      </c>
      <c r="B88" s="39"/>
      <c r="C88" s="40">
        <f>SUM(C81:C87)</f>
        <v>1503229</v>
      </c>
      <c r="D88" s="40">
        <f>SUM(D81:D87)</f>
        <v>1444050</v>
      </c>
      <c r="E88" s="279">
        <f>(+C88-D88)/D88</f>
        <v>4.0981267961635676E-2</v>
      </c>
      <c r="F88" s="40">
        <f>SUM(F81:F87)</f>
        <v>707601</v>
      </c>
      <c r="G88" s="40">
        <f>SUM(G81:G87)</f>
        <v>706306</v>
      </c>
      <c r="H88" s="41">
        <f>(+F88-G88)/G88</f>
        <v>1.8334829379900496E-3</v>
      </c>
      <c r="I88" s="42">
        <f>K88/C88</f>
        <v>67.247400110029815</v>
      </c>
      <c r="J88" s="42">
        <f>K88/F88</f>
        <v>142.86051322708704</v>
      </c>
      <c r="K88" s="40">
        <f>SUM(K81:K87)</f>
        <v>101088242.02000001</v>
      </c>
      <c r="L88" s="40">
        <f>SUM(L81:L87)</f>
        <v>99704923.659999996</v>
      </c>
      <c r="M88" s="43">
        <f>(+K88-L88)/L88</f>
        <v>1.3874122853924607E-2</v>
      </c>
      <c r="N88" s="10"/>
      <c r="R88" s="2"/>
    </row>
    <row r="89" spans="1:18" ht="15.75" customHeight="1" thickTop="1" x14ac:dyDescent="0.4">
      <c r="A89" s="53"/>
      <c r="B89" s="54"/>
      <c r="C89" s="54"/>
      <c r="D89" s="54"/>
      <c r="E89" s="55"/>
      <c r="F89" s="54"/>
      <c r="G89" s="54"/>
      <c r="H89" s="55"/>
      <c r="I89" s="54"/>
      <c r="J89" s="54"/>
      <c r="K89" s="195"/>
      <c r="L89" s="195"/>
      <c r="M89" s="56"/>
      <c r="N89" s="10"/>
      <c r="R89" s="2"/>
    </row>
    <row r="90" spans="1:18" ht="15.75" customHeight="1" x14ac:dyDescent="0.4">
      <c r="A90" s="19" t="s">
        <v>53</v>
      </c>
      <c r="B90" s="20">
        <f>DATE(2025,7,1)</f>
        <v>45839</v>
      </c>
      <c r="C90" s="21">
        <v>334577</v>
      </c>
      <c r="D90" s="21">
        <v>331492</v>
      </c>
      <c r="E90" s="22">
        <f t="shared" ref="E90:E95" si="45">(+C90-D90)/D90</f>
        <v>9.3064086011125455E-3</v>
      </c>
      <c r="F90" s="21">
        <f>+C90-156657</f>
        <v>177920</v>
      </c>
      <c r="G90" s="21">
        <f>+D90-154270</f>
        <v>177222</v>
      </c>
      <c r="H90" s="22">
        <f t="shared" ref="H90:H95" si="46">(+F90-G90)/G90</f>
        <v>3.9385629323673132E-3</v>
      </c>
      <c r="I90" s="23">
        <f t="shared" ref="I90:I95" si="47">K90/C90</f>
        <v>66.550795661387355</v>
      </c>
      <c r="J90" s="23">
        <f t="shared" ref="J90:J95" si="48">K90/F90</f>
        <v>125.14818772482013</v>
      </c>
      <c r="K90" s="21">
        <v>22266365.559999999</v>
      </c>
      <c r="L90" s="21">
        <v>20666135.579999998</v>
      </c>
      <c r="M90" s="24">
        <f t="shared" ref="M90:M95" si="49">(+K90-L90)/L90</f>
        <v>7.7432472742927805E-2</v>
      </c>
      <c r="N90" s="10"/>
      <c r="R90" s="2"/>
    </row>
    <row r="91" spans="1:18" ht="15.75" customHeight="1" x14ac:dyDescent="0.4">
      <c r="A91" s="19"/>
      <c r="B91" s="20">
        <f>DATE(2025,8,1)</f>
        <v>45870</v>
      </c>
      <c r="C91" s="21">
        <v>344204</v>
      </c>
      <c r="D91" s="21">
        <v>357343</v>
      </c>
      <c r="E91" s="22">
        <f t="shared" si="45"/>
        <v>-3.6768594879429566E-2</v>
      </c>
      <c r="F91" s="21">
        <f>+C91-159754</f>
        <v>184450</v>
      </c>
      <c r="G91" s="21">
        <f>+D91-161766</f>
        <v>195577</v>
      </c>
      <c r="H91" s="22">
        <f t="shared" si="46"/>
        <v>-5.689319296236265E-2</v>
      </c>
      <c r="I91" s="23">
        <f t="shared" si="47"/>
        <v>69.857439803139997</v>
      </c>
      <c r="J91" s="23">
        <f t="shared" si="48"/>
        <v>130.36167096774193</v>
      </c>
      <c r="K91" s="21">
        <v>24045210.210000001</v>
      </c>
      <c r="L91" s="21">
        <v>21638089.190000001</v>
      </c>
      <c r="M91" s="24">
        <f t="shared" si="49"/>
        <v>0.11124462048675007</v>
      </c>
      <c r="N91" s="10"/>
      <c r="R91" s="2"/>
    </row>
    <row r="92" spans="1:18" ht="15.75" customHeight="1" x14ac:dyDescent="0.4">
      <c r="A92" s="19"/>
      <c r="B92" s="20">
        <f>DATE(2025,9,1)</f>
        <v>45901</v>
      </c>
      <c r="C92" s="21">
        <v>307673</v>
      </c>
      <c r="D92" s="21">
        <v>320719</v>
      </c>
      <c r="E92" s="22">
        <f t="shared" si="45"/>
        <v>-4.0677353072315639E-2</v>
      </c>
      <c r="F92" s="21">
        <f>+C92-142575</f>
        <v>165098</v>
      </c>
      <c r="G92" s="21">
        <f>+D92-145865</f>
        <v>174854</v>
      </c>
      <c r="H92" s="22">
        <f t="shared" si="46"/>
        <v>-5.579512050053187E-2</v>
      </c>
      <c r="I92" s="23">
        <f t="shared" si="47"/>
        <v>69.893282283463293</v>
      </c>
      <c r="J92" s="23">
        <f t="shared" si="48"/>
        <v>130.25158293861827</v>
      </c>
      <c r="K92" s="21">
        <v>21504275.84</v>
      </c>
      <c r="L92" s="21">
        <v>20401476.460000001</v>
      </c>
      <c r="M92" s="24">
        <f t="shared" si="49"/>
        <v>5.4054880888753036E-2</v>
      </c>
      <c r="N92" s="10"/>
      <c r="R92" s="2"/>
    </row>
    <row r="93" spans="1:18" ht="15.75" customHeight="1" x14ac:dyDescent="0.4">
      <c r="A93" s="19"/>
      <c r="B93" s="20">
        <f>DATE(2025,10,1)</f>
        <v>45931</v>
      </c>
      <c r="C93" s="21">
        <v>327896</v>
      </c>
      <c r="D93" s="21">
        <v>327430</v>
      </c>
      <c r="E93" s="22">
        <f t="shared" si="45"/>
        <v>1.4232049598387443E-3</v>
      </c>
      <c r="F93" s="21">
        <f>+C93-156398</f>
        <v>171498</v>
      </c>
      <c r="G93" s="21">
        <f>+D93-150962</f>
        <v>176468</v>
      </c>
      <c r="H93" s="22">
        <f t="shared" si="46"/>
        <v>-2.8163746401613891E-2</v>
      </c>
      <c r="I93" s="23">
        <f t="shared" si="47"/>
        <v>69.119912014785186</v>
      </c>
      <c r="J93" s="23">
        <f t="shared" si="48"/>
        <v>132.15397654783146</v>
      </c>
      <c r="K93" s="21">
        <v>22664142.670000002</v>
      </c>
      <c r="L93" s="21">
        <v>21417542.489999998</v>
      </c>
      <c r="M93" s="24">
        <f t="shared" si="49"/>
        <v>5.8204632047866828E-2</v>
      </c>
      <c r="N93" s="10"/>
      <c r="R93" s="2"/>
    </row>
    <row r="94" spans="1:18" ht="15.75" customHeight="1" x14ac:dyDescent="0.4">
      <c r="A94" s="19"/>
      <c r="B94" s="20">
        <f>DATE(2025,11,1)</f>
        <v>45962</v>
      </c>
      <c r="C94" s="21">
        <v>315661</v>
      </c>
      <c r="D94" s="21">
        <v>333683</v>
      </c>
      <c r="E94" s="22">
        <f t="shared" si="45"/>
        <v>-5.4009344197936363E-2</v>
      </c>
      <c r="F94" s="21">
        <f>+C94-150565</f>
        <v>165096</v>
      </c>
      <c r="G94" s="21">
        <f>+D94-155206</f>
        <v>178477</v>
      </c>
      <c r="H94" s="22">
        <f t="shared" si="46"/>
        <v>-7.497324585240675E-2</v>
      </c>
      <c r="I94" s="23">
        <f t="shared" si="47"/>
        <v>69.176024184172263</v>
      </c>
      <c r="J94" s="23">
        <f t="shared" si="48"/>
        <v>132.26348893976837</v>
      </c>
      <c r="K94" s="21">
        <v>21836172.969999999</v>
      </c>
      <c r="L94" s="21">
        <v>20910598.879999999</v>
      </c>
      <c r="M94" s="24">
        <f t="shared" si="49"/>
        <v>4.42633946216274E-2</v>
      </c>
      <c r="N94" s="10"/>
      <c r="R94" s="2"/>
    </row>
    <row r="95" spans="1:18" ht="15.75" customHeight="1" x14ac:dyDescent="0.4">
      <c r="A95" s="19"/>
      <c r="B95" s="20">
        <f>DATE(2025,12,1)</f>
        <v>45992</v>
      </c>
      <c r="C95" s="21">
        <v>332415</v>
      </c>
      <c r="D95" s="21">
        <v>351490</v>
      </c>
      <c r="E95" s="22">
        <f t="shared" si="45"/>
        <v>-5.4268969245213232E-2</v>
      </c>
      <c r="F95" s="21">
        <f>+C95-161348</f>
        <v>171067</v>
      </c>
      <c r="G95" s="21">
        <f>+D95-166912</f>
        <v>184578</v>
      </c>
      <c r="H95" s="22">
        <f t="shared" si="46"/>
        <v>-7.3199406213091484E-2</v>
      </c>
      <c r="I95" s="23">
        <f t="shared" si="47"/>
        <v>70.470404494382024</v>
      </c>
      <c r="J95" s="23">
        <f t="shared" si="48"/>
        <v>136.93710364944729</v>
      </c>
      <c r="K95" s="21">
        <v>23425419.510000002</v>
      </c>
      <c r="L95" s="21">
        <v>22874098.280000001</v>
      </c>
      <c r="M95" s="24">
        <f t="shared" si="49"/>
        <v>2.4102424639927726E-2</v>
      </c>
      <c r="N95" s="10"/>
      <c r="R95" s="2"/>
    </row>
    <row r="96" spans="1:18" ht="15.75" customHeight="1" thickBot="1" x14ac:dyDescent="0.45">
      <c r="A96" s="19"/>
      <c r="B96" s="44"/>
      <c r="C96" s="21"/>
      <c r="D96" s="21"/>
      <c r="E96" s="22"/>
      <c r="F96" s="21"/>
      <c r="G96" s="21"/>
      <c r="H96" s="22"/>
      <c r="I96" s="23"/>
      <c r="J96" s="23"/>
      <c r="K96" s="21"/>
      <c r="L96" s="21"/>
      <c r="M96" s="24"/>
      <c r="N96" s="10"/>
      <c r="R96" s="2"/>
    </row>
    <row r="97" spans="1:18" ht="15.75" thickTop="1" thickBot="1" x14ac:dyDescent="0.45">
      <c r="A97" s="38" t="s">
        <v>14</v>
      </c>
      <c r="B97" s="39"/>
      <c r="C97" s="40">
        <f>SUM(C90:C96)</f>
        <v>1962426</v>
      </c>
      <c r="D97" s="40">
        <f>SUM(D90:D96)</f>
        <v>2022157</v>
      </c>
      <c r="E97" s="279">
        <f>(+C97-D97)/D97</f>
        <v>-2.953826038235409E-2</v>
      </c>
      <c r="F97" s="40">
        <f>SUM(F90:F96)</f>
        <v>1035129</v>
      </c>
      <c r="G97" s="40">
        <f>SUM(G90:G96)</f>
        <v>1087176</v>
      </c>
      <c r="H97" s="41">
        <f>(+F97-G97)/G97</f>
        <v>-4.7873573368065518E-2</v>
      </c>
      <c r="I97" s="42">
        <f>K97/C97</f>
        <v>69.170295725800614</v>
      </c>
      <c r="J97" s="42">
        <f>K97/F97</f>
        <v>131.13494719981759</v>
      </c>
      <c r="K97" s="40">
        <f>SUM(K90:K96)</f>
        <v>135741586.75999999</v>
      </c>
      <c r="L97" s="40">
        <f>SUM(L90:L96)</f>
        <v>127907940.88</v>
      </c>
      <c r="M97" s="43">
        <f>(+K97-L97)/L97</f>
        <v>6.1244406141674382E-2</v>
      </c>
      <c r="N97" s="10"/>
      <c r="R97" s="2"/>
    </row>
    <row r="98" spans="1:18" ht="15.75" customHeight="1" thickTop="1" x14ac:dyDescent="0.4">
      <c r="A98" s="57"/>
      <c r="B98" s="58"/>
      <c r="C98" s="58"/>
      <c r="D98" s="58"/>
      <c r="E98" s="59"/>
      <c r="F98" s="58"/>
      <c r="G98" s="58"/>
      <c r="H98" s="59"/>
      <c r="I98" s="58"/>
      <c r="J98" s="58"/>
      <c r="K98" s="196"/>
      <c r="L98" s="196"/>
      <c r="M98" s="60"/>
      <c r="N98" s="10"/>
      <c r="R98" s="2"/>
    </row>
    <row r="99" spans="1:18" ht="15" customHeight="1" x14ac:dyDescent="0.4">
      <c r="A99" s="19" t="s">
        <v>54</v>
      </c>
      <c r="B99" s="20">
        <f>DATE(2025,7,1)</f>
        <v>45839</v>
      </c>
      <c r="C99" s="21">
        <v>42805</v>
      </c>
      <c r="D99" s="21">
        <v>39024</v>
      </c>
      <c r="E99" s="22">
        <f t="shared" ref="E99:E104" si="50">(+C99-D99)/D99</f>
        <v>9.6889093890938915E-2</v>
      </c>
      <c r="F99" s="21">
        <f>+C99-21502</f>
        <v>21303</v>
      </c>
      <c r="G99" s="21">
        <f>+D99-19863</f>
        <v>19161</v>
      </c>
      <c r="H99" s="22">
        <f t="shared" ref="H99:H104" si="51">(+F99-G99)/G99</f>
        <v>0.11178957256928135</v>
      </c>
      <c r="I99" s="23">
        <f t="shared" ref="I99:I104" si="52">K99/C99</f>
        <v>68.823005957247986</v>
      </c>
      <c r="J99" s="23">
        <f t="shared" ref="J99:J104" si="53">K99/F99</f>
        <v>138.28891564568372</v>
      </c>
      <c r="K99" s="21">
        <v>2945968.77</v>
      </c>
      <c r="L99" s="21">
        <v>2829692.37</v>
      </c>
      <c r="M99" s="24">
        <f t="shared" ref="M99:M104" si="54">(+K99-L99)/L99</f>
        <v>4.1091533918225856E-2</v>
      </c>
      <c r="N99" s="10"/>
      <c r="R99" s="2"/>
    </row>
    <row r="100" spans="1:18" ht="15" customHeight="1" x14ac:dyDescent="0.4">
      <c r="A100" s="19"/>
      <c r="B100" s="20">
        <f>DATE(2025,8,1)</f>
        <v>45870</v>
      </c>
      <c r="C100" s="21">
        <v>43476</v>
      </c>
      <c r="D100" s="21">
        <v>37405</v>
      </c>
      <c r="E100" s="22">
        <f t="shared" si="50"/>
        <v>0.16230450474535491</v>
      </c>
      <c r="F100" s="21">
        <f>+C100-21927</f>
        <v>21549</v>
      </c>
      <c r="G100" s="21">
        <f>+D100-18960</f>
        <v>18445</v>
      </c>
      <c r="H100" s="22">
        <f t="shared" si="51"/>
        <v>0.16828408782867985</v>
      </c>
      <c r="I100" s="23">
        <f t="shared" si="52"/>
        <v>69.474783788757023</v>
      </c>
      <c r="J100" s="23">
        <f t="shared" si="53"/>
        <v>140.16825374727367</v>
      </c>
      <c r="K100" s="21">
        <v>3020485.7</v>
      </c>
      <c r="L100" s="21">
        <v>2718513.58</v>
      </c>
      <c r="M100" s="24">
        <f t="shared" si="54"/>
        <v>0.11107986446034238</v>
      </c>
      <c r="N100" s="10"/>
      <c r="R100" s="2"/>
    </row>
    <row r="101" spans="1:18" ht="15" customHeight="1" x14ac:dyDescent="0.4">
      <c r="A101" s="19"/>
      <c r="B101" s="20">
        <f>DATE(2025,9,1)</f>
        <v>45901</v>
      </c>
      <c r="C101" s="21">
        <v>38993</v>
      </c>
      <c r="D101" s="21">
        <v>33865</v>
      </c>
      <c r="E101" s="22">
        <f t="shared" si="50"/>
        <v>0.15142477484128156</v>
      </c>
      <c r="F101" s="21">
        <f>+C101-19435</f>
        <v>19558</v>
      </c>
      <c r="G101" s="21">
        <f>+D101-17304</f>
        <v>16561</v>
      </c>
      <c r="H101" s="22">
        <f t="shared" si="51"/>
        <v>0.18096733289052594</v>
      </c>
      <c r="I101" s="23">
        <f t="shared" si="52"/>
        <v>71.161166363193388</v>
      </c>
      <c r="J101" s="23">
        <f t="shared" si="53"/>
        <v>141.8748011044074</v>
      </c>
      <c r="K101" s="21">
        <v>2774787.36</v>
      </c>
      <c r="L101" s="21">
        <v>2469404.4700000002</v>
      </c>
      <c r="M101" s="24">
        <f t="shared" si="54"/>
        <v>0.12366661424242083</v>
      </c>
      <c r="N101" s="10"/>
      <c r="R101" s="2"/>
    </row>
    <row r="102" spans="1:18" ht="15" customHeight="1" x14ac:dyDescent="0.4">
      <c r="A102" s="19"/>
      <c r="B102" s="20">
        <f>DATE(2025,10,1)</f>
        <v>45931</v>
      </c>
      <c r="C102" s="21">
        <v>40589</v>
      </c>
      <c r="D102" s="21">
        <v>33869</v>
      </c>
      <c r="E102" s="22">
        <f t="shared" si="50"/>
        <v>0.19841152676488824</v>
      </c>
      <c r="F102" s="21">
        <f>+C102-20243</f>
        <v>20346</v>
      </c>
      <c r="G102" s="21">
        <f>+D102-17511</f>
        <v>16358</v>
      </c>
      <c r="H102" s="22">
        <f t="shared" si="51"/>
        <v>0.24379508497371316</v>
      </c>
      <c r="I102" s="23">
        <f t="shared" si="52"/>
        <v>71.809353765798619</v>
      </c>
      <c r="J102" s="23">
        <f t="shared" si="53"/>
        <v>143.25517841344737</v>
      </c>
      <c r="K102" s="21">
        <v>2914669.86</v>
      </c>
      <c r="L102" s="21">
        <v>2475216.7799999998</v>
      </c>
      <c r="M102" s="24">
        <f t="shared" si="54"/>
        <v>0.1775412495385556</v>
      </c>
      <c r="N102" s="10"/>
      <c r="R102" s="2"/>
    </row>
    <row r="103" spans="1:18" ht="15" customHeight="1" x14ac:dyDescent="0.4">
      <c r="A103" s="19"/>
      <c r="B103" s="20">
        <f>DATE(2025,11,1)</f>
        <v>45962</v>
      </c>
      <c r="C103" s="21">
        <v>37585</v>
      </c>
      <c r="D103" s="21">
        <v>33707</v>
      </c>
      <c r="E103" s="22">
        <f t="shared" si="50"/>
        <v>0.11505028629068147</v>
      </c>
      <c r="F103" s="21">
        <f>+C103-18830</f>
        <v>18755</v>
      </c>
      <c r="G103" s="21">
        <f>+D103-17566</f>
        <v>16141</v>
      </c>
      <c r="H103" s="22">
        <f t="shared" si="51"/>
        <v>0.16194783470664767</v>
      </c>
      <c r="I103" s="23">
        <f t="shared" si="52"/>
        <v>71.294016495942529</v>
      </c>
      <c r="J103" s="23">
        <f t="shared" si="53"/>
        <v>142.87313303119168</v>
      </c>
      <c r="K103" s="21">
        <v>2679585.61</v>
      </c>
      <c r="L103" s="21">
        <v>2520547.39</v>
      </c>
      <c r="M103" s="24">
        <f t="shared" si="54"/>
        <v>6.3096699007115176E-2</v>
      </c>
      <c r="N103" s="10"/>
      <c r="R103" s="2"/>
    </row>
    <row r="104" spans="1:18" ht="15" customHeight="1" x14ac:dyDescent="0.4">
      <c r="A104" s="19"/>
      <c r="B104" s="20">
        <f>DATE(2025,12,1)</f>
        <v>45992</v>
      </c>
      <c r="C104" s="21">
        <v>36642</v>
      </c>
      <c r="D104" s="21">
        <v>34296</v>
      </c>
      <c r="E104" s="22">
        <f t="shared" si="50"/>
        <v>6.8404478656403075E-2</v>
      </c>
      <c r="F104" s="21">
        <f>+C104-19121</f>
        <v>17521</v>
      </c>
      <c r="G104" s="21">
        <f>+D104-18130</f>
        <v>16166</v>
      </c>
      <c r="H104" s="22">
        <f t="shared" si="51"/>
        <v>8.3817889397500928E-2</v>
      </c>
      <c r="I104" s="23">
        <f t="shared" si="52"/>
        <v>80.185810272365046</v>
      </c>
      <c r="J104" s="23">
        <f t="shared" si="53"/>
        <v>167.69410764225785</v>
      </c>
      <c r="K104" s="21">
        <v>2938168.46</v>
      </c>
      <c r="L104" s="21">
        <v>2529744.4500000002</v>
      </c>
      <c r="M104" s="24">
        <f t="shared" si="54"/>
        <v>0.16144872261702156</v>
      </c>
      <c r="N104" s="10"/>
      <c r="R104" s="2"/>
    </row>
    <row r="105" spans="1:18" ht="15.4" thickBot="1" x14ac:dyDescent="0.45">
      <c r="A105" s="37"/>
      <c r="B105" s="20"/>
      <c r="C105" s="21"/>
      <c r="D105" s="21"/>
      <c r="E105" s="22"/>
      <c r="F105" s="21"/>
      <c r="G105" s="21"/>
      <c r="H105" s="22"/>
      <c r="I105" s="23"/>
      <c r="J105" s="23"/>
      <c r="K105" s="21"/>
      <c r="L105" s="21"/>
      <c r="M105" s="24"/>
      <c r="N105" s="10"/>
      <c r="R105" s="2"/>
    </row>
    <row r="106" spans="1:18" ht="15.75" thickTop="1" thickBot="1" x14ac:dyDescent="0.45">
      <c r="A106" s="61" t="s">
        <v>14</v>
      </c>
      <c r="B106" s="51"/>
      <c r="C106" s="47">
        <f>SUM(C99:C105)</f>
        <v>240090</v>
      </c>
      <c r="D106" s="47">
        <f>SUM(D99:D105)</f>
        <v>212166</v>
      </c>
      <c r="E106" s="279">
        <f>(+C106-D106)/D106</f>
        <v>0.13161392494556148</v>
      </c>
      <c r="F106" s="47">
        <f>SUM(F99:F105)</f>
        <v>119032</v>
      </c>
      <c r="G106" s="47">
        <f>SUM(G99:G105)</f>
        <v>102832</v>
      </c>
      <c r="H106" s="41">
        <f>(+F106-G106)/G106</f>
        <v>0.15753850941341216</v>
      </c>
      <c r="I106" s="49">
        <f>K106/C106</f>
        <v>71.946627348077797</v>
      </c>
      <c r="J106" s="49">
        <f>K106/F106</f>
        <v>145.11783184353786</v>
      </c>
      <c r="K106" s="47">
        <f>SUM(K99:K105)</f>
        <v>17273665.759999998</v>
      </c>
      <c r="L106" s="47">
        <f>SUM(L99:L105)</f>
        <v>15543119.039999999</v>
      </c>
      <c r="M106" s="43">
        <f>(+K106-L106)/L106</f>
        <v>0.11133844600600826</v>
      </c>
      <c r="N106" s="10"/>
      <c r="R106" s="2"/>
    </row>
    <row r="107" spans="1:18" ht="15.75" customHeight="1" thickTop="1" x14ac:dyDescent="0.4">
      <c r="A107" s="19"/>
      <c r="B107" s="44"/>
      <c r="C107" s="21"/>
      <c r="D107" s="21"/>
      <c r="E107" s="22"/>
      <c r="F107" s="21"/>
      <c r="G107" s="21"/>
      <c r="H107" s="22"/>
      <c r="I107" s="23"/>
      <c r="J107" s="23"/>
      <c r="K107" s="21"/>
      <c r="L107" s="21"/>
      <c r="M107" s="24"/>
      <c r="N107" s="10"/>
      <c r="R107" s="2"/>
    </row>
    <row r="108" spans="1:18" x14ac:dyDescent="0.4">
      <c r="A108" s="19" t="s">
        <v>17</v>
      </c>
      <c r="B108" s="20">
        <f>DATE(2025,7,1)</f>
        <v>45839</v>
      </c>
      <c r="C108" s="21">
        <v>332760</v>
      </c>
      <c r="D108" s="21">
        <v>318851</v>
      </c>
      <c r="E108" s="22">
        <f t="shared" ref="E108:E113" si="55">(+C108-D108)/D108</f>
        <v>4.3622256163537203E-2</v>
      </c>
      <c r="F108" s="21">
        <f>+C108-168404</f>
        <v>164356</v>
      </c>
      <c r="G108" s="21">
        <f>+D108-161525</f>
        <v>157326</v>
      </c>
      <c r="H108" s="22">
        <f t="shared" ref="H108:H113" si="56">(+F108-G108)/G108</f>
        <v>4.4684286131980729E-2</v>
      </c>
      <c r="I108" s="23">
        <f t="shared" ref="I108:I113" si="57">K108/C108</f>
        <v>76.969005679769197</v>
      </c>
      <c r="J108" s="23">
        <f t="shared" ref="J108:J113" si="58">K108/F108</f>
        <v>155.83371662732117</v>
      </c>
      <c r="K108" s="21">
        <v>25612206.329999998</v>
      </c>
      <c r="L108" s="21">
        <v>24087952.09</v>
      </c>
      <c r="M108" s="24">
        <f t="shared" ref="M108:M113" si="59">(+K108-L108)/L108</f>
        <v>6.3278697761640995E-2</v>
      </c>
      <c r="N108" s="10"/>
      <c r="R108" s="2"/>
    </row>
    <row r="109" spans="1:18" x14ac:dyDescent="0.4">
      <c r="A109" s="19"/>
      <c r="B109" s="20">
        <f>DATE(2025,8,1)</f>
        <v>45870</v>
      </c>
      <c r="C109" s="21">
        <v>337915</v>
      </c>
      <c r="D109" s="21">
        <v>333739</v>
      </c>
      <c r="E109" s="22">
        <f t="shared" si="55"/>
        <v>1.2512771956528904E-2</v>
      </c>
      <c r="F109" s="21">
        <f>+C109-170963</f>
        <v>166952</v>
      </c>
      <c r="G109" s="21">
        <f>+D109-170693</f>
        <v>163046</v>
      </c>
      <c r="H109" s="22">
        <f t="shared" si="56"/>
        <v>2.3956429473890803E-2</v>
      </c>
      <c r="I109" s="23">
        <f t="shared" si="57"/>
        <v>80.770227986327924</v>
      </c>
      <c r="J109" s="23">
        <f t="shared" si="58"/>
        <v>163.48095015333749</v>
      </c>
      <c r="K109" s="21">
        <v>27293471.59</v>
      </c>
      <c r="L109" s="21">
        <v>25503125.370000001</v>
      </c>
      <c r="M109" s="24">
        <f t="shared" si="59"/>
        <v>7.0201051597622244E-2</v>
      </c>
      <c r="N109" s="10"/>
      <c r="R109" s="2"/>
    </row>
    <row r="110" spans="1:18" x14ac:dyDescent="0.4">
      <c r="A110" s="19"/>
      <c r="B110" s="20">
        <f>DATE(2025,9,1)</f>
        <v>45901</v>
      </c>
      <c r="C110" s="21">
        <v>299683</v>
      </c>
      <c r="D110" s="21">
        <v>295322</v>
      </c>
      <c r="E110" s="22">
        <f t="shared" si="55"/>
        <v>1.4766932365350363E-2</v>
      </c>
      <c r="F110" s="21">
        <f>+C110-150956</f>
        <v>148727</v>
      </c>
      <c r="G110" s="21">
        <f>+D110-149037</f>
        <v>146285</v>
      </c>
      <c r="H110" s="22">
        <f t="shared" si="56"/>
        <v>1.6693440885941827E-2</v>
      </c>
      <c r="I110" s="23">
        <f t="shared" si="57"/>
        <v>77.667914429580591</v>
      </c>
      <c r="J110" s="23">
        <f t="shared" si="58"/>
        <v>156.49985275034123</v>
      </c>
      <c r="K110" s="21">
        <v>23275753.600000001</v>
      </c>
      <c r="L110" s="21">
        <v>23625697.699999999</v>
      </c>
      <c r="M110" s="24">
        <f t="shared" si="59"/>
        <v>-1.4812011244857237E-2</v>
      </c>
      <c r="N110" s="10"/>
      <c r="R110" s="2"/>
    </row>
    <row r="111" spans="1:18" x14ac:dyDescent="0.4">
      <c r="A111" s="19"/>
      <c r="B111" s="20">
        <f>DATE(2025,10,1)</f>
        <v>45931</v>
      </c>
      <c r="C111" s="21">
        <v>310127</v>
      </c>
      <c r="D111" s="21">
        <v>292456</v>
      </c>
      <c r="E111" s="22">
        <f t="shared" si="55"/>
        <v>6.0422764450036928E-2</v>
      </c>
      <c r="F111" s="21">
        <f>+C111-157798</f>
        <v>152329</v>
      </c>
      <c r="G111" s="21">
        <f>+D111-147740</f>
        <v>144716</v>
      </c>
      <c r="H111" s="22">
        <f t="shared" si="56"/>
        <v>5.2606484424666242E-2</v>
      </c>
      <c r="I111" s="23">
        <f t="shared" si="57"/>
        <v>81.401161266190954</v>
      </c>
      <c r="J111" s="23">
        <f t="shared" si="58"/>
        <v>165.72483204117404</v>
      </c>
      <c r="K111" s="21">
        <v>25244697.940000001</v>
      </c>
      <c r="L111" s="21">
        <v>23599739.219999999</v>
      </c>
      <c r="M111" s="24">
        <f t="shared" si="59"/>
        <v>6.9702410889606548E-2</v>
      </c>
      <c r="N111" s="10"/>
      <c r="R111" s="2"/>
    </row>
    <row r="112" spans="1:18" x14ac:dyDescent="0.4">
      <c r="A112" s="19"/>
      <c r="B112" s="20">
        <f>DATE(2025,11,1)</f>
        <v>45962</v>
      </c>
      <c r="C112" s="21">
        <v>306467</v>
      </c>
      <c r="D112" s="21">
        <v>314580</v>
      </c>
      <c r="E112" s="22">
        <f t="shared" si="55"/>
        <v>-2.5789942145082331E-2</v>
      </c>
      <c r="F112" s="21">
        <f>+C112-156385</f>
        <v>150082</v>
      </c>
      <c r="G112" s="21">
        <f>+D112-161325</f>
        <v>153255</v>
      </c>
      <c r="H112" s="22">
        <f t="shared" si="56"/>
        <v>-2.0704055332615576E-2</v>
      </c>
      <c r="I112" s="23">
        <f t="shared" si="57"/>
        <v>79.380414400245385</v>
      </c>
      <c r="J112" s="23">
        <f t="shared" si="58"/>
        <v>162.09457136765235</v>
      </c>
      <c r="K112" s="21">
        <v>24327477.460000001</v>
      </c>
      <c r="L112" s="21">
        <v>23130451.84</v>
      </c>
      <c r="M112" s="24">
        <f t="shared" si="59"/>
        <v>5.1751069468083555E-2</v>
      </c>
      <c r="N112" s="10"/>
      <c r="R112" s="2"/>
    </row>
    <row r="113" spans="1:18" x14ac:dyDescent="0.4">
      <c r="A113" s="19"/>
      <c r="B113" s="20">
        <f>DATE(2025,12,1)</f>
        <v>45992</v>
      </c>
      <c r="C113" s="21">
        <v>343205</v>
      </c>
      <c r="D113" s="21">
        <v>346229</v>
      </c>
      <c r="E113" s="22">
        <f t="shared" si="55"/>
        <v>-8.734103729034829E-3</v>
      </c>
      <c r="F113" s="21">
        <f>+C113-174613</f>
        <v>168592</v>
      </c>
      <c r="G113" s="21">
        <f>+D113-175725</f>
        <v>170504</v>
      </c>
      <c r="H113" s="22">
        <f t="shared" si="56"/>
        <v>-1.1213813165673532E-2</v>
      </c>
      <c r="I113" s="23">
        <f t="shared" si="57"/>
        <v>79.382275578735744</v>
      </c>
      <c r="J113" s="23">
        <f t="shared" si="58"/>
        <v>161.59956516323433</v>
      </c>
      <c r="K113" s="21">
        <v>27244393.890000001</v>
      </c>
      <c r="L113" s="21">
        <v>26386187.27</v>
      </c>
      <c r="M113" s="24">
        <f t="shared" si="59"/>
        <v>3.2524843821439345E-2</v>
      </c>
      <c r="N113" s="10"/>
      <c r="R113" s="2"/>
    </row>
    <row r="114" spans="1:18" ht="15.4" thickBot="1" x14ac:dyDescent="0.45">
      <c r="A114" s="37"/>
      <c r="B114" s="44"/>
      <c r="C114" s="21"/>
      <c r="D114" s="21"/>
      <c r="E114" s="22"/>
      <c r="F114" s="21"/>
      <c r="G114" s="21"/>
      <c r="H114" s="22"/>
      <c r="I114" s="23"/>
      <c r="J114" s="23"/>
      <c r="K114" s="21"/>
      <c r="L114" s="21"/>
      <c r="M114" s="24"/>
      <c r="N114" s="10"/>
      <c r="R114" s="2"/>
    </row>
    <row r="115" spans="1:18" ht="15.75" thickTop="1" thickBot="1" x14ac:dyDescent="0.45">
      <c r="A115" s="38" t="s">
        <v>14</v>
      </c>
      <c r="B115" s="39"/>
      <c r="C115" s="40">
        <f>SUM(C108:C114)</f>
        <v>1930157</v>
      </c>
      <c r="D115" s="40">
        <f>SUM(D108:D114)</f>
        <v>1901177</v>
      </c>
      <c r="E115" s="279">
        <f>(+C115-D115)/D115</f>
        <v>1.5243188824607073E-2</v>
      </c>
      <c r="F115" s="40">
        <f>SUM(F108:F114)</f>
        <v>951038</v>
      </c>
      <c r="G115" s="40">
        <f>SUM(G108:G114)</f>
        <v>935132</v>
      </c>
      <c r="H115" s="41">
        <f>(+F115-G115)/G115</f>
        <v>1.7009363383992848E-2</v>
      </c>
      <c r="I115" s="42">
        <f>K115/C115</f>
        <v>79.267127394300047</v>
      </c>
      <c r="J115" s="42">
        <f>K115/F115</f>
        <v>160.87475033594873</v>
      </c>
      <c r="K115" s="40">
        <f>SUM(K108:K114)</f>
        <v>152998000.81</v>
      </c>
      <c r="L115" s="40">
        <f>SUM(L108:L114)</f>
        <v>146333153.49000001</v>
      </c>
      <c r="M115" s="43">
        <f>(+K115-L115)/L115</f>
        <v>4.5545709642999317E-2</v>
      </c>
      <c r="N115" s="10"/>
      <c r="R115" s="2"/>
    </row>
    <row r="116" spans="1:18" ht="15.75" customHeight="1" thickTop="1" x14ac:dyDescent="0.4">
      <c r="A116" s="19"/>
      <c r="B116" s="44"/>
      <c r="C116" s="21"/>
      <c r="D116" s="21"/>
      <c r="E116" s="22"/>
      <c r="F116" s="21"/>
      <c r="G116" s="21"/>
      <c r="H116" s="22"/>
      <c r="I116" s="23"/>
      <c r="J116" s="23"/>
      <c r="K116" s="21"/>
      <c r="L116" s="21"/>
      <c r="M116" s="24"/>
      <c r="N116" s="10"/>
      <c r="R116" s="2"/>
    </row>
    <row r="117" spans="1:18" x14ac:dyDescent="0.4">
      <c r="A117" s="19" t="s">
        <v>56</v>
      </c>
      <c r="B117" s="20">
        <f>DATE(2025,7,1)</f>
        <v>45839</v>
      </c>
      <c r="C117" s="21">
        <v>62531</v>
      </c>
      <c r="D117" s="21">
        <v>61692</v>
      </c>
      <c r="E117" s="22">
        <f t="shared" ref="E117:E122" si="60">(+C117-D117)/D117</f>
        <v>1.3599818452959865E-2</v>
      </c>
      <c r="F117" s="21">
        <f>+C117-28002</f>
        <v>34529</v>
      </c>
      <c r="G117" s="21">
        <f>+D117-26929</f>
        <v>34763</v>
      </c>
      <c r="H117" s="22">
        <f t="shared" ref="H117:H122" si="61">(+F117-G117)/G117</f>
        <v>-6.7312947674251361E-3</v>
      </c>
      <c r="I117" s="23">
        <f t="shared" ref="I117:I122" si="62">K117/C117</f>
        <v>69.151710991348281</v>
      </c>
      <c r="J117" s="23">
        <f t="shared" ref="J117:J122" si="63">K117/F117</f>
        <v>125.23170783978684</v>
      </c>
      <c r="K117" s="21">
        <v>4324125.6399999997</v>
      </c>
      <c r="L117" s="21">
        <v>4020687.4</v>
      </c>
      <c r="M117" s="24">
        <f t="shared" ref="M117:M122" si="64">(+K117-L117)/L117</f>
        <v>7.546924438840974E-2</v>
      </c>
      <c r="N117" s="10"/>
      <c r="R117" s="2"/>
    </row>
    <row r="118" spans="1:18" x14ac:dyDescent="0.4">
      <c r="A118" s="19"/>
      <c r="B118" s="20">
        <f>DATE(2025,8,1)</f>
        <v>45870</v>
      </c>
      <c r="C118" s="21">
        <v>65265</v>
      </c>
      <c r="D118" s="21">
        <v>66178</v>
      </c>
      <c r="E118" s="22">
        <f t="shared" si="60"/>
        <v>-1.3796125600652786E-2</v>
      </c>
      <c r="F118" s="21">
        <f>+C118-29137</f>
        <v>36128</v>
      </c>
      <c r="G118" s="21">
        <f>+D118-28897</f>
        <v>37281</v>
      </c>
      <c r="H118" s="22">
        <f t="shared" si="61"/>
        <v>-3.0927281993508759E-2</v>
      </c>
      <c r="I118" s="23">
        <f t="shared" si="62"/>
        <v>64.341791618784953</v>
      </c>
      <c r="J118" s="23">
        <f t="shared" si="63"/>
        <v>116.2330333813109</v>
      </c>
      <c r="K118" s="21">
        <v>4199267.03</v>
      </c>
      <c r="L118" s="21">
        <v>4282672.42</v>
      </c>
      <c r="M118" s="24">
        <f t="shared" si="64"/>
        <v>-1.9475080468563988E-2</v>
      </c>
      <c r="N118" s="10"/>
      <c r="R118" s="2"/>
    </row>
    <row r="119" spans="1:18" x14ac:dyDescent="0.4">
      <c r="A119" s="19"/>
      <c r="B119" s="20">
        <f>DATE(2025,9,1)</f>
        <v>45901</v>
      </c>
      <c r="C119" s="21">
        <v>58566</v>
      </c>
      <c r="D119" s="21">
        <v>57691</v>
      </c>
      <c r="E119" s="22">
        <f t="shared" si="60"/>
        <v>1.5167010452236918E-2</v>
      </c>
      <c r="F119" s="21">
        <f>+C119-25799</f>
        <v>32767</v>
      </c>
      <c r="G119" s="21">
        <f>+D119-24805</f>
        <v>32886</v>
      </c>
      <c r="H119" s="22">
        <f t="shared" si="61"/>
        <v>-3.6185610898254576E-3</v>
      </c>
      <c r="I119" s="23">
        <f t="shared" si="62"/>
        <v>59.291630297442204</v>
      </c>
      <c r="J119" s="23">
        <f t="shared" si="63"/>
        <v>105.97471907712028</v>
      </c>
      <c r="K119" s="21">
        <v>3472473.62</v>
      </c>
      <c r="L119" s="21">
        <v>3550945.67</v>
      </c>
      <c r="M119" s="24">
        <f t="shared" si="64"/>
        <v>-2.2098915976937437E-2</v>
      </c>
      <c r="N119" s="10"/>
      <c r="R119" s="2"/>
    </row>
    <row r="120" spans="1:18" x14ac:dyDescent="0.4">
      <c r="A120" s="19"/>
      <c r="B120" s="20">
        <f>DATE(2025,10,1)</f>
        <v>45931</v>
      </c>
      <c r="C120" s="21">
        <v>60412</v>
      </c>
      <c r="D120" s="21">
        <v>57484</v>
      </c>
      <c r="E120" s="22">
        <f t="shared" si="60"/>
        <v>5.0935912601767448E-2</v>
      </c>
      <c r="F120" s="21">
        <f>+C120-27156</f>
        <v>33256</v>
      </c>
      <c r="G120" s="21">
        <f>+D120-25116</f>
        <v>32368</v>
      </c>
      <c r="H120" s="22">
        <f t="shared" si="61"/>
        <v>2.7434503213049927E-2</v>
      </c>
      <c r="I120" s="23">
        <f t="shared" si="62"/>
        <v>67.935049824538169</v>
      </c>
      <c r="J120" s="23">
        <f t="shared" si="63"/>
        <v>123.40907595621843</v>
      </c>
      <c r="K120" s="21">
        <v>4104092.23</v>
      </c>
      <c r="L120" s="21">
        <v>3665445.99</v>
      </c>
      <c r="M120" s="24">
        <f t="shared" si="64"/>
        <v>0.11967063249511957</v>
      </c>
      <c r="N120" s="10"/>
      <c r="R120" s="2"/>
    </row>
    <row r="121" spans="1:18" x14ac:dyDescent="0.4">
      <c r="A121" s="19"/>
      <c r="B121" s="20">
        <f>DATE(2025,11,1)</f>
        <v>45962</v>
      </c>
      <c r="C121" s="21">
        <v>58210</v>
      </c>
      <c r="D121" s="21">
        <v>57549</v>
      </c>
      <c r="E121" s="22">
        <f t="shared" si="60"/>
        <v>1.1485864220055953E-2</v>
      </c>
      <c r="F121" s="21">
        <f>+C121-26631</f>
        <v>31579</v>
      </c>
      <c r="G121" s="21">
        <f>+D121-26362</f>
        <v>31187</v>
      </c>
      <c r="H121" s="22">
        <f t="shared" si="61"/>
        <v>1.2569339789014653E-2</v>
      </c>
      <c r="I121" s="23">
        <f t="shared" si="62"/>
        <v>66.669235698333623</v>
      </c>
      <c r="J121" s="23">
        <f t="shared" si="63"/>
        <v>122.89230849615251</v>
      </c>
      <c r="K121" s="21">
        <v>3880816.21</v>
      </c>
      <c r="L121" s="21">
        <v>3812455.63</v>
      </c>
      <c r="M121" s="24">
        <f t="shared" si="64"/>
        <v>1.7930852614276873E-2</v>
      </c>
      <c r="N121" s="10"/>
      <c r="R121" s="2"/>
    </row>
    <row r="122" spans="1:18" x14ac:dyDescent="0.4">
      <c r="A122" s="19"/>
      <c r="B122" s="20">
        <f>DATE(2025,12,1)</f>
        <v>45992</v>
      </c>
      <c r="C122" s="21">
        <v>60380</v>
      </c>
      <c r="D122" s="21">
        <v>59878</v>
      </c>
      <c r="E122" s="22">
        <f t="shared" si="60"/>
        <v>8.3837135508868024E-3</v>
      </c>
      <c r="F122" s="21">
        <f>+C122-27360</f>
        <v>33020</v>
      </c>
      <c r="G122" s="21">
        <f>+D122-27490</f>
        <v>32388</v>
      </c>
      <c r="H122" s="22">
        <f t="shared" si="61"/>
        <v>1.9513400024700506E-2</v>
      </c>
      <c r="I122" s="23">
        <f t="shared" si="62"/>
        <v>67.76589267969527</v>
      </c>
      <c r="J122" s="23">
        <f t="shared" si="63"/>
        <v>123.91594791035736</v>
      </c>
      <c r="K122" s="21">
        <v>4091704.6</v>
      </c>
      <c r="L122" s="21">
        <v>3858632.67</v>
      </c>
      <c r="M122" s="24">
        <f t="shared" si="64"/>
        <v>6.0402725507427008E-2</v>
      </c>
      <c r="N122" s="10"/>
      <c r="R122" s="2"/>
    </row>
    <row r="123" spans="1:18" ht="15.4" thickBot="1" x14ac:dyDescent="0.45">
      <c r="A123" s="37"/>
      <c r="B123" s="44"/>
      <c r="C123" s="21"/>
      <c r="D123" s="21"/>
      <c r="E123" s="22"/>
      <c r="F123" s="21"/>
      <c r="G123" s="21"/>
      <c r="H123" s="22"/>
      <c r="I123" s="23"/>
      <c r="J123" s="23"/>
      <c r="K123" s="21"/>
      <c r="L123" s="21"/>
      <c r="M123" s="24"/>
      <c r="N123" s="10"/>
      <c r="R123" s="2"/>
    </row>
    <row r="124" spans="1:18" ht="15.75" thickTop="1" thickBot="1" x14ac:dyDescent="0.45">
      <c r="A124" s="25" t="s">
        <v>14</v>
      </c>
      <c r="B124" s="26"/>
      <c r="C124" s="27">
        <f>SUM(C117:C123)</f>
        <v>365364</v>
      </c>
      <c r="D124" s="27">
        <f>SUM(D117:D123)</f>
        <v>360472</v>
      </c>
      <c r="E124" s="279">
        <f>(+C124-D124)/D124</f>
        <v>1.3571095674560021E-2</v>
      </c>
      <c r="F124" s="27">
        <f>SUM(F117:F123)</f>
        <v>201279</v>
      </c>
      <c r="G124" s="27">
        <f>SUM(G117:G123)</f>
        <v>200873</v>
      </c>
      <c r="H124" s="41">
        <f>(+F124-G124)/G124</f>
        <v>2.0211775599508148E-3</v>
      </c>
      <c r="I124" s="42">
        <f>K124/C124</f>
        <v>65.886292382391261</v>
      </c>
      <c r="J124" s="42">
        <f>K124/F124</f>
        <v>119.59757018864363</v>
      </c>
      <c r="K124" s="27">
        <f>SUM(K117:K123)</f>
        <v>24072479.330000002</v>
      </c>
      <c r="L124" s="27">
        <f>SUM(L117:L123)</f>
        <v>23190839.780000001</v>
      </c>
      <c r="M124" s="43">
        <f>(+K124-L124)/L124</f>
        <v>3.8016715149760766E-2</v>
      </c>
      <c r="N124" s="10"/>
      <c r="R124" s="2"/>
    </row>
    <row r="125" spans="1:18" ht="15.75" thickTop="1" thickBot="1" x14ac:dyDescent="0.45">
      <c r="A125" s="62"/>
      <c r="B125" s="33"/>
      <c r="C125" s="34"/>
      <c r="D125" s="34"/>
      <c r="E125" s="28"/>
      <c r="F125" s="34"/>
      <c r="G125" s="34"/>
      <c r="H125" s="28"/>
      <c r="I125" s="35"/>
      <c r="J125" s="35"/>
      <c r="K125" s="34"/>
      <c r="L125" s="34"/>
      <c r="M125" s="36"/>
      <c r="N125" s="10"/>
      <c r="R125" s="2"/>
    </row>
    <row r="126" spans="1:18" ht="15.75" thickTop="1" thickBot="1" x14ac:dyDescent="0.45">
      <c r="A126" s="63" t="s">
        <v>18</v>
      </c>
      <c r="B126" s="64"/>
      <c r="C126" s="27">
        <f>C124+C115+C52+C70+C79+C34+C16+C88+C97+C43+C106+C25+C61</f>
        <v>14170699</v>
      </c>
      <c r="D126" s="27">
        <f>D124+D115+D52+D70+D79+D34+D16+D88+D97+D43+D106+D25+D61</f>
        <v>13838175</v>
      </c>
      <c r="E126" s="278">
        <f>(+C126-D126)/D126</f>
        <v>2.4029469203850941E-2</v>
      </c>
      <c r="F126" s="27">
        <f>F124+F115+F52+F70+F79+F34+F16+F88+F97+F43+F106+F25+F61</f>
        <v>7179812</v>
      </c>
      <c r="G126" s="27">
        <f>G124+G115+G52+G70+G79+G34+G16+G88+G97+G43+G106+G25+G61</f>
        <v>7188936</v>
      </c>
      <c r="H126" s="29">
        <f>(+F126-G126)/G126</f>
        <v>-1.2691725173238431E-3</v>
      </c>
      <c r="I126" s="30">
        <f>K126/C126</f>
        <v>70.397802678611697</v>
      </c>
      <c r="J126" s="30">
        <f>K126/F126</f>
        <v>138.94320241532787</v>
      </c>
      <c r="K126" s="27">
        <f>K124+K115+K52+K70+K79+K34+K16+K88+K97+K43+K106+K25+K61</f>
        <v>997586072.0200001</v>
      </c>
      <c r="L126" s="27">
        <f>L124+L115+L52+L70+L79+L34+L16+L88+L97+L43+L106+L25+L61</f>
        <v>938185123.26999986</v>
      </c>
      <c r="M126" s="31">
        <f>(+K126-L126)/L126</f>
        <v>6.3314741703600075E-2</v>
      </c>
      <c r="N126" s="10"/>
      <c r="R126" s="2"/>
    </row>
    <row r="127" spans="1:18" ht="15.75" thickTop="1" thickBot="1" x14ac:dyDescent="0.45">
      <c r="A127" s="63"/>
      <c r="B127" s="64"/>
      <c r="C127" s="27"/>
      <c r="D127" s="27"/>
      <c r="E127" s="28"/>
      <c r="F127" s="27"/>
      <c r="G127" s="27"/>
      <c r="H127" s="29"/>
      <c r="I127" s="30"/>
      <c r="J127" s="30"/>
      <c r="K127" s="27"/>
      <c r="L127" s="27"/>
      <c r="M127" s="31"/>
      <c r="N127" s="10"/>
      <c r="R127" s="2"/>
    </row>
    <row r="128" spans="1:18" ht="15.75" thickTop="1" thickBot="1" x14ac:dyDescent="0.45">
      <c r="A128" s="63" t="s">
        <v>19</v>
      </c>
      <c r="B128" s="64"/>
      <c r="C128" s="27">
        <f>+C14+C23+C32+C41+C50+C59+C68+C77+C86+C95+C104+C113+C122</f>
        <v>2445945</v>
      </c>
      <c r="D128" s="27">
        <f>+D14+D23+D32+D41+D50+D59+D68+D77+D86+D95+D104+D113+D122</f>
        <v>2389266</v>
      </c>
      <c r="E128" s="278">
        <f>(+C128-D128)/D128</f>
        <v>2.3722348202334945E-2</v>
      </c>
      <c r="F128" s="27">
        <f>+F14+F23+F32+F41+F50+F59+F68+F77+F86+F95+F104+F113+F122</f>
        <v>1221219</v>
      </c>
      <c r="G128" s="27">
        <f>+G14+G23+G32+G41+G50+G59+G68+G77+G86+G95+G104+G113+G122</f>
        <v>1218849</v>
      </c>
      <c r="H128" s="29">
        <f>(+F128-G128)/G128</f>
        <v>1.944457434842216E-3</v>
      </c>
      <c r="I128" s="290">
        <f>K128/C128</f>
        <v>70.498906165101829</v>
      </c>
      <c r="J128" s="30">
        <f>K128/F128</f>
        <v>141.20026550520421</v>
      </c>
      <c r="K128" s="27">
        <f>+K14+K23+K32+K41+K50+K59+K68+K77+K86+K95+K104+K113+K122</f>
        <v>172436447.03999999</v>
      </c>
      <c r="L128" s="27">
        <f>+L14+L23+L32+L41+L50+L59+L68+L77+L86+L95+L104+L113+L122</f>
        <v>164776908.25</v>
      </c>
      <c r="M128" s="31">
        <f>(+K128-L128)/L128</f>
        <v>4.6484297292305771E-2</v>
      </c>
      <c r="N128" s="10"/>
      <c r="R128" s="2"/>
    </row>
    <row r="129" spans="1:18" ht="15.4" thickTop="1" x14ac:dyDescent="0.4">
      <c r="A129" s="65"/>
      <c r="B129" s="66"/>
      <c r="C129" s="67"/>
      <c r="D129" s="66"/>
      <c r="E129" s="66"/>
      <c r="F129" s="66"/>
      <c r="G129" s="66"/>
      <c r="H129" s="66"/>
      <c r="I129" s="66"/>
      <c r="J129" s="66"/>
      <c r="K129" s="67"/>
      <c r="L129" s="67"/>
      <c r="M129" s="66"/>
      <c r="R129" s="2"/>
    </row>
    <row r="130" spans="1:18" ht="17.25" x14ac:dyDescent="0.45">
      <c r="A130" s="263" t="s">
        <v>20</v>
      </c>
      <c r="B130" s="69"/>
      <c r="C130" s="70"/>
      <c r="D130" s="70"/>
      <c r="E130" s="70"/>
      <c r="F130" s="70"/>
      <c r="G130" s="70"/>
      <c r="H130" s="70"/>
      <c r="I130" s="70"/>
      <c r="J130" s="70"/>
      <c r="K130" s="197"/>
      <c r="L130" s="197"/>
      <c r="M130" s="70"/>
      <c r="N130" s="2"/>
      <c r="O130" s="2"/>
      <c r="P130" s="2"/>
      <c r="Q130" s="2"/>
      <c r="R130" s="2"/>
    </row>
    <row r="131" spans="1:18" ht="17.649999999999999" x14ac:dyDescent="0.5">
      <c r="A131" s="68"/>
      <c r="B131" s="69"/>
      <c r="C131" s="70"/>
      <c r="D131" s="70"/>
      <c r="E131" s="70"/>
      <c r="F131" s="70"/>
      <c r="G131" s="70"/>
      <c r="H131" s="70"/>
      <c r="I131" s="70"/>
      <c r="J131" s="70"/>
      <c r="K131" s="197"/>
      <c r="L131" s="197"/>
      <c r="M131" s="70"/>
      <c r="N131" s="2"/>
      <c r="O131" s="2"/>
      <c r="P131" s="2"/>
      <c r="Q131" s="2"/>
      <c r="R131" s="2"/>
    </row>
    <row r="132" spans="1:18" x14ac:dyDescent="0.4">
      <c r="A132" s="71"/>
      <c r="B132" s="72"/>
      <c r="C132" s="73"/>
      <c r="D132" s="73"/>
      <c r="E132" s="73"/>
      <c r="F132" s="73"/>
      <c r="G132" s="73"/>
      <c r="H132" s="73"/>
      <c r="I132" s="73"/>
      <c r="J132" s="73"/>
      <c r="K132" s="191"/>
      <c r="L132" s="191"/>
      <c r="M132" s="74"/>
      <c r="N132" s="2"/>
      <c r="O132" s="2"/>
      <c r="P132" s="2"/>
      <c r="Q132" s="2"/>
      <c r="R132" s="2"/>
    </row>
    <row r="133" spans="1:18" x14ac:dyDescent="0.4">
      <c r="A133" s="2"/>
      <c r="B133" s="72"/>
      <c r="C133" s="73"/>
      <c r="D133" s="73"/>
      <c r="E133" s="73"/>
      <c r="F133" s="73"/>
      <c r="G133" s="73"/>
      <c r="H133" s="73"/>
      <c r="I133" s="73"/>
      <c r="J133" s="73"/>
      <c r="K133" s="191"/>
      <c r="L133" s="191"/>
      <c r="M133" s="74"/>
      <c r="N133" s="2"/>
      <c r="O133" s="2"/>
      <c r="P133" s="2"/>
      <c r="Q133" s="2"/>
      <c r="R133" s="2"/>
    </row>
    <row r="134" spans="1:18" x14ac:dyDescent="0.4">
      <c r="A134" s="2"/>
      <c r="B134" s="72"/>
      <c r="C134" s="73"/>
      <c r="D134" s="73"/>
      <c r="E134" s="73"/>
      <c r="F134" s="73"/>
      <c r="G134" s="73"/>
      <c r="H134" s="73"/>
      <c r="I134" s="73"/>
      <c r="J134" s="73"/>
      <c r="K134" s="191"/>
      <c r="L134" s="191"/>
      <c r="M134" s="74"/>
      <c r="N134" s="2"/>
      <c r="O134" s="2"/>
      <c r="P134" s="2"/>
      <c r="Q134" s="2"/>
      <c r="R134" s="2"/>
    </row>
    <row r="135" spans="1:18" x14ac:dyDescent="0.4">
      <c r="A135" s="2"/>
      <c r="B135" s="72"/>
      <c r="C135" s="73"/>
      <c r="D135" s="73"/>
      <c r="E135" s="73"/>
      <c r="F135" s="73"/>
      <c r="G135" s="73"/>
      <c r="H135" s="73"/>
      <c r="I135" s="73"/>
      <c r="J135" s="73"/>
      <c r="K135" s="191"/>
      <c r="L135" s="191"/>
      <c r="M135" s="74"/>
      <c r="N135" s="2"/>
      <c r="O135" s="2"/>
      <c r="P135" s="2"/>
      <c r="Q135" s="2"/>
      <c r="R135" s="2"/>
    </row>
    <row r="136" spans="1:18" x14ac:dyDescent="0.4">
      <c r="A136" s="2"/>
      <c r="B136" s="72"/>
      <c r="C136" s="73"/>
      <c r="D136" s="73"/>
      <c r="E136" s="73"/>
      <c r="F136" s="73"/>
      <c r="G136" s="73"/>
      <c r="H136" s="73"/>
      <c r="I136" s="73"/>
      <c r="J136" s="73"/>
      <c r="K136" s="191"/>
      <c r="L136" s="191"/>
      <c r="M136" s="74"/>
      <c r="N136" s="2"/>
      <c r="O136" s="2"/>
      <c r="P136" s="2"/>
      <c r="Q136" s="2"/>
      <c r="R136" s="2"/>
    </row>
    <row r="137" spans="1:18" x14ac:dyDescent="0.4">
      <c r="A137" s="2"/>
      <c r="B137" s="72"/>
      <c r="C137" s="73"/>
      <c r="D137" s="73"/>
      <c r="E137" s="73"/>
      <c r="F137" s="73"/>
      <c r="G137" s="73"/>
      <c r="H137" s="73"/>
      <c r="I137" s="73"/>
      <c r="J137" s="73"/>
      <c r="K137" s="191"/>
      <c r="L137" s="191"/>
      <c r="M137" s="74"/>
      <c r="N137" s="2"/>
      <c r="O137" s="2"/>
      <c r="P137" s="2"/>
      <c r="Q137" s="2"/>
      <c r="R137" s="2"/>
    </row>
    <row r="138" spans="1:18" x14ac:dyDescent="0.4">
      <c r="A138" s="2"/>
      <c r="B138" s="72"/>
      <c r="C138" s="73"/>
      <c r="D138" s="73"/>
      <c r="E138" s="73"/>
      <c r="F138" s="73"/>
      <c r="G138" s="73"/>
      <c r="H138" s="73"/>
      <c r="I138" s="73"/>
      <c r="J138" s="73"/>
      <c r="K138" s="191"/>
      <c r="L138" s="191"/>
      <c r="M138" s="74"/>
      <c r="N138" s="2"/>
      <c r="O138" s="2"/>
      <c r="P138" s="2"/>
      <c r="Q138" s="2"/>
      <c r="R138" s="2"/>
    </row>
    <row r="139" spans="1:18" x14ac:dyDescent="0.4">
      <c r="A139" s="2"/>
      <c r="B139" s="72"/>
      <c r="C139" s="73"/>
      <c r="D139" s="73"/>
      <c r="E139" s="73"/>
      <c r="F139" s="73"/>
      <c r="G139" s="73"/>
      <c r="H139" s="73"/>
      <c r="I139" s="73"/>
      <c r="J139" s="73"/>
      <c r="K139" s="191"/>
      <c r="L139" s="191"/>
      <c r="M139" s="74"/>
      <c r="N139" s="2"/>
      <c r="O139" s="2"/>
      <c r="P139" s="2"/>
      <c r="Q139" s="2"/>
      <c r="R139" s="2"/>
    </row>
    <row r="140" spans="1:18" x14ac:dyDescent="0.4">
      <c r="A140" s="2"/>
      <c r="B140" s="72"/>
      <c r="C140" s="73"/>
      <c r="D140" s="73"/>
      <c r="E140" s="73"/>
      <c r="F140" s="73"/>
      <c r="G140" s="73"/>
      <c r="H140" s="73"/>
      <c r="I140" s="73"/>
      <c r="J140" s="73"/>
      <c r="K140" s="191"/>
      <c r="L140" s="191"/>
      <c r="M140" s="74"/>
      <c r="N140" s="2"/>
      <c r="O140" s="2"/>
      <c r="P140" s="2"/>
      <c r="Q140" s="2"/>
      <c r="R140" s="2"/>
    </row>
    <row r="141" spans="1:18" x14ac:dyDescent="0.4">
      <c r="A141" s="2"/>
      <c r="B141" s="72"/>
      <c r="C141" s="73"/>
      <c r="D141" s="73"/>
      <c r="E141" s="73"/>
      <c r="F141" s="73"/>
      <c r="G141" s="73"/>
      <c r="H141" s="73"/>
      <c r="I141" s="73"/>
      <c r="J141" s="73"/>
      <c r="K141" s="191"/>
      <c r="L141" s="191"/>
      <c r="M141" s="73"/>
      <c r="N141" s="2"/>
      <c r="O141" s="2"/>
      <c r="P141" s="2"/>
      <c r="Q141" s="2"/>
      <c r="R141" s="2"/>
    </row>
    <row r="142" spans="1:18" x14ac:dyDescent="0.4">
      <c r="A142" s="2"/>
      <c r="B142" s="72"/>
      <c r="C142" s="73"/>
      <c r="D142" s="73"/>
      <c r="E142" s="73"/>
      <c r="F142" s="73"/>
      <c r="G142" s="73"/>
      <c r="H142" s="73"/>
      <c r="I142" s="73"/>
      <c r="J142" s="73"/>
      <c r="K142" s="191"/>
      <c r="L142" s="191"/>
      <c r="M142" s="73"/>
      <c r="N142" s="2"/>
      <c r="O142" s="2"/>
      <c r="P142" s="2"/>
      <c r="Q142" s="2"/>
      <c r="R142" s="2"/>
    </row>
    <row r="143" spans="1:18" x14ac:dyDescent="0.4">
      <c r="A143" s="2"/>
      <c r="B143" s="69"/>
      <c r="C143" s="73"/>
      <c r="D143" s="73"/>
      <c r="E143" s="73"/>
      <c r="F143" s="73"/>
      <c r="G143" s="73"/>
      <c r="H143" s="73"/>
      <c r="I143" s="73"/>
      <c r="J143" s="73"/>
      <c r="K143" s="191"/>
      <c r="L143" s="191"/>
      <c r="M143" s="73"/>
      <c r="N143" s="2"/>
      <c r="O143" s="2"/>
      <c r="P143" s="2"/>
      <c r="Q143" s="2"/>
      <c r="R143" s="2"/>
    </row>
    <row r="144" spans="1:18" x14ac:dyDescent="0.4">
      <c r="A144" s="75"/>
      <c r="B144" s="69"/>
      <c r="C144" s="73"/>
      <c r="D144" s="73"/>
      <c r="E144" s="73"/>
      <c r="F144" s="73"/>
      <c r="G144" s="73"/>
      <c r="H144" s="73"/>
      <c r="I144" s="73"/>
      <c r="J144" s="73"/>
      <c r="K144" s="191"/>
      <c r="L144" s="191"/>
      <c r="M144" s="74"/>
      <c r="N144" s="2"/>
      <c r="O144" s="2"/>
      <c r="P144" s="2"/>
      <c r="Q144" s="2"/>
      <c r="R144" s="2"/>
    </row>
    <row r="145" spans="1:18" x14ac:dyDescent="0.4">
      <c r="A145" s="75"/>
      <c r="B145" s="69"/>
      <c r="C145" s="73"/>
      <c r="D145" s="73"/>
      <c r="E145" s="73"/>
      <c r="F145" s="73"/>
      <c r="G145" s="73"/>
      <c r="H145" s="73"/>
      <c r="I145" s="73"/>
      <c r="J145" s="73"/>
      <c r="K145" s="191"/>
      <c r="L145" s="191"/>
      <c r="M145" s="74"/>
      <c r="N145" s="2"/>
      <c r="O145" s="2"/>
      <c r="P145" s="2"/>
      <c r="Q145" s="2"/>
      <c r="R145" s="2"/>
    </row>
    <row r="146" spans="1:18" x14ac:dyDescent="0.4">
      <c r="A146" s="75"/>
      <c r="B146" s="69"/>
      <c r="C146" s="73"/>
      <c r="D146" s="73"/>
      <c r="E146" s="73"/>
      <c r="F146" s="73"/>
      <c r="G146" s="73"/>
      <c r="H146" s="73"/>
      <c r="I146" s="73"/>
      <c r="J146" s="73"/>
      <c r="K146" s="191"/>
      <c r="L146" s="191"/>
      <c r="M146" s="74"/>
      <c r="N146" s="2"/>
      <c r="O146" s="2"/>
      <c r="P146" s="2"/>
      <c r="Q146" s="2"/>
      <c r="R146" s="2"/>
    </row>
    <row r="147" spans="1:18" x14ac:dyDescent="0.4">
      <c r="A147" s="2"/>
      <c r="B147" s="69"/>
      <c r="C147" s="73"/>
      <c r="D147" s="73"/>
      <c r="E147" s="73"/>
      <c r="F147" s="73"/>
      <c r="G147" s="73"/>
      <c r="H147" s="73"/>
      <c r="I147" s="73"/>
      <c r="J147" s="73"/>
      <c r="K147" s="191"/>
      <c r="L147" s="191"/>
      <c r="M147" s="74"/>
      <c r="N147" s="2"/>
      <c r="O147" s="2"/>
      <c r="P147" s="2"/>
      <c r="Q147" s="2"/>
      <c r="R147" s="2"/>
    </row>
    <row r="148" spans="1:18" x14ac:dyDescent="0.4">
      <c r="A148" s="75"/>
      <c r="B148" s="72"/>
      <c r="C148" s="73"/>
      <c r="D148" s="73"/>
      <c r="E148" s="73"/>
      <c r="F148" s="73"/>
      <c r="G148" s="73"/>
      <c r="H148" s="73"/>
      <c r="I148" s="73"/>
      <c r="J148" s="73"/>
      <c r="K148" s="191"/>
      <c r="L148" s="191"/>
      <c r="M148" s="74"/>
      <c r="N148" s="2"/>
      <c r="O148" s="2"/>
      <c r="P148" s="2"/>
      <c r="Q148" s="2"/>
      <c r="R148" s="2"/>
    </row>
    <row r="149" spans="1:18" x14ac:dyDescent="0.4">
      <c r="A149" s="2"/>
      <c r="B149" s="72"/>
      <c r="C149" s="73"/>
      <c r="D149" s="73"/>
      <c r="E149" s="73"/>
      <c r="F149" s="73"/>
      <c r="G149" s="73"/>
      <c r="H149" s="73"/>
      <c r="I149" s="73"/>
      <c r="J149" s="73"/>
      <c r="K149" s="191"/>
      <c r="L149" s="191"/>
      <c r="M149" s="74"/>
      <c r="N149" s="2"/>
      <c r="O149" s="2"/>
      <c r="P149" s="2"/>
      <c r="Q149" s="2"/>
      <c r="R149" s="2"/>
    </row>
    <row r="150" spans="1:18" x14ac:dyDescent="0.4">
      <c r="A150" s="2"/>
      <c r="B150" s="72"/>
      <c r="C150" s="73"/>
      <c r="D150" s="73"/>
      <c r="E150" s="73"/>
      <c r="F150" s="73"/>
      <c r="G150" s="73"/>
      <c r="H150" s="73"/>
      <c r="I150" s="73"/>
      <c r="J150" s="73"/>
      <c r="K150" s="191"/>
      <c r="L150" s="191"/>
      <c r="M150" s="74"/>
      <c r="N150" s="2"/>
      <c r="O150" s="2"/>
      <c r="P150" s="2"/>
      <c r="Q150" s="2"/>
      <c r="R150" s="2"/>
    </row>
    <row r="151" spans="1:18" x14ac:dyDescent="0.4">
      <c r="A151" s="2"/>
      <c r="B151" s="76"/>
      <c r="C151" s="73"/>
      <c r="D151" s="73"/>
      <c r="E151" s="73"/>
      <c r="F151" s="73"/>
      <c r="G151" s="73"/>
      <c r="H151" s="73"/>
      <c r="I151" s="73"/>
      <c r="J151" s="73"/>
      <c r="K151" s="191"/>
      <c r="L151" s="191"/>
      <c r="M151" s="74"/>
      <c r="N151" s="2"/>
      <c r="O151" s="2"/>
      <c r="P151" s="2"/>
      <c r="Q151" s="2"/>
      <c r="R151" s="2"/>
    </row>
    <row r="152" spans="1:18" x14ac:dyDescent="0.4">
      <c r="A152" s="2"/>
      <c r="B152" s="76"/>
      <c r="C152" s="73"/>
      <c r="D152" s="73"/>
      <c r="E152" s="73"/>
      <c r="F152" s="73"/>
      <c r="G152" s="73"/>
      <c r="H152" s="73"/>
      <c r="I152" s="73"/>
      <c r="J152" s="73"/>
      <c r="K152" s="191"/>
      <c r="L152" s="191"/>
      <c r="M152" s="74"/>
      <c r="N152" s="2"/>
      <c r="O152" s="2"/>
      <c r="P152" s="2"/>
      <c r="Q152" s="2"/>
      <c r="R152" s="2"/>
    </row>
    <row r="153" spans="1:18" x14ac:dyDescent="0.4">
      <c r="A153" s="2"/>
      <c r="B153" s="76"/>
      <c r="C153" s="73"/>
      <c r="D153" s="73"/>
      <c r="E153" s="73"/>
      <c r="F153" s="73"/>
      <c r="G153" s="73"/>
      <c r="H153" s="73"/>
      <c r="I153" s="73"/>
      <c r="J153" s="73"/>
      <c r="K153" s="191"/>
      <c r="L153" s="191"/>
      <c r="M153" s="74"/>
      <c r="N153" s="2"/>
      <c r="O153" s="2"/>
      <c r="P153" s="2"/>
      <c r="Q153" s="2"/>
      <c r="R153" s="2"/>
    </row>
    <row r="154" spans="1:18" x14ac:dyDescent="0.4">
      <c r="A154" s="2"/>
      <c r="B154" s="76"/>
      <c r="C154" s="73"/>
      <c r="D154" s="73"/>
      <c r="E154" s="73"/>
      <c r="F154" s="73"/>
      <c r="G154" s="73"/>
      <c r="H154" s="73"/>
      <c r="I154" s="73"/>
      <c r="J154" s="73"/>
      <c r="K154" s="191"/>
      <c r="L154" s="191"/>
      <c r="M154" s="74"/>
      <c r="N154" s="2"/>
      <c r="O154" s="2"/>
      <c r="P154" s="2"/>
      <c r="Q154" s="2"/>
      <c r="R154" s="2"/>
    </row>
    <row r="155" spans="1:18" x14ac:dyDescent="0.4">
      <c r="A155" s="2"/>
      <c r="B155" s="76"/>
      <c r="C155" s="73"/>
      <c r="D155" s="73"/>
      <c r="E155" s="73"/>
      <c r="F155" s="73"/>
      <c r="G155" s="73"/>
      <c r="H155" s="73"/>
      <c r="I155" s="73"/>
      <c r="J155" s="73"/>
      <c r="K155" s="191"/>
      <c r="L155" s="191"/>
      <c r="M155" s="74"/>
      <c r="N155" s="2"/>
      <c r="O155" s="2"/>
      <c r="P155" s="2"/>
      <c r="Q155" s="2"/>
      <c r="R155" s="2"/>
    </row>
    <row r="156" spans="1:18" x14ac:dyDescent="0.4">
      <c r="A156" s="2"/>
      <c r="B156" s="76"/>
      <c r="C156" s="73"/>
      <c r="D156" s="73"/>
      <c r="E156" s="73"/>
      <c r="F156" s="73"/>
      <c r="G156" s="73"/>
      <c r="H156" s="73"/>
      <c r="I156" s="73"/>
      <c r="J156" s="73"/>
      <c r="K156" s="191"/>
      <c r="L156" s="191"/>
      <c r="M156" s="74"/>
      <c r="N156" s="2"/>
      <c r="O156" s="2"/>
      <c r="P156" s="2"/>
      <c r="Q156" s="2"/>
      <c r="R156" s="2"/>
    </row>
    <row r="157" spans="1:18" x14ac:dyDescent="0.4">
      <c r="A157" s="2"/>
      <c r="B157" s="76"/>
      <c r="C157" s="73"/>
      <c r="D157" s="73"/>
      <c r="E157" s="73"/>
      <c r="F157" s="73"/>
      <c r="G157" s="73"/>
      <c r="H157" s="73"/>
      <c r="I157" s="73"/>
      <c r="J157" s="73"/>
      <c r="K157" s="191"/>
      <c r="L157" s="191"/>
      <c r="M157" s="74"/>
      <c r="N157" s="2"/>
      <c r="O157" s="2"/>
      <c r="P157" s="2"/>
      <c r="Q157" s="2"/>
      <c r="R157" s="2"/>
    </row>
    <row r="158" spans="1:18" x14ac:dyDescent="0.4">
      <c r="A158" s="2"/>
      <c r="B158" s="76"/>
      <c r="C158" s="73"/>
      <c r="D158" s="73"/>
      <c r="E158" s="73"/>
      <c r="F158" s="73"/>
      <c r="G158" s="73"/>
      <c r="H158" s="73"/>
      <c r="I158" s="73"/>
      <c r="J158" s="73"/>
      <c r="K158" s="191"/>
      <c r="L158" s="191"/>
      <c r="M158" s="74"/>
      <c r="N158" s="2"/>
      <c r="O158" s="2"/>
      <c r="P158" s="2"/>
      <c r="Q158" s="2"/>
      <c r="R158" s="2"/>
    </row>
    <row r="159" spans="1:18" x14ac:dyDescent="0.4">
      <c r="A159" s="2"/>
      <c r="B159" s="76"/>
      <c r="C159" s="73"/>
      <c r="D159" s="73"/>
      <c r="E159" s="73"/>
      <c r="F159" s="73"/>
      <c r="G159" s="73"/>
      <c r="H159" s="73"/>
      <c r="I159" s="73"/>
      <c r="J159" s="73"/>
      <c r="K159" s="191"/>
      <c r="L159" s="191"/>
      <c r="M159" s="74"/>
      <c r="N159" s="2"/>
      <c r="O159" s="2"/>
      <c r="P159" s="2"/>
      <c r="Q159" s="2"/>
      <c r="R159" s="2"/>
    </row>
    <row r="160" spans="1:18" x14ac:dyDescent="0.4">
      <c r="A160" s="2"/>
      <c r="B160" s="2"/>
      <c r="C160" s="73"/>
      <c r="D160" s="73"/>
      <c r="E160" s="73"/>
      <c r="F160" s="73"/>
      <c r="G160" s="73"/>
      <c r="H160" s="73"/>
      <c r="I160" s="73"/>
      <c r="J160" s="73"/>
      <c r="K160" s="191"/>
      <c r="L160" s="191"/>
      <c r="M160" s="74"/>
      <c r="N160" s="2"/>
      <c r="O160" s="2"/>
      <c r="P160" s="2"/>
      <c r="Q160" s="2"/>
      <c r="R160" s="2"/>
    </row>
    <row r="161" spans="1:18" x14ac:dyDescent="0.4">
      <c r="A161" s="75"/>
      <c r="B161" s="2"/>
      <c r="C161" s="73"/>
      <c r="D161" s="73"/>
      <c r="E161" s="73"/>
      <c r="F161" s="73"/>
      <c r="G161" s="73"/>
      <c r="H161" s="73"/>
      <c r="I161" s="73"/>
      <c r="J161" s="73"/>
      <c r="K161" s="191"/>
      <c r="L161" s="191"/>
      <c r="M161" s="74"/>
      <c r="N161" s="2"/>
      <c r="O161" s="2"/>
      <c r="P161" s="2"/>
      <c r="Q161" s="2"/>
      <c r="R161" s="2"/>
    </row>
    <row r="162" spans="1:18" x14ac:dyDescent="0.4">
      <c r="A162" s="2"/>
      <c r="B162" s="2"/>
      <c r="C162" s="73"/>
      <c r="D162" s="73"/>
      <c r="E162" s="73"/>
      <c r="F162" s="73"/>
      <c r="G162" s="73"/>
      <c r="H162" s="73"/>
      <c r="I162" s="73"/>
      <c r="J162" s="73"/>
      <c r="K162" s="191"/>
      <c r="L162" s="191"/>
      <c r="M162" s="74"/>
      <c r="N162" s="2"/>
      <c r="O162" s="2"/>
      <c r="P162" s="2"/>
      <c r="Q162" s="2"/>
      <c r="R162" s="2"/>
    </row>
    <row r="163" spans="1:18" x14ac:dyDescent="0.4">
      <c r="A163" s="2"/>
      <c r="B163" s="2"/>
      <c r="C163" s="73"/>
      <c r="D163" s="73"/>
      <c r="E163" s="73"/>
      <c r="F163" s="73"/>
      <c r="G163" s="73"/>
      <c r="H163" s="73"/>
      <c r="I163" s="73"/>
      <c r="J163" s="73"/>
      <c r="K163" s="191"/>
      <c r="L163" s="191"/>
      <c r="M163" s="74"/>
      <c r="N163" s="2"/>
      <c r="O163" s="2"/>
      <c r="P163" s="2"/>
      <c r="Q163" s="2"/>
      <c r="R163" s="2"/>
    </row>
    <row r="164" spans="1:18" x14ac:dyDescent="0.4">
      <c r="A164" s="75"/>
      <c r="B164" s="2"/>
      <c r="C164" s="73"/>
      <c r="D164" s="73"/>
      <c r="E164" s="73"/>
      <c r="F164" s="73"/>
      <c r="G164" s="73"/>
      <c r="H164" s="73"/>
      <c r="I164" s="73"/>
      <c r="J164" s="73"/>
      <c r="K164" s="191"/>
      <c r="L164" s="191"/>
      <c r="M164" s="74"/>
      <c r="N164" s="2"/>
      <c r="O164" s="2"/>
      <c r="P164" s="2"/>
      <c r="Q164" s="2"/>
      <c r="R164" s="2"/>
    </row>
    <row r="165" spans="1:18" x14ac:dyDescent="0.4">
      <c r="A165" s="75"/>
      <c r="B165" s="2"/>
      <c r="C165" s="73"/>
      <c r="D165" s="73"/>
      <c r="E165" s="73"/>
      <c r="F165" s="73"/>
      <c r="G165" s="73"/>
      <c r="H165" s="73"/>
      <c r="I165" s="73"/>
      <c r="J165" s="73"/>
      <c r="K165" s="191"/>
      <c r="L165" s="191"/>
      <c r="M165" s="74"/>
      <c r="N165" s="2"/>
      <c r="O165" s="2"/>
      <c r="P165" s="2"/>
      <c r="Q165" s="2"/>
      <c r="R165" s="2"/>
    </row>
    <row r="166" spans="1:18" x14ac:dyDescent="0.4">
      <c r="A166" s="75"/>
      <c r="B166" s="76"/>
      <c r="C166" s="73"/>
      <c r="D166" s="73"/>
      <c r="E166" s="73"/>
      <c r="F166" s="73"/>
      <c r="G166" s="73"/>
      <c r="H166" s="73"/>
      <c r="I166" s="73"/>
      <c r="J166" s="73"/>
      <c r="K166" s="191"/>
      <c r="L166" s="191"/>
      <c r="M166" s="74"/>
      <c r="N166" s="2"/>
      <c r="O166" s="2"/>
      <c r="P166" s="2"/>
      <c r="Q166" s="2"/>
      <c r="R166" s="2"/>
    </row>
    <row r="167" spans="1:18" x14ac:dyDescent="0.4">
      <c r="A167" s="2"/>
      <c r="B167" s="76"/>
      <c r="C167" s="73"/>
      <c r="D167" s="73"/>
      <c r="E167" s="73"/>
      <c r="F167" s="73"/>
      <c r="G167" s="73"/>
      <c r="H167" s="73"/>
      <c r="I167" s="73"/>
      <c r="J167" s="73"/>
      <c r="K167" s="191"/>
      <c r="L167" s="191"/>
      <c r="M167" s="74"/>
      <c r="N167" s="2"/>
      <c r="O167" s="2"/>
      <c r="P167" s="2"/>
      <c r="Q167" s="2"/>
      <c r="R167" s="2"/>
    </row>
    <row r="168" spans="1:18" x14ac:dyDescent="0.4">
      <c r="A168" s="2"/>
      <c r="B168" s="76"/>
      <c r="C168" s="73"/>
      <c r="D168" s="73"/>
      <c r="E168" s="73"/>
      <c r="F168" s="73"/>
      <c r="G168" s="73"/>
      <c r="H168" s="73"/>
      <c r="I168" s="73"/>
      <c r="J168" s="73"/>
      <c r="K168" s="191"/>
      <c r="L168" s="191"/>
      <c r="M168" s="74"/>
      <c r="N168" s="2"/>
      <c r="O168" s="2"/>
      <c r="P168" s="2"/>
      <c r="Q168" s="2"/>
      <c r="R168" s="2"/>
    </row>
    <row r="169" spans="1:18" x14ac:dyDescent="0.4">
      <c r="A169" s="2"/>
      <c r="B169" s="76"/>
      <c r="C169" s="73"/>
      <c r="D169" s="73"/>
      <c r="E169" s="73"/>
      <c r="F169" s="73"/>
      <c r="G169" s="73"/>
      <c r="H169" s="73"/>
      <c r="I169" s="73"/>
      <c r="J169" s="73"/>
      <c r="K169" s="191"/>
      <c r="L169" s="191"/>
      <c r="M169" s="74"/>
      <c r="N169" s="2"/>
      <c r="O169" s="2"/>
      <c r="P169" s="2"/>
      <c r="Q169" s="2"/>
      <c r="R169" s="2"/>
    </row>
    <row r="170" spans="1:18" x14ac:dyDescent="0.4">
      <c r="A170" s="2"/>
      <c r="B170" s="76"/>
      <c r="C170" s="73"/>
      <c r="D170" s="73"/>
      <c r="E170" s="73"/>
      <c r="F170" s="73"/>
      <c r="G170" s="73"/>
      <c r="H170" s="73"/>
      <c r="I170" s="73"/>
      <c r="J170" s="73"/>
      <c r="K170" s="191"/>
      <c r="L170" s="191"/>
      <c r="M170" s="74"/>
      <c r="N170" s="2"/>
      <c r="O170" s="2"/>
      <c r="P170" s="2"/>
      <c r="Q170" s="2"/>
      <c r="R170" s="2"/>
    </row>
    <row r="171" spans="1:18" x14ac:dyDescent="0.4">
      <c r="A171" s="2"/>
      <c r="B171" s="76"/>
      <c r="C171" s="73"/>
      <c r="D171" s="73"/>
      <c r="E171" s="73"/>
      <c r="F171" s="73"/>
      <c r="G171" s="73"/>
      <c r="H171" s="73"/>
      <c r="I171" s="73"/>
      <c r="J171" s="73"/>
      <c r="K171" s="191"/>
      <c r="L171" s="191"/>
      <c r="M171" s="74"/>
      <c r="N171" s="2"/>
      <c r="O171" s="2"/>
      <c r="P171" s="2"/>
      <c r="Q171" s="2"/>
      <c r="R171" s="2"/>
    </row>
    <row r="172" spans="1:18" x14ac:dyDescent="0.4">
      <c r="A172" s="2"/>
      <c r="B172" s="76"/>
      <c r="C172" s="73"/>
      <c r="D172" s="73"/>
      <c r="E172" s="73"/>
      <c r="F172" s="73"/>
      <c r="G172" s="73"/>
      <c r="H172" s="73"/>
      <c r="I172" s="73"/>
      <c r="J172" s="73"/>
      <c r="K172" s="191"/>
      <c r="L172" s="191"/>
      <c r="M172" s="74"/>
      <c r="N172" s="2"/>
      <c r="O172" s="2"/>
      <c r="P172" s="2"/>
      <c r="Q172" s="2"/>
      <c r="R172" s="2"/>
    </row>
    <row r="173" spans="1:18" x14ac:dyDescent="0.4">
      <c r="A173" s="2"/>
      <c r="B173" s="76"/>
      <c r="C173" s="73"/>
      <c r="D173" s="73"/>
      <c r="E173" s="73"/>
      <c r="F173" s="73"/>
      <c r="G173" s="73"/>
      <c r="H173" s="73"/>
      <c r="I173" s="73"/>
      <c r="J173" s="73"/>
      <c r="K173" s="191"/>
      <c r="L173" s="191"/>
      <c r="M173" s="74"/>
      <c r="N173" s="2"/>
      <c r="O173" s="2"/>
      <c r="P173" s="2"/>
      <c r="Q173" s="2"/>
      <c r="R173" s="2"/>
    </row>
    <row r="174" spans="1:18" x14ac:dyDescent="0.4">
      <c r="A174" s="2"/>
      <c r="B174" s="76"/>
      <c r="C174" s="73"/>
      <c r="D174" s="73"/>
      <c r="E174" s="73"/>
      <c r="F174" s="73"/>
      <c r="G174" s="73"/>
      <c r="H174" s="73"/>
      <c r="I174" s="73"/>
      <c r="J174" s="73"/>
      <c r="K174" s="191"/>
      <c r="L174" s="191"/>
      <c r="M174" s="74"/>
      <c r="N174" s="2"/>
      <c r="O174" s="2"/>
      <c r="P174" s="2"/>
      <c r="Q174" s="2"/>
      <c r="R174" s="2"/>
    </row>
    <row r="175" spans="1:18" x14ac:dyDescent="0.4">
      <c r="A175" s="2"/>
      <c r="B175" s="76"/>
      <c r="C175" s="73"/>
      <c r="D175" s="73"/>
      <c r="E175" s="73"/>
      <c r="F175" s="73"/>
      <c r="G175" s="73"/>
      <c r="H175" s="73"/>
      <c r="I175" s="73"/>
      <c r="J175" s="73"/>
      <c r="K175" s="191"/>
      <c r="L175" s="191"/>
      <c r="M175" s="74"/>
      <c r="N175" s="2"/>
      <c r="O175" s="2"/>
      <c r="P175" s="2"/>
      <c r="Q175" s="2"/>
      <c r="R175" s="2"/>
    </row>
    <row r="176" spans="1:18" x14ac:dyDescent="0.4">
      <c r="A176" s="2"/>
      <c r="B176" s="76"/>
      <c r="C176" s="73"/>
      <c r="D176" s="73"/>
      <c r="E176" s="73"/>
      <c r="F176" s="73"/>
      <c r="G176" s="73"/>
      <c r="H176" s="73"/>
      <c r="I176" s="73"/>
      <c r="J176" s="73"/>
      <c r="K176" s="191"/>
      <c r="L176" s="191"/>
      <c r="M176" s="74"/>
      <c r="N176" s="2"/>
      <c r="O176" s="2"/>
      <c r="P176" s="2"/>
      <c r="Q176" s="2"/>
      <c r="R176" s="2"/>
    </row>
    <row r="177" spans="1:18" x14ac:dyDescent="0.4">
      <c r="A177" s="2"/>
      <c r="B177" s="76"/>
      <c r="C177" s="73"/>
      <c r="D177" s="73"/>
      <c r="E177" s="73"/>
      <c r="F177" s="73"/>
      <c r="G177" s="73"/>
      <c r="H177" s="73"/>
      <c r="I177" s="73"/>
      <c r="J177" s="73"/>
      <c r="K177" s="191"/>
      <c r="L177" s="191"/>
      <c r="M177" s="74"/>
      <c r="N177" s="2"/>
      <c r="O177" s="2"/>
      <c r="P177" s="2"/>
      <c r="Q177" s="2"/>
      <c r="R177" s="2"/>
    </row>
    <row r="178" spans="1:18" x14ac:dyDescent="0.4">
      <c r="A178" s="2"/>
      <c r="B178" s="2"/>
      <c r="C178" s="73"/>
      <c r="D178" s="73"/>
      <c r="E178" s="73"/>
      <c r="F178" s="73"/>
      <c r="G178" s="73"/>
      <c r="H178" s="73"/>
      <c r="I178" s="73"/>
      <c r="J178" s="73"/>
      <c r="K178" s="191"/>
      <c r="L178" s="191"/>
      <c r="M178" s="74"/>
      <c r="N178" s="2"/>
      <c r="O178" s="2"/>
      <c r="P178" s="2"/>
      <c r="Q178" s="2"/>
      <c r="R178" s="2"/>
    </row>
    <row r="179" spans="1:18" x14ac:dyDescent="0.4">
      <c r="A179" s="75"/>
      <c r="B179" s="2"/>
      <c r="C179" s="73"/>
      <c r="D179" s="73"/>
      <c r="E179" s="73"/>
      <c r="F179" s="73"/>
      <c r="G179" s="73"/>
      <c r="H179" s="73"/>
      <c r="I179" s="73"/>
      <c r="J179" s="73"/>
      <c r="K179" s="191"/>
      <c r="L179" s="191"/>
      <c r="M179" s="74"/>
      <c r="N179" s="2"/>
      <c r="O179" s="2"/>
      <c r="P179" s="2"/>
      <c r="Q179" s="2"/>
      <c r="R179" s="2"/>
    </row>
    <row r="180" spans="1:18" x14ac:dyDescent="0.4">
      <c r="A180" s="2"/>
      <c r="B180" s="2"/>
      <c r="C180" s="73"/>
      <c r="D180" s="73"/>
      <c r="E180" s="73"/>
      <c r="F180" s="73"/>
      <c r="G180" s="73"/>
      <c r="H180" s="73"/>
      <c r="I180" s="73"/>
      <c r="J180" s="73"/>
      <c r="K180" s="191"/>
      <c r="L180" s="191"/>
      <c r="M180" s="74"/>
      <c r="N180" s="2"/>
      <c r="O180" s="2"/>
      <c r="P180" s="2"/>
      <c r="Q180" s="2"/>
      <c r="R180" s="2"/>
    </row>
    <row r="181" spans="1:18" x14ac:dyDescent="0.4">
      <c r="A181" s="2"/>
      <c r="B181" s="2"/>
      <c r="C181" s="73"/>
      <c r="D181" s="73"/>
      <c r="E181" s="73"/>
      <c r="F181" s="73"/>
      <c r="G181" s="73"/>
      <c r="H181" s="73"/>
      <c r="I181" s="73"/>
      <c r="J181" s="73"/>
      <c r="K181" s="191"/>
      <c r="L181" s="191"/>
      <c r="M181" s="74"/>
      <c r="N181" s="2"/>
      <c r="O181" s="2"/>
      <c r="P181" s="2"/>
      <c r="Q181" s="2"/>
      <c r="R181" s="2"/>
    </row>
    <row r="182" spans="1:18" x14ac:dyDescent="0.4">
      <c r="A182" s="75"/>
      <c r="B182" s="76"/>
      <c r="C182" s="73"/>
      <c r="D182" s="73"/>
      <c r="E182" s="73"/>
      <c r="F182" s="73"/>
      <c r="G182" s="73"/>
      <c r="H182" s="73"/>
      <c r="I182" s="73"/>
      <c r="J182" s="73"/>
      <c r="K182" s="191"/>
      <c r="L182" s="191"/>
      <c r="M182" s="74"/>
      <c r="N182" s="2"/>
      <c r="O182" s="2"/>
      <c r="P182" s="2"/>
      <c r="Q182" s="2"/>
      <c r="R182" s="2"/>
    </row>
    <row r="183" spans="1:18" x14ac:dyDescent="0.4">
      <c r="A183" s="2"/>
      <c r="B183" s="76"/>
      <c r="C183" s="73"/>
      <c r="D183" s="73"/>
      <c r="E183" s="73"/>
      <c r="F183" s="73"/>
      <c r="G183" s="73"/>
      <c r="H183" s="73"/>
      <c r="I183" s="73"/>
      <c r="J183" s="73"/>
      <c r="K183" s="191"/>
      <c r="L183" s="191"/>
      <c r="M183" s="74"/>
      <c r="N183" s="2"/>
      <c r="O183" s="2"/>
      <c r="P183" s="2"/>
      <c r="Q183" s="2"/>
      <c r="R183" s="2"/>
    </row>
    <row r="184" spans="1:18" x14ac:dyDescent="0.4">
      <c r="A184" s="2"/>
      <c r="B184" s="76"/>
      <c r="C184" s="73"/>
      <c r="D184" s="73"/>
      <c r="E184" s="73"/>
      <c r="F184" s="73"/>
      <c r="G184" s="73"/>
      <c r="H184" s="73"/>
      <c r="I184" s="73"/>
      <c r="J184" s="73"/>
      <c r="K184" s="191"/>
      <c r="L184" s="191"/>
      <c r="M184" s="74"/>
      <c r="N184" s="2"/>
      <c r="O184" s="2"/>
      <c r="P184" s="2"/>
      <c r="Q184" s="2"/>
      <c r="R184" s="2"/>
    </row>
    <row r="185" spans="1:18" x14ac:dyDescent="0.4">
      <c r="A185" s="2"/>
      <c r="B185" s="2"/>
      <c r="C185" s="73"/>
      <c r="D185" s="73"/>
      <c r="E185" s="73"/>
      <c r="F185" s="73"/>
      <c r="G185" s="73"/>
      <c r="H185" s="73"/>
      <c r="I185" s="73"/>
      <c r="J185" s="73"/>
      <c r="K185" s="191"/>
      <c r="L185" s="191"/>
      <c r="M185" s="74"/>
      <c r="N185" s="2"/>
      <c r="O185" s="2"/>
      <c r="P185" s="2"/>
      <c r="Q185" s="2"/>
      <c r="R185" s="2"/>
    </row>
    <row r="186" spans="1:18" x14ac:dyDescent="0.4">
      <c r="A186" s="2"/>
      <c r="B186" s="2"/>
      <c r="C186" s="73"/>
      <c r="D186" s="73"/>
      <c r="E186" s="73"/>
      <c r="F186" s="73"/>
      <c r="G186" s="73"/>
      <c r="H186" s="73"/>
      <c r="I186" s="73"/>
      <c r="J186" s="73"/>
      <c r="K186" s="191"/>
      <c r="L186" s="191"/>
      <c r="M186" s="74"/>
      <c r="N186" s="2"/>
      <c r="O186" s="2"/>
      <c r="P186" s="2"/>
      <c r="Q186" s="2"/>
      <c r="R186" s="2"/>
    </row>
    <row r="187" spans="1:18" x14ac:dyDescent="0.4">
      <c r="A187" s="2"/>
      <c r="B187" s="2"/>
      <c r="C187" s="73"/>
      <c r="D187" s="73"/>
      <c r="E187" s="73"/>
      <c r="F187" s="73"/>
      <c r="G187" s="73"/>
      <c r="H187" s="73"/>
      <c r="I187" s="73"/>
      <c r="J187" s="73"/>
      <c r="K187" s="191"/>
      <c r="L187" s="191"/>
      <c r="M187" s="74"/>
      <c r="N187" s="2"/>
      <c r="O187" s="2"/>
      <c r="P187" s="2"/>
      <c r="Q187" s="2"/>
      <c r="R187" s="2"/>
    </row>
    <row r="188" spans="1:18" x14ac:dyDescent="0.4">
      <c r="A188" s="75"/>
      <c r="B188" s="2"/>
      <c r="C188" s="73"/>
      <c r="D188" s="73"/>
      <c r="E188" s="73"/>
      <c r="F188" s="73"/>
      <c r="G188" s="73"/>
      <c r="H188" s="73"/>
      <c r="I188" s="73"/>
      <c r="J188" s="73"/>
      <c r="K188" s="191"/>
      <c r="L188" s="191"/>
      <c r="M188" s="74"/>
      <c r="N188" s="2"/>
      <c r="O188" s="2"/>
      <c r="P188" s="2"/>
      <c r="Q188" s="2"/>
      <c r="R188" s="2"/>
    </row>
    <row r="189" spans="1:18" x14ac:dyDescent="0.4">
      <c r="A189" s="2"/>
      <c r="B189" s="2"/>
      <c r="C189" s="73"/>
      <c r="D189" s="73"/>
      <c r="E189" s="73"/>
      <c r="F189" s="73"/>
      <c r="G189" s="73"/>
      <c r="H189" s="73"/>
      <c r="I189" s="73"/>
      <c r="J189" s="73"/>
      <c r="K189" s="191"/>
      <c r="L189" s="191"/>
      <c r="M189" s="74"/>
      <c r="N189" s="2"/>
      <c r="O189" s="2"/>
      <c r="P189" s="2"/>
      <c r="Q189" s="2"/>
      <c r="R189" s="2"/>
    </row>
    <row r="190" spans="1:18" x14ac:dyDescent="0.4">
      <c r="A190" s="2"/>
      <c r="B190" s="2"/>
      <c r="C190" s="73"/>
      <c r="D190" s="73"/>
      <c r="E190" s="73"/>
      <c r="F190" s="73"/>
      <c r="G190" s="73"/>
      <c r="H190" s="73"/>
      <c r="I190" s="73"/>
      <c r="J190" s="73"/>
      <c r="K190" s="191"/>
      <c r="L190" s="191"/>
      <c r="M190" s="74"/>
      <c r="N190" s="2"/>
      <c r="O190" s="2"/>
      <c r="P190" s="2"/>
      <c r="Q190" s="2"/>
      <c r="R190" s="2"/>
    </row>
    <row r="191" spans="1:18" x14ac:dyDescent="0.4">
      <c r="A191" s="75"/>
      <c r="B191" s="75"/>
      <c r="C191" s="73"/>
      <c r="D191" s="73"/>
      <c r="E191" s="73"/>
      <c r="F191" s="73"/>
      <c r="G191" s="73"/>
      <c r="H191" s="73"/>
      <c r="I191" s="73"/>
      <c r="J191" s="73"/>
      <c r="K191" s="191"/>
      <c r="L191" s="191"/>
      <c r="M191" s="74"/>
      <c r="N191" s="2"/>
      <c r="O191" s="2"/>
      <c r="P191" s="2"/>
      <c r="Q191" s="2"/>
      <c r="R191" s="2"/>
    </row>
    <row r="192" spans="1:18" x14ac:dyDescent="0.4">
      <c r="A192" s="2"/>
      <c r="B192" s="2"/>
      <c r="C192" s="73"/>
      <c r="D192" s="73"/>
      <c r="E192" s="73"/>
      <c r="F192" s="73"/>
      <c r="G192" s="73"/>
      <c r="H192" s="73"/>
      <c r="I192" s="73"/>
      <c r="J192" s="73"/>
      <c r="K192" s="191"/>
      <c r="L192" s="191"/>
      <c r="M192" s="74"/>
      <c r="N192" s="2"/>
      <c r="O192" s="2"/>
      <c r="P192" s="2"/>
      <c r="Q192" s="2"/>
      <c r="R192" s="2"/>
    </row>
    <row r="193" spans="1:18" x14ac:dyDescent="0.4">
      <c r="A193" s="2"/>
      <c r="B193" s="2"/>
      <c r="C193" s="73"/>
      <c r="D193" s="73"/>
      <c r="E193" s="73"/>
      <c r="F193" s="73"/>
      <c r="G193" s="73"/>
      <c r="H193" s="73"/>
      <c r="I193" s="73"/>
      <c r="J193" s="73"/>
      <c r="K193" s="191"/>
      <c r="L193" s="191"/>
      <c r="M193" s="74"/>
      <c r="N193" s="2"/>
      <c r="O193" s="2"/>
      <c r="P193" s="2"/>
      <c r="Q193" s="2"/>
      <c r="R193" s="2"/>
    </row>
    <row r="194" spans="1:18" x14ac:dyDescent="0.4">
      <c r="A194" s="2"/>
      <c r="B194" s="2"/>
      <c r="C194" s="73"/>
      <c r="D194" s="73"/>
      <c r="E194" s="73"/>
      <c r="F194" s="73"/>
      <c r="G194" s="73"/>
      <c r="H194" s="73"/>
      <c r="I194" s="73"/>
      <c r="J194" s="73"/>
      <c r="K194" s="191"/>
      <c r="L194" s="191"/>
      <c r="M194" s="74"/>
      <c r="N194" s="2"/>
      <c r="O194" s="2"/>
      <c r="P194" s="2"/>
      <c r="Q194" s="2"/>
      <c r="R194" s="2"/>
    </row>
    <row r="195" spans="1:18" x14ac:dyDescent="0.4">
      <c r="A195" s="2"/>
      <c r="B195" s="2"/>
      <c r="C195" s="73"/>
      <c r="D195" s="73"/>
      <c r="E195" s="73"/>
      <c r="F195" s="73"/>
      <c r="G195" s="73"/>
      <c r="H195" s="73"/>
      <c r="I195" s="73"/>
      <c r="J195" s="73"/>
      <c r="K195" s="191"/>
      <c r="L195" s="191"/>
      <c r="M195" s="74"/>
      <c r="N195" s="2"/>
      <c r="O195" s="2"/>
      <c r="P195" s="2"/>
      <c r="Q195" s="2"/>
      <c r="R195" s="2"/>
    </row>
    <row r="196" spans="1:18" x14ac:dyDescent="0.4">
      <c r="A196" s="2"/>
      <c r="B196" s="2"/>
      <c r="C196" s="73"/>
      <c r="D196" s="73"/>
      <c r="E196" s="73"/>
      <c r="F196" s="73"/>
      <c r="G196" s="73"/>
      <c r="H196" s="73"/>
      <c r="I196" s="73"/>
      <c r="J196" s="73"/>
      <c r="K196" s="191"/>
      <c r="L196" s="191"/>
      <c r="M196" s="74"/>
      <c r="N196" s="2"/>
      <c r="O196" s="2"/>
      <c r="P196" s="2"/>
      <c r="Q196" s="2"/>
      <c r="R196" s="2"/>
    </row>
    <row r="197" spans="1:18" x14ac:dyDescent="0.4">
      <c r="A197" s="2"/>
      <c r="B197" s="2"/>
      <c r="C197" s="73"/>
      <c r="D197" s="73"/>
      <c r="E197" s="73"/>
      <c r="F197" s="73"/>
      <c r="G197" s="73"/>
      <c r="H197" s="73"/>
      <c r="I197" s="73"/>
      <c r="J197" s="73"/>
      <c r="K197" s="191"/>
      <c r="L197" s="191"/>
      <c r="M197" s="74"/>
      <c r="N197" s="2"/>
      <c r="O197" s="2"/>
      <c r="P197" s="2"/>
      <c r="Q197" s="2"/>
      <c r="R197" s="2"/>
    </row>
    <row r="198" spans="1:18" x14ac:dyDescent="0.4">
      <c r="A198" s="2"/>
      <c r="B198" s="2"/>
      <c r="C198" s="73"/>
      <c r="D198" s="73"/>
      <c r="E198" s="73"/>
      <c r="F198" s="73"/>
      <c r="G198" s="73"/>
      <c r="H198" s="73"/>
      <c r="I198" s="73"/>
      <c r="J198" s="73"/>
      <c r="K198" s="191"/>
      <c r="L198" s="191"/>
      <c r="M198" s="74"/>
      <c r="N198" s="2"/>
      <c r="O198" s="2"/>
      <c r="P198" s="2"/>
      <c r="Q198" s="2"/>
      <c r="R198" s="2"/>
    </row>
    <row r="199" spans="1:18" x14ac:dyDescent="0.4">
      <c r="A199" s="2"/>
      <c r="B199" s="2"/>
      <c r="C199" s="73"/>
      <c r="D199" s="73"/>
      <c r="E199" s="73"/>
      <c r="F199" s="73"/>
      <c r="G199" s="73"/>
      <c r="H199" s="73"/>
      <c r="I199" s="73"/>
      <c r="J199" s="73"/>
      <c r="K199" s="191"/>
      <c r="L199" s="191"/>
      <c r="M199" s="74"/>
      <c r="N199" s="2"/>
      <c r="O199" s="2"/>
      <c r="P199" s="2"/>
      <c r="Q199" s="2"/>
      <c r="R199" s="2"/>
    </row>
    <row r="200" spans="1:18" x14ac:dyDescent="0.4">
      <c r="A200" s="2"/>
      <c r="B200" s="2"/>
      <c r="C200" s="73"/>
      <c r="D200" s="73"/>
      <c r="E200" s="73"/>
      <c r="F200" s="73"/>
      <c r="G200" s="73"/>
      <c r="H200" s="73"/>
      <c r="I200" s="73"/>
      <c r="J200" s="73"/>
      <c r="K200" s="191"/>
      <c r="L200" s="191"/>
      <c r="M200" s="74"/>
      <c r="N200" s="2"/>
      <c r="O200" s="2"/>
      <c r="P200" s="2"/>
      <c r="Q200" s="2"/>
      <c r="R200" s="2"/>
    </row>
    <row r="201" spans="1:18" x14ac:dyDescent="0.4">
      <c r="A201" s="2"/>
      <c r="B201" s="2"/>
      <c r="C201" s="73"/>
      <c r="D201" s="73"/>
      <c r="E201" s="73"/>
      <c r="F201" s="73"/>
      <c r="G201" s="73"/>
      <c r="H201" s="73"/>
      <c r="I201" s="73"/>
      <c r="J201" s="73"/>
      <c r="K201" s="191"/>
      <c r="L201" s="191"/>
      <c r="M201" s="74"/>
      <c r="N201" s="2"/>
      <c r="O201" s="2"/>
      <c r="P201" s="2"/>
      <c r="Q201" s="2"/>
      <c r="R201" s="2"/>
    </row>
    <row r="202" spans="1:18" x14ac:dyDescent="0.4">
      <c r="A202" s="2"/>
      <c r="B202" s="2"/>
      <c r="C202" s="73"/>
      <c r="D202" s="73"/>
      <c r="E202" s="73"/>
      <c r="F202" s="73"/>
      <c r="G202" s="73"/>
      <c r="H202" s="73"/>
      <c r="I202" s="73"/>
      <c r="J202" s="73"/>
      <c r="K202" s="191"/>
      <c r="L202" s="191"/>
      <c r="M202" s="74"/>
      <c r="N202" s="2"/>
      <c r="O202" s="2"/>
      <c r="P202" s="2"/>
      <c r="Q202" s="2"/>
      <c r="R202" s="2"/>
    </row>
    <row r="203" spans="1:18" x14ac:dyDescent="0.4">
      <c r="A203" s="2"/>
      <c r="B203" s="2"/>
      <c r="C203" s="73"/>
      <c r="D203" s="73"/>
      <c r="E203" s="73"/>
      <c r="F203" s="73"/>
      <c r="G203" s="73"/>
      <c r="H203" s="73"/>
      <c r="I203" s="73"/>
      <c r="J203" s="73"/>
      <c r="K203" s="191"/>
      <c r="L203" s="191"/>
      <c r="M203" s="74"/>
      <c r="N203" s="2"/>
      <c r="O203" s="2"/>
      <c r="P203" s="2"/>
      <c r="Q203" s="2"/>
      <c r="R203" s="2"/>
    </row>
    <row r="204" spans="1:18" x14ac:dyDescent="0.4">
      <c r="A204" s="2"/>
      <c r="B204" s="2"/>
      <c r="C204" s="73"/>
      <c r="D204" s="73"/>
      <c r="E204" s="73"/>
      <c r="F204" s="73"/>
      <c r="G204" s="73"/>
      <c r="H204" s="73"/>
      <c r="I204" s="73"/>
      <c r="J204" s="73"/>
      <c r="K204" s="191"/>
      <c r="L204" s="191"/>
      <c r="M204" s="74"/>
      <c r="N204" s="2"/>
      <c r="O204" s="2"/>
      <c r="P204" s="2"/>
      <c r="Q204" s="2"/>
      <c r="R204" s="2"/>
    </row>
    <row r="205" spans="1:18" x14ac:dyDescent="0.4">
      <c r="A205" s="2"/>
      <c r="B205" s="2"/>
      <c r="C205" s="73"/>
      <c r="D205" s="73"/>
      <c r="E205" s="73"/>
      <c r="F205" s="73"/>
      <c r="G205" s="73"/>
      <c r="H205" s="73"/>
      <c r="I205" s="73"/>
      <c r="J205" s="73"/>
      <c r="K205" s="191"/>
      <c r="L205" s="191"/>
      <c r="M205" s="74"/>
      <c r="N205" s="2"/>
      <c r="O205" s="2"/>
      <c r="P205" s="2"/>
      <c r="Q205" s="2"/>
      <c r="R205" s="2"/>
    </row>
    <row r="206" spans="1:18" x14ac:dyDescent="0.4">
      <c r="A206" s="2"/>
      <c r="B206" s="2"/>
      <c r="C206" s="73"/>
      <c r="D206" s="73"/>
      <c r="E206" s="73"/>
      <c r="F206" s="73"/>
      <c r="G206" s="73"/>
      <c r="H206" s="73"/>
      <c r="I206" s="73"/>
      <c r="J206" s="73"/>
      <c r="K206" s="191"/>
      <c r="L206" s="191"/>
      <c r="M206" s="74"/>
      <c r="N206" s="2"/>
      <c r="O206" s="2"/>
      <c r="P206" s="2"/>
      <c r="Q206" s="2"/>
      <c r="R206" s="2"/>
    </row>
    <row r="207" spans="1:18" x14ac:dyDescent="0.4">
      <c r="A207" s="2"/>
      <c r="B207" s="2"/>
      <c r="C207" s="73"/>
      <c r="D207" s="73"/>
      <c r="E207" s="73"/>
      <c r="F207" s="73"/>
      <c r="G207" s="73"/>
      <c r="H207" s="73"/>
      <c r="I207" s="73"/>
      <c r="J207" s="73"/>
      <c r="K207" s="191"/>
      <c r="L207" s="191"/>
      <c r="M207" s="74"/>
      <c r="N207" s="2"/>
      <c r="O207" s="2"/>
      <c r="P207" s="2"/>
      <c r="Q207" s="2"/>
      <c r="R207" s="2"/>
    </row>
    <row r="208" spans="1:18" x14ac:dyDescent="0.4">
      <c r="A208" s="2"/>
      <c r="B208" s="2"/>
      <c r="C208" s="73"/>
      <c r="D208" s="73"/>
      <c r="E208" s="73"/>
      <c r="F208" s="73"/>
      <c r="G208" s="73"/>
      <c r="H208" s="73"/>
      <c r="I208" s="73"/>
      <c r="J208" s="73"/>
      <c r="K208" s="191"/>
      <c r="L208" s="191"/>
      <c r="M208" s="74"/>
      <c r="N208" s="2"/>
      <c r="O208" s="2"/>
      <c r="P208" s="2"/>
      <c r="Q208" s="2"/>
      <c r="R208" s="2"/>
    </row>
    <row r="209" spans="1:18" x14ac:dyDescent="0.4">
      <c r="A209" s="2"/>
      <c r="B209" s="2"/>
      <c r="C209" s="73"/>
      <c r="D209" s="73"/>
      <c r="E209" s="73"/>
      <c r="F209" s="73"/>
      <c r="G209" s="73"/>
      <c r="H209" s="73"/>
      <c r="I209" s="73"/>
      <c r="J209" s="73"/>
      <c r="K209" s="191"/>
      <c r="L209" s="191"/>
      <c r="M209" s="74"/>
      <c r="N209" s="2"/>
      <c r="O209" s="2"/>
      <c r="P209" s="2"/>
      <c r="Q209" s="2"/>
      <c r="R209" s="2"/>
    </row>
    <row r="210" spans="1:18" x14ac:dyDescent="0.4">
      <c r="A210" s="2"/>
      <c r="B210" s="2"/>
      <c r="C210" s="73"/>
      <c r="D210" s="73"/>
      <c r="E210" s="73"/>
      <c r="F210" s="73"/>
      <c r="G210" s="73"/>
      <c r="H210" s="73"/>
      <c r="I210" s="73"/>
      <c r="J210" s="73"/>
      <c r="K210" s="191"/>
      <c r="L210" s="191"/>
      <c r="M210" s="74"/>
      <c r="N210" s="2"/>
      <c r="O210" s="2"/>
      <c r="P210" s="2"/>
      <c r="Q210" s="2"/>
      <c r="R210" s="2"/>
    </row>
    <row r="211" spans="1:18" x14ac:dyDescent="0.4">
      <c r="A211" s="2"/>
      <c r="B211" s="2"/>
      <c r="C211" s="73"/>
      <c r="D211" s="73"/>
      <c r="E211" s="73"/>
      <c r="F211" s="73"/>
      <c r="G211" s="73"/>
      <c r="H211" s="73"/>
      <c r="I211" s="73"/>
      <c r="J211" s="73"/>
      <c r="K211" s="191"/>
      <c r="L211" s="191"/>
      <c r="M211" s="74"/>
      <c r="N211" s="2"/>
      <c r="O211" s="2"/>
      <c r="P211" s="2"/>
      <c r="Q211" s="2"/>
      <c r="R211" s="2"/>
    </row>
    <row r="212" spans="1:18" x14ac:dyDescent="0.4">
      <c r="A212" s="2"/>
      <c r="B212" s="2"/>
      <c r="C212" s="73"/>
      <c r="D212" s="73"/>
      <c r="E212" s="73"/>
      <c r="F212" s="73"/>
      <c r="G212" s="73"/>
      <c r="H212" s="73"/>
      <c r="I212" s="73"/>
      <c r="J212" s="73"/>
      <c r="K212" s="191"/>
      <c r="L212" s="191"/>
      <c r="M212" s="74"/>
      <c r="N212" s="2"/>
      <c r="O212" s="2"/>
      <c r="P212" s="2"/>
      <c r="Q212" s="2"/>
      <c r="R212" s="2"/>
    </row>
    <row r="213" spans="1:18" x14ac:dyDescent="0.4">
      <c r="A213" s="2"/>
      <c r="B213" s="2"/>
      <c r="C213" s="73"/>
      <c r="D213" s="73"/>
      <c r="E213" s="73"/>
      <c r="F213" s="73"/>
      <c r="G213" s="73"/>
      <c r="H213" s="73"/>
      <c r="I213" s="73"/>
      <c r="J213" s="73"/>
      <c r="K213" s="191"/>
      <c r="L213" s="191"/>
      <c r="M213" s="74"/>
      <c r="N213" s="2"/>
      <c r="O213" s="2"/>
      <c r="P213" s="2"/>
      <c r="Q213" s="2"/>
      <c r="R213" s="2"/>
    </row>
    <row r="214" spans="1:18" x14ac:dyDescent="0.4">
      <c r="A214" s="2"/>
      <c r="B214" s="2"/>
      <c r="C214" s="73"/>
      <c r="D214" s="73"/>
      <c r="E214" s="73"/>
      <c r="F214" s="73"/>
      <c r="G214" s="73"/>
      <c r="H214" s="73"/>
      <c r="I214" s="73"/>
      <c r="J214" s="73"/>
      <c r="K214" s="191"/>
      <c r="L214" s="191"/>
      <c r="M214" s="74"/>
      <c r="N214" s="2"/>
      <c r="O214" s="2"/>
      <c r="P214" s="2"/>
      <c r="Q214" s="2"/>
      <c r="R214" s="2"/>
    </row>
    <row r="215" spans="1:18" x14ac:dyDescent="0.4">
      <c r="A215" s="2"/>
      <c r="B215" s="2"/>
      <c r="C215" s="73"/>
      <c r="D215" s="73"/>
      <c r="E215" s="73"/>
      <c r="F215" s="73"/>
      <c r="G215" s="73"/>
      <c r="H215" s="73"/>
      <c r="I215" s="73"/>
      <c r="J215" s="73"/>
      <c r="K215" s="191"/>
      <c r="L215" s="191"/>
      <c r="M215" s="74"/>
      <c r="N215" s="2"/>
      <c r="O215" s="2"/>
      <c r="P215" s="2"/>
      <c r="Q215" s="2"/>
      <c r="R215" s="2"/>
    </row>
    <row r="216" spans="1:18" x14ac:dyDescent="0.4">
      <c r="A216" s="2"/>
      <c r="B216" s="2"/>
      <c r="C216" s="73"/>
      <c r="D216" s="73"/>
      <c r="E216" s="73"/>
      <c r="F216" s="73"/>
      <c r="G216" s="73"/>
      <c r="H216" s="73"/>
      <c r="I216" s="73"/>
      <c r="J216" s="73"/>
      <c r="K216" s="191"/>
      <c r="L216" s="191"/>
      <c r="M216" s="74"/>
      <c r="N216" s="2"/>
      <c r="O216" s="2"/>
      <c r="P216" s="2"/>
      <c r="Q216" s="2"/>
      <c r="R216" s="2"/>
    </row>
    <row r="217" spans="1:18" x14ac:dyDescent="0.4">
      <c r="A217" s="2"/>
      <c r="B217" s="2"/>
      <c r="C217" s="73"/>
      <c r="D217" s="73"/>
      <c r="E217" s="73"/>
      <c r="F217" s="73"/>
      <c r="G217" s="73"/>
      <c r="H217" s="73"/>
      <c r="I217" s="73"/>
      <c r="J217" s="73"/>
      <c r="K217" s="191"/>
      <c r="L217" s="191"/>
      <c r="M217" s="74"/>
      <c r="N217" s="2"/>
      <c r="O217" s="2"/>
      <c r="P217" s="2"/>
      <c r="Q217" s="2"/>
      <c r="R217" s="2"/>
    </row>
    <row r="218" spans="1:18" x14ac:dyDescent="0.4">
      <c r="A218" s="2"/>
      <c r="B218" s="2"/>
      <c r="C218" s="73"/>
      <c r="D218" s="73"/>
      <c r="E218" s="73"/>
      <c r="F218" s="73"/>
      <c r="G218" s="73"/>
      <c r="H218" s="73"/>
      <c r="I218" s="73"/>
      <c r="J218" s="73"/>
      <c r="K218" s="191"/>
      <c r="L218" s="191"/>
      <c r="M218" s="74"/>
      <c r="N218" s="2"/>
      <c r="O218" s="2"/>
      <c r="P218" s="2"/>
      <c r="Q218" s="2"/>
      <c r="R218" s="2"/>
    </row>
    <row r="219" spans="1:18" x14ac:dyDescent="0.4">
      <c r="A219" s="2"/>
      <c r="B219" s="2"/>
      <c r="C219" s="73"/>
      <c r="D219" s="73"/>
      <c r="E219" s="73"/>
      <c r="F219" s="73"/>
      <c r="G219" s="73"/>
      <c r="H219" s="73"/>
      <c r="I219" s="73"/>
      <c r="J219" s="73"/>
      <c r="K219" s="191"/>
      <c r="L219" s="191"/>
      <c r="M219" s="74"/>
      <c r="N219" s="2"/>
      <c r="O219" s="2"/>
      <c r="P219" s="2"/>
      <c r="Q219" s="2"/>
      <c r="R219" s="2"/>
    </row>
    <row r="220" spans="1:18" x14ac:dyDescent="0.4">
      <c r="A220" s="2"/>
      <c r="B220" s="2"/>
      <c r="C220" s="73"/>
      <c r="D220" s="73"/>
      <c r="E220" s="73"/>
      <c r="F220" s="73"/>
      <c r="G220" s="73"/>
      <c r="H220" s="73"/>
      <c r="I220" s="73"/>
      <c r="J220" s="73"/>
      <c r="K220" s="191"/>
      <c r="L220" s="191"/>
      <c r="M220" s="74"/>
      <c r="N220" s="2"/>
      <c r="O220" s="2"/>
      <c r="P220" s="2"/>
      <c r="Q220" s="2"/>
      <c r="R220" s="2"/>
    </row>
    <row r="221" spans="1:18" x14ac:dyDescent="0.4">
      <c r="A221" s="2"/>
      <c r="B221" s="2"/>
      <c r="C221" s="73"/>
      <c r="D221" s="73"/>
      <c r="E221" s="73"/>
      <c r="F221" s="73"/>
      <c r="G221" s="73"/>
      <c r="H221" s="73"/>
      <c r="I221" s="73"/>
      <c r="J221" s="73"/>
      <c r="K221" s="191"/>
      <c r="L221" s="191"/>
      <c r="M221" s="74"/>
      <c r="N221" s="2"/>
      <c r="O221" s="2"/>
      <c r="P221" s="2"/>
      <c r="Q221" s="2"/>
      <c r="R221" s="2"/>
    </row>
    <row r="222" spans="1:18" x14ac:dyDescent="0.4">
      <c r="A222" s="2"/>
      <c r="B222" s="2"/>
      <c r="C222" s="73"/>
      <c r="D222" s="73"/>
      <c r="E222" s="73"/>
      <c r="F222" s="73"/>
      <c r="G222" s="73"/>
      <c r="H222" s="73"/>
      <c r="I222" s="73"/>
      <c r="J222" s="73"/>
      <c r="K222" s="191"/>
      <c r="L222" s="191"/>
      <c r="M222" s="74"/>
      <c r="N222" s="2"/>
      <c r="O222" s="2"/>
      <c r="P222" s="2"/>
      <c r="Q222" s="2"/>
      <c r="R222" s="2"/>
    </row>
    <row r="223" spans="1:18" x14ac:dyDescent="0.4">
      <c r="A223" s="2"/>
      <c r="B223" s="2"/>
      <c r="C223" s="73"/>
      <c r="D223" s="73"/>
      <c r="E223" s="73"/>
      <c r="F223" s="73"/>
      <c r="G223" s="73"/>
      <c r="H223" s="73"/>
      <c r="I223" s="73"/>
      <c r="J223" s="73"/>
      <c r="K223" s="191"/>
      <c r="L223" s="191"/>
      <c r="M223" s="74"/>
      <c r="N223" s="2"/>
      <c r="O223" s="2"/>
      <c r="P223" s="2"/>
      <c r="Q223" s="2"/>
      <c r="R223" s="2"/>
    </row>
    <row r="224" spans="1:18" x14ac:dyDescent="0.4">
      <c r="A224" s="2"/>
      <c r="B224" s="2"/>
      <c r="C224" s="73"/>
      <c r="D224" s="73"/>
      <c r="E224" s="73"/>
      <c r="F224" s="73"/>
      <c r="G224" s="73"/>
      <c r="H224" s="73"/>
      <c r="I224" s="73"/>
      <c r="J224" s="73"/>
      <c r="K224" s="191"/>
      <c r="L224" s="191"/>
      <c r="M224" s="74"/>
      <c r="N224" s="2"/>
      <c r="O224" s="2"/>
      <c r="P224" s="2"/>
      <c r="Q224" s="2"/>
      <c r="R224" s="2"/>
    </row>
    <row r="225" spans="1:18" x14ac:dyDescent="0.4">
      <c r="A225" s="2"/>
      <c r="B225" s="2"/>
      <c r="C225" s="73"/>
      <c r="D225" s="73"/>
      <c r="E225" s="73"/>
      <c r="F225" s="73"/>
      <c r="G225" s="73"/>
      <c r="H225" s="73"/>
      <c r="I225" s="73"/>
      <c r="J225" s="73"/>
      <c r="K225" s="191"/>
      <c r="L225" s="191"/>
      <c r="M225" s="74"/>
      <c r="N225" s="2"/>
      <c r="O225" s="2"/>
      <c r="P225" s="2"/>
      <c r="Q225" s="2"/>
      <c r="R225" s="2"/>
    </row>
    <row r="226" spans="1:18" x14ac:dyDescent="0.4">
      <c r="A226" s="2"/>
      <c r="B226" s="2"/>
      <c r="C226" s="73"/>
      <c r="D226" s="73"/>
      <c r="E226" s="73"/>
      <c r="F226" s="73"/>
      <c r="G226" s="73"/>
      <c r="H226" s="73"/>
      <c r="I226" s="73"/>
      <c r="J226" s="73"/>
      <c r="K226" s="191"/>
      <c r="L226" s="191"/>
      <c r="M226" s="74"/>
      <c r="N226" s="2"/>
      <c r="O226" s="2"/>
      <c r="P226" s="2"/>
      <c r="Q226" s="2"/>
      <c r="R226" s="2"/>
    </row>
    <row r="227" spans="1:18" x14ac:dyDescent="0.4">
      <c r="A227" s="2"/>
      <c r="B227" s="2"/>
      <c r="C227" s="73"/>
      <c r="D227" s="73"/>
      <c r="E227" s="73"/>
      <c r="F227" s="73"/>
      <c r="G227" s="73"/>
      <c r="H227" s="73"/>
      <c r="I227" s="73"/>
      <c r="J227" s="73"/>
      <c r="K227" s="191"/>
      <c r="L227" s="191"/>
      <c r="M227" s="74"/>
      <c r="N227" s="2"/>
      <c r="O227" s="2"/>
      <c r="P227" s="2"/>
      <c r="Q227" s="2"/>
      <c r="R227" s="2"/>
    </row>
    <row r="228" spans="1:18" x14ac:dyDescent="0.4">
      <c r="A228" s="2"/>
      <c r="B228" s="2"/>
      <c r="C228" s="73"/>
      <c r="D228" s="73"/>
      <c r="E228" s="73"/>
      <c r="F228" s="73"/>
      <c r="G228" s="73"/>
      <c r="H228" s="73"/>
      <c r="I228" s="73"/>
      <c r="J228" s="73"/>
      <c r="K228" s="191"/>
      <c r="L228" s="191"/>
      <c r="M228" s="74"/>
      <c r="N228" s="2"/>
      <c r="O228" s="2"/>
      <c r="P228" s="2"/>
      <c r="Q228" s="2"/>
      <c r="R228" s="2"/>
    </row>
    <row r="229" spans="1:18" x14ac:dyDescent="0.4">
      <c r="A229" s="2"/>
      <c r="B229" s="2"/>
      <c r="C229" s="73"/>
      <c r="D229" s="73"/>
      <c r="E229" s="73"/>
      <c r="F229" s="73"/>
      <c r="G229" s="73"/>
      <c r="H229" s="73"/>
      <c r="I229" s="73"/>
      <c r="J229" s="73"/>
      <c r="K229" s="191"/>
      <c r="L229" s="191"/>
      <c r="M229" s="74"/>
      <c r="N229" s="2"/>
      <c r="O229" s="2"/>
      <c r="P229" s="2"/>
      <c r="Q229" s="2"/>
      <c r="R229" s="2"/>
    </row>
    <row r="230" spans="1:18" x14ac:dyDescent="0.4">
      <c r="A230" s="2"/>
      <c r="B230" s="2"/>
      <c r="C230" s="73"/>
      <c r="D230" s="73"/>
      <c r="E230" s="73"/>
      <c r="F230" s="73"/>
      <c r="G230" s="73"/>
      <c r="H230" s="73"/>
      <c r="I230" s="73"/>
      <c r="J230" s="73"/>
      <c r="K230" s="191"/>
      <c r="L230" s="191"/>
      <c r="M230" s="74"/>
      <c r="N230" s="2"/>
      <c r="O230" s="2"/>
      <c r="P230" s="2"/>
      <c r="Q230" s="2"/>
      <c r="R230" s="2"/>
    </row>
    <row r="231" spans="1:18" x14ac:dyDescent="0.4">
      <c r="A231" s="2"/>
      <c r="B231" s="2"/>
      <c r="C231" s="73"/>
      <c r="D231" s="73"/>
      <c r="E231" s="73"/>
      <c r="F231" s="73"/>
      <c r="G231" s="73"/>
      <c r="H231" s="73"/>
      <c r="I231" s="73"/>
      <c r="J231" s="73"/>
      <c r="K231" s="191"/>
      <c r="L231" s="191"/>
      <c r="M231" s="74"/>
      <c r="N231" s="2"/>
      <c r="O231" s="2"/>
      <c r="P231" s="2"/>
      <c r="Q231" s="2"/>
      <c r="R231" s="2"/>
    </row>
    <row r="232" spans="1:18" x14ac:dyDescent="0.4">
      <c r="A232" s="2"/>
      <c r="B232" s="2"/>
      <c r="C232" s="73"/>
      <c r="D232" s="73"/>
      <c r="E232" s="73"/>
      <c r="F232" s="73"/>
      <c r="G232" s="73"/>
      <c r="H232" s="73"/>
      <c r="I232" s="73"/>
      <c r="J232" s="73"/>
      <c r="K232" s="191"/>
      <c r="L232" s="191"/>
      <c r="M232" s="74"/>
      <c r="N232" s="2"/>
      <c r="O232" s="2"/>
      <c r="P232" s="2"/>
      <c r="Q232" s="2"/>
      <c r="R232" s="2"/>
    </row>
    <row r="233" spans="1:18" x14ac:dyDescent="0.4">
      <c r="A233" s="2"/>
      <c r="B233" s="2"/>
      <c r="C233" s="73"/>
      <c r="D233" s="73"/>
      <c r="E233" s="73"/>
      <c r="F233" s="73"/>
      <c r="G233" s="73"/>
      <c r="H233" s="73"/>
      <c r="I233" s="73"/>
      <c r="J233" s="73"/>
      <c r="K233" s="191"/>
      <c r="L233" s="191"/>
      <c r="M233" s="74"/>
      <c r="N233" s="2"/>
      <c r="O233" s="2"/>
      <c r="P233" s="2"/>
      <c r="Q233" s="2"/>
      <c r="R233" s="2"/>
    </row>
    <row r="234" spans="1:18" x14ac:dyDescent="0.4">
      <c r="A234" s="2"/>
      <c r="B234" s="2"/>
      <c r="C234" s="73"/>
      <c r="D234" s="73"/>
      <c r="E234" s="73"/>
      <c r="F234" s="73"/>
      <c r="G234" s="73"/>
      <c r="H234" s="73"/>
      <c r="I234" s="73"/>
      <c r="J234" s="73"/>
      <c r="K234" s="191"/>
      <c r="L234" s="191"/>
      <c r="M234" s="74"/>
      <c r="N234" s="2"/>
      <c r="O234" s="2"/>
      <c r="P234" s="2"/>
      <c r="Q234" s="2"/>
      <c r="R234" s="2"/>
    </row>
    <row r="235" spans="1:18" x14ac:dyDescent="0.4">
      <c r="A235" s="2"/>
      <c r="B235" s="2"/>
      <c r="C235" s="73"/>
      <c r="D235" s="73"/>
      <c r="E235" s="73"/>
      <c r="F235" s="73"/>
      <c r="G235" s="73"/>
      <c r="H235" s="73"/>
      <c r="I235" s="73"/>
      <c r="J235" s="73"/>
      <c r="K235" s="191"/>
      <c r="L235" s="191"/>
      <c r="M235" s="74"/>
      <c r="N235" s="2"/>
      <c r="O235" s="2"/>
      <c r="P235" s="2"/>
      <c r="Q235" s="2"/>
      <c r="R235" s="2"/>
    </row>
    <row r="236" spans="1:18" x14ac:dyDescent="0.4">
      <c r="A236" s="2"/>
      <c r="B236" s="2"/>
      <c r="C236" s="73"/>
      <c r="D236" s="73"/>
      <c r="E236" s="73"/>
      <c r="F236" s="73"/>
      <c r="G236" s="73"/>
      <c r="H236" s="73"/>
      <c r="I236" s="73"/>
      <c r="J236" s="73"/>
      <c r="K236" s="191"/>
      <c r="L236" s="191"/>
      <c r="M236" s="74"/>
      <c r="N236" s="2"/>
      <c r="O236" s="2"/>
      <c r="P236" s="2"/>
      <c r="Q236" s="2"/>
      <c r="R236" s="2"/>
    </row>
    <row r="237" spans="1:18" x14ac:dyDescent="0.4">
      <c r="A237" s="2"/>
      <c r="B237" s="2"/>
      <c r="C237" s="73"/>
      <c r="D237" s="73"/>
      <c r="E237" s="73"/>
      <c r="F237" s="73"/>
      <c r="G237" s="73"/>
      <c r="H237" s="73"/>
      <c r="I237" s="73"/>
      <c r="J237" s="73"/>
      <c r="K237" s="191"/>
      <c r="L237" s="191"/>
      <c r="M237" s="74"/>
      <c r="N237" s="2"/>
      <c r="O237" s="2"/>
      <c r="P237" s="2"/>
      <c r="Q237" s="2"/>
      <c r="R237" s="2"/>
    </row>
    <row r="238" spans="1:18" x14ac:dyDescent="0.4">
      <c r="A238" s="2"/>
      <c r="B238" s="2"/>
      <c r="C238" s="73"/>
      <c r="D238" s="73"/>
      <c r="E238" s="73"/>
      <c r="F238" s="73"/>
      <c r="G238" s="73"/>
      <c r="H238" s="73"/>
      <c r="I238" s="73"/>
      <c r="J238" s="73"/>
      <c r="K238" s="191"/>
      <c r="L238" s="191"/>
      <c r="M238" s="74"/>
      <c r="N238" s="2"/>
      <c r="O238" s="2"/>
      <c r="P238" s="2"/>
      <c r="Q238" s="2"/>
      <c r="R238" s="2"/>
    </row>
    <row r="239" spans="1:18" x14ac:dyDescent="0.4">
      <c r="A239" s="2"/>
      <c r="B239" s="2"/>
      <c r="C239" s="73"/>
      <c r="D239" s="73"/>
      <c r="E239" s="73"/>
      <c r="F239" s="73"/>
      <c r="G239" s="73"/>
      <c r="H239" s="73"/>
      <c r="I239" s="73"/>
      <c r="J239" s="73"/>
      <c r="K239" s="191"/>
      <c r="L239" s="191"/>
      <c r="M239" s="74"/>
      <c r="N239" s="2"/>
      <c r="O239" s="2"/>
      <c r="P239" s="2"/>
      <c r="Q239" s="2"/>
      <c r="R239" s="2"/>
    </row>
    <row r="240" spans="1:18" x14ac:dyDescent="0.4">
      <c r="A240" s="2"/>
      <c r="B240" s="2"/>
      <c r="C240" s="73"/>
      <c r="D240" s="73"/>
      <c r="E240" s="73"/>
      <c r="F240" s="73"/>
      <c r="G240" s="73"/>
      <c r="H240" s="73"/>
      <c r="I240" s="73"/>
      <c r="J240" s="73"/>
      <c r="K240" s="191"/>
      <c r="L240" s="191"/>
      <c r="M240" s="74"/>
      <c r="N240" s="2"/>
      <c r="O240" s="2"/>
      <c r="P240" s="2"/>
      <c r="Q240" s="2"/>
      <c r="R240" s="2"/>
    </row>
    <row r="241" spans="1:18" x14ac:dyDescent="0.4">
      <c r="A241" s="2"/>
      <c r="B241" s="2"/>
      <c r="C241" s="73"/>
      <c r="D241" s="73"/>
      <c r="E241" s="73"/>
      <c r="F241" s="73"/>
      <c r="G241" s="73"/>
      <c r="H241" s="73"/>
      <c r="I241" s="73"/>
      <c r="J241" s="73"/>
      <c r="K241" s="191"/>
      <c r="L241" s="191"/>
      <c r="M241" s="74"/>
      <c r="N241" s="2"/>
      <c r="O241" s="2"/>
      <c r="P241" s="2"/>
      <c r="Q241" s="2"/>
      <c r="R241" s="2"/>
    </row>
    <row r="242" spans="1:18" x14ac:dyDescent="0.4">
      <c r="A242" s="2"/>
      <c r="B242" s="2"/>
      <c r="C242" s="73"/>
      <c r="D242" s="73"/>
      <c r="E242" s="73"/>
      <c r="F242" s="73"/>
      <c r="G242" s="73"/>
      <c r="H242" s="73"/>
      <c r="I242" s="73"/>
      <c r="J242" s="73"/>
      <c r="K242" s="191"/>
      <c r="L242" s="191"/>
      <c r="M242" s="74"/>
      <c r="N242" s="2"/>
      <c r="O242" s="2"/>
      <c r="P242" s="2"/>
      <c r="Q242" s="2"/>
      <c r="R242" s="2"/>
    </row>
    <row r="243" spans="1:18" x14ac:dyDescent="0.4">
      <c r="A243" s="2"/>
      <c r="B243" s="2"/>
      <c r="C243" s="73"/>
      <c r="D243" s="73"/>
      <c r="E243" s="73"/>
      <c r="F243" s="73"/>
      <c r="G243" s="73"/>
      <c r="H243" s="73"/>
      <c r="I243" s="73"/>
      <c r="J243" s="73"/>
      <c r="K243" s="191"/>
      <c r="L243" s="191"/>
      <c r="M243" s="74"/>
      <c r="N243" s="2"/>
      <c r="O243" s="2"/>
      <c r="P243" s="2"/>
      <c r="Q243" s="2"/>
      <c r="R243" s="2"/>
    </row>
    <row r="244" spans="1:18" x14ac:dyDescent="0.4">
      <c r="A244" s="2"/>
      <c r="B244" s="2"/>
      <c r="C244" s="73"/>
      <c r="D244" s="73"/>
      <c r="E244" s="73"/>
      <c r="F244" s="73"/>
      <c r="G244" s="73"/>
      <c r="H244" s="73"/>
      <c r="I244" s="73"/>
      <c r="J244" s="73"/>
      <c r="K244" s="191"/>
      <c r="L244" s="191"/>
      <c r="M244" s="74"/>
      <c r="N244" s="2"/>
      <c r="O244" s="2"/>
      <c r="P244" s="2"/>
      <c r="Q244" s="2"/>
      <c r="R244" s="2"/>
    </row>
    <row r="245" spans="1:18" x14ac:dyDescent="0.4">
      <c r="A245" s="2"/>
      <c r="B245" s="2"/>
      <c r="C245" s="73"/>
      <c r="D245" s="73"/>
      <c r="E245" s="73"/>
      <c r="F245" s="73"/>
      <c r="G245" s="73"/>
      <c r="H245" s="73"/>
      <c r="I245" s="73"/>
      <c r="J245" s="73"/>
      <c r="K245" s="191"/>
      <c r="L245" s="191"/>
      <c r="M245" s="74"/>
      <c r="N245" s="2"/>
      <c r="O245" s="2"/>
      <c r="P245" s="2"/>
      <c r="Q245" s="2"/>
      <c r="R245" s="2"/>
    </row>
    <row r="246" spans="1:18" x14ac:dyDescent="0.4">
      <c r="A246" s="2"/>
      <c r="B246" s="2"/>
      <c r="C246" s="73"/>
      <c r="D246" s="73"/>
      <c r="E246" s="73"/>
      <c r="F246" s="73"/>
      <c r="G246" s="73"/>
      <c r="H246" s="73"/>
      <c r="I246" s="73"/>
      <c r="J246" s="73"/>
      <c r="K246" s="191"/>
      <c r="L246" s="191"/>
      <c r="M246" s="74"/>
      <c r="N246" s="2"/>
      <c r="O246" s="2"/>
      <c r="P246" s="2"/>
      <c r="Q246" s="2"/>
      <c r="R246" s="2"/>
    </row>
    <row r="247" spans="1:18" x14ac:dyDescent="0.4">
      <c r="A247" s="2"/>
      <c r="B247" s="2"/>
      <c r="C247" s="73"/>
      <c r="D247" s="73"/>
      <c r="E247" s="73"/>
      <c r="F247" s="73"/>
      <c r="G247" s="73"/>
      <c r="H247" s="73"/>
      <c r="I247" s="73"/>
      <c r="J247" s="73"/>
      <c r="K247" s="191"/>
      <c r="L247" s="191"/>
      <c r="M247" s="74"/>
      <c r="N247" s="2"/>
      <c r="O247" s="2"/>
      <c r="P247" s="2"/>
      <c r="Q247" s="2"/>
      <c r="R247" s="2"/>
    </row>
    <row r="248" spans="1:18" x14ac:dyDescent="0.4">
      <c r="A248" s="2"/>
      <c r="B248" s="2"/>
      <c r="C248" s="73"/>
      <c r="D248" s="73"/>
      <c r="E248" s="73"/>
      <c r="F248" s="73"/>
      <c r="G248" s="73"/>
      <c r="H248" s="73"/>
      <c r="I248" s="73"/>
      <c r="J248" s="73"/>
      <c r="K248" s="191"/>
      <c r="L248" s="191"/>
      <c r="M248" s="74"/>
      <c r="N248" s="2"/>
      <c r="O248" s="2"/>
      <c r="P248" s="2"/>
      <c r="Q248" s="2"/>
      <c r="R248" s="2"/>
    </row>
    <row r="249" spans="1:18" x14ac:dyDescent="0.4">
      <c r="A249" s="2"/>
      <c r="B249" s="2"/>
      <c r="C249" s="73"/>
      <c r="D249" s="73"/>
      <c r="E249" s="73"/>
      <c r="F249" s="73"/>
      <c r="G249" s="73"/>
      <c r="H249" s="73"/>
      <c r="I249" s="73"/>
      <c r="J249" s="73"/>
      <c r="K249" s="191"/>
      <c r="L249" s="191"/>
      <c r="M249" s="74"/>
      <c r="N249" s="2"/>
      <c r="O249" s="2"/>
      <c r="P249" s="2"/>
      <c r="Q249" s="2"/>
      <c r="R249" s="2"/>
    </row>
    <row r="250" spans="1:18" x14ac:dyDescent="0.4">
      <c r="A250" s="2"/>
      <c r="B250" s="2"/>
      <c r="C250" s="73"/>
      <c r="D250" s="73"/>
      <c r="E250" s="73"/>
      <c r="F250" s="73"/>
      <c r="G250" s="73"/>
      <c r="H250" s="73"/>
      <c r="I250" s="73"/>
      <c r="J250" s="73"/>
      <c r="K250" s="191"/>
      <c r="L250" s="191"/>
      <c r="M250" s="74"/>
      <c r="N250" s="2"/>
      <c r="O250" s="2"/>
      <c r="P250" s="2"/>
      <c r="Q250" s="2"/>
      <c r="R250" s="2"/>
    </row>
    <row r="251" spans="1:18" x14ac:dyDescent="0.4">
      <c r="A251" s="2"/>
      <c r="B251" s="2"/>
      <c r="C251" s="73"/>
      <c r="D251" s="73"/>
      <c r="E251" s="73"/>
      <c r="F251" s="73"/>
      <c r="G251" s="73"/>
      <c r="H251" s="73"/>
      <c r="I251" s="73"/>
      <c r="J251" s="73"/>
      <c r="K251" s="191"/>
      <c r="L251" s="191"/>
      <c r="M251" s="74"/>
      <c r="N251" s="2"/>
      <c r="O251" s="2"/>
      <c r="P251" s="2"/>
      <c r="Q251" s="2"/>
      <c r="R251" s="2"/>
    </row>
    <row r="252" spans="1:18" x14ac:dyDescent="0.4">
      <c r="A252" s="2"/>
      <c r="B252" s="2"/>
      <c r="C252" s="73"/>
      <c r="D252" s="73"/>
      <c r="E252" s="73"/>
      <c r="F252" s="73"/>
      <c r="G252" s="73"/>
      <c r="H252" s="73"/>
      <c r="I252" s="73"/>
      <c r="J252" s="73"/>
      <c r="K252" s="191"/>
      <c r="L252" s="191"/>
      <c r="M252" s="74"/>
      <c r="N252" s="2"/>
      <c r="O252" s="2"/>
      <c r="P252" s="2"/>
      <c r="Q252" s="2"/>
      <c r="R252" s="2"/>
    </row>
    <row r="253" spans="1:18" x14ac:dyDescent="0.4">
      <c r="A253" s="2"/>
      <c r="B253" s="2"/>
      <c r="C253" s="73"/>
      <c r="D253" s="73"/>
      <c r="E253" s="73"/>
      <c r="F253" s="73"/>
      <c r="G253" s="73"/>
      <c r="H253" s="73"/>
      <c r="I253" s="73"/>
      <c r="J253" s="73"/>
      <c r="K253" s="191"/>
      <c r="L253" s="191"/>
      <c r="M253" s="74"/>
      <c r="N253" s="2"/>
      <c r="O253" s="2"/>
      <c r="P253" s="2"/>
      <c r="Q253" s="2"/>
      <c r="R253" s="2"/>
    </row>
    <row r="254" spans="1:18" x14ac:dyDescent="0.4">
      <c r="A254" s="2"/>
      <c r="B254" s="2"/>
      <c r="C254" s="73"/>
      <c r="D254" s="73"/>
      <c r="E254" s="73"/>
      <c r="F254" s="73"/>
      <c r="G254" s="73"/>
      <c r="H254" s="73"/>
      <c r="I254" s="73"/>
      <c r="J254" s="73"/>
      <c r="K254" s="191"/>
      <c r="L254" s="191"/>
      <c r="M254" s="74"/>
      <c r="N254" s="2"/>
      <c r="O254" s="2"/>
      <c r="P254" s="2"/>
      <c r="Q254" s="2"/>
      <c r="R254" s="2"/>
    </row>
    <row r="255" spans="1:18" x14ac:dyDescent="0.4">
      <c r="A255" s="2"/>
      <c r="B255" s="2"/>
      <c r="C255" s="73"/>
      <c r="D255" s="73"/>
      <c r="E255" s="73"/>
      <c r="F255" s="73"/>
      <c r="G255" s="73"/>
      <c r="H255" s="73"/>
      <c r="I255" s="73"/>
      <c r="J255" s="73"/>
      <c r="K255" s="191"/>
      <c r="L255" s="191"/>
      <c r="M255" s="74"/>
      <c r="N255" s="2"/>
      <c r="O255" s="2"/>
      <c r="P255" s="2"/>
      <c r="Q255" s="2"/>
      <c r="R255" s="2"/>
    </row>
    <row r="256" spans="1:18" x14ac:dyDescent="0.4">
      <c r="A256" s="2"/>
      <c r="B256" s="2"/>
      <c r="C256" s="73"/>
      <c r="D256" s="73"/>
      <c r="E256" s="73"/>
      <c r="F256" s="73"/>
      <c r="G256" s="73"/>
      <c r="H256" s="73"/>
      <c r="I256" s="73"/>
      <c r="J256" s="73"/>
      <c r="K256" s="191"/>
      <c r="L256" s="191"/>
      <c r="M256" s="74"/>
      <c r="N256" s="2"/>
      <c r="O256" s="2"/>
      <c r="P256" s="2"/>
      <c r="Q256" s="2"/>
      <c r="R256" s="2"/>
    </row>
    <row r="257" spans="1:18" x14ac:dyDescent="0.4">
      <c r="A257" s="2"/>
      <c r="B257" s="2"/>
      <c r="C257" s="73"/>
      <c r="D257" s="73"/>
      <c r="E257" s="73"/>
      <c r="F257" s="73"/>
      <c r="G257" s="73"/>
      <c r="H257" s="73"/>
      <c r="I257" s="73"/>
      <c r="J257" s="73"/>
      <c r="K257" s="191"/>
      <c r="L257" s="191"/>
      <c r="M257" s="74"/>
      <c r="N257" s="2"/>
      <c r="O257" s="2"/>
      <c r="P257" s="2"/>
      <c r="Q257" s="2"/>
      <c r="R257" s="2"/>
    </row>
    <row r="258" spans="1:18" x14ac:dyDescent="0.4">
      <c r="A258" s="2"/>
      <c r="B258" s="2"/>
      <c r="C258" s="73"/>
      <c r="D258" s="73"/>
      <c r="E258" s="73"/>
      <c r="F258" s="73"/>
      <c r="G258" s="73"/>
      <c r="H258" s="73"/>
      <c r="I258" s="73"/>
      <c r="J258" s="73"/>
      <c r="K258" s="191"/>
      <c r="L258" s="191"/>
      <c r="M258" s="74"/>
      <c r="N258" s="2"/>
      <c r="O258" s="2"/>
      <c r="P258" s="2"/>
      <c r="Q258" s="2"/>
      <c r="R258" s="2"/>
    </row>
    <row r="259" spans="1:18" x14ac:dyDescent="0.4">
      <c r="A259" s="2"/>
      <c r="B259" s="2"/>
      <c r="C259" s="73"/>
      <c r="D259" s="73"/>
      <c r="E259" s="73"/>
      <c r="F259" s="73"/>
      <c r="G259" s="73"/>
      <c r="H259" s="73"/>
      <c r="I259" s="73"/>
      <c r="J259" s="73"/>
      <c r="K259" s="191"/>
      <c r="L259" s="191"/>
      <c r="M259" s="74"/>
      <c r="N259" s="2"/>
      <c r="O259" s="2"/>
      <c r="P259" s="2"/>
      <c r="Q259" s="2"/>
      <c r="R259" s="2"/>
    </row>
    <row r="260" spans="1:18" x14ac:dyDescent="0.4">
      <c r="A260" s="2"/>
      <c r="B260" s="2"/>
      <c r="C260" s="73"/>
      <c r="D260" s="73"/>
      <c r="E260" s="73"/>
      <c r="F260" s="73"/>
      <c r="G260" s="73"/>
      <c r="H260" s="73"/>
      <c r="I260" s="73"/>
      <c r="J260" s="73"/>
      <c r="K260" s="191"/>
      <c r="L260" s="191"/>
      <c r="M260" s="74"/>
      <c r="N260" s="2"/>
      <c r="O260" s="2"/>
      <c r="P260" s="2"/>
      <c r="Q260" s="2"/>
      <c r="R260" s="2"/>
    </row>
    <row r="261" spans="1:18" x14ac:dyDescent="0.4">
      <c r="A261" s="2"/>
      <c r="B261" s="2"/>
      <c r="C261" s="73"/>
      <c r="D261" s="73"/>
      <c r="E261" s="73"/>
      <c r="F261" s="73"/>
      <c r="G261" s="73"/>
      <c r="H261" s="73"/>
      <c r="I261" s="73"/>
      <c r="J261" s="73"/>
      <c r="K261" s="191"/>
      <c r="L261" s="191"/>
      <c r="M261" s="74"/>
      <c r="N261" s="2"/>
      <c r="O261" s="2"/>
      <c r="P261" s="2"/>
      <c r="Q261" s="2"/>
      <c r="R261" s="2"/>
    </row>
    <row r="262" spans="1:18" x14ac:dyDescent="0.4">
      <c r="A262" s="2"/>
      <c r="B262" s="2"/>
      <c r="C262" s="73"/>
      <c r="D262" s="73"/>
      <c r="E262" s="73"/>
      <c r="F262" s="73"/>
      <c r="G262" s="73"/>
      <c r="H262" s="73"/>
      <c r="I262" s="73"/>
      <c r="J262" s="73"/>
      <c r="K262" s="191"/>
      <c r="L262" s="191"/>
      <c r="M262" s="74"/>
      <c r="N262" s="2"/>
      <c r="O262" s="2"/>
      <c r="P262" s="2"/>
      <c r="Q262" s="2"/>
      <c r="R262" s="2"/>
    </row>
    <row r="263" spans="1:18" x14ac:dyDescent="0.4">
      <c r="A263" s="2"/>
      <c r="B263" s="2"/>
      <c r="C263" s="73"/>
      <c r="D263" s="73"/>
      <c r="E263" s="73"/>
      <c r="F263" s="73"/>
      <c r="G263" s="73"/>
      <c r="H263" s="73"/>
      <c r="I263" s="73"/>
      <c r="J263" s="73"/>
      <c r="K263" s="191"/>
      <c r="L263" s="191"/>
      <c r="M263" s="74"/>
      <c r="N263" s="2"/>
      <c r="O263" s="2"/>
      <c r="P263" s="2"/>
      <c r="Q263" s="2"/>
      <c r="R263" s="2"/>
    </row>
    <row r="264" spans="1:18" x14ac:dyDescent="0.4">
      <c r="A264" s="2"/>
      <c r="B264" s="2"/>
      <c r="C264" s="73"/>
      <c r="D264" s="73"/>
      <c r="E264" s="73"/>
      <c r="F264" s="73"/>
      <c r="G264" s="73"/>
      <c r="H264" s="73"/>
      <c r="I264" s="73"/>
      <c r="J264" s="73"/>
      <c r="K264" s="191"/>
      <c r="L264" s="191"/>
      <c r="M264" s="74"/>
      <c r="N264" s="2"/>
      <c r="O264" s="2"/>
      <c r="P264" s="2"/>
      <c r="Q264" s="2"/>
      <c r="R264" s="2"/>
    </row>
    <row r="265" spans="1:18" x14ac:dyDescent="0.4">
      <c r="A265" s="2"/>
      <c r="B265" s="2"/>
      <c r="C265" s="73"/>
      <c r="D265" s="73"/>
      <c r="E265" s="73"/>
      <c r="F265" s="73"/>
      <c r="G265" s="73"/>
      <c r="H265" s="73"/>
      <c r="I265" s="73"/>
      <c r="J265" s="73"/>
      <c r="K265" s="191"/>
      <c r="L265" s="191"/>
      <c r="M265" s="74"/>
      <c r="N265" s="2"/>
      <c r="O265" s="2"/>
      <c r="P265" s="2"/>
      <c r="Q265" s="2"/>
      <c r="R265" s="2"/>
    </row>
    <row r="266" spans="1:18" x14ac:dyDescent="0.4">
      <c r="A266" s="2"/>
      <c r="B266" s="2"/>
      <c r="C266" s="73"/>
      <c r="D266" s="73"/>
      <c r="E266" s="73"/>
      <c r="F266" s="73"/>
      <c r="G266" s="73"/>
      <c r="H266" s="73"/>
      <c r="I266" s="73"/>
      <c r="J266" s="73"/>
      <c r="K266" s="191"/>
      <c r="L266" s="191"/>
      <c r="M266" s="74"/>
      <c r="N266" s="2"/>
      <c r="O266" s="2"/>
      <c r="P266" s="2"/>
      <c r="Q266" s="2"/>
      <c r="R266" s="2"/>
    </row>
    <row r="267" spans="1:18" x14ac:dyDescent="0.4">
      <c r="A267" s="2"/>
      <c r="B267" s="2"/>
      <c r="C267" s="73"/>
      <c r="D267" s="73"/>
      <c r="E267" s="73"/>
      <c r="F267" s="73"/>
      <c r="G267" s="73"/>
      <c r="H267" s="73"/>
      <c r="I267" s="73"/>
      <c r="J267" s="73"/>
      <c r="K267" s="191"/>
      <c r="L267" s="191"/>
      <c r="M267" s="74"/>
      <c r="N267" s="2"/>
      <c r="O267" s="2"/>
      <c r="P267" s="2"/>
      <c r="Q267" s="2"/>
      <c r="R267" s="2"/>
    </row>
    <row r="268" spans="1:18" x14ac:dyDescent="0.4">
      <c r="A268" s="2"/>
      <c r="B268" s="2"/>
      <c r="C268" s="73"/>
      <c r="D268" s="73"/>
      <c r="E268" s="73"/>
      <c r="F268" s="73"/>
      <c r="G268" s="73"/>
      <c r="H268" s="73"/>
      <c r="I268" s="73"/>
      <c r="J268" s="73"/>
      <c r="K268" s="191"/>
      <c r="L268" s="191"/>
      <c r="M268" s="74"/>
      <c r="N268" s="2"/>
      <c r="O268" s="2"/>
      <c r="P268" s="2"/>
      <c r="Q268" s="2"/>
      <c r="R268" s="2"/>
    </row>
    <row r="269" spans="1:18" x14ac:dyDescent="0.4">
      <c r="A269" s="2"/>
      <c r="B269" s="2"/>
      <c r="C269" s="73"/>
      <c r="D269" s="73"/>
      <c r="E269" s="73"/>
      <c r="F269" s="73"/>
      <c r="G269" s="73"/>
      <c r="H269" s="73"/>
      <c r="I269" s="73"/>
      <c r="J269" s="73"/>
      <c r="K269" s="191"/>
      <c r="L269" s="191"/>
      <c r="M269" s="74"/>
      <c r="N269" s="2"/>
      <c r="O269" s="2"/>
      <c r="P269" s="2"/>
      <c r="Q269" s="2"/>
      <c r="R269" s="2"/>
    </row>
    <row r="270" spans="1:18" x14ac:dyDescent="0.4">
      <c r="A270" s="2"/>
      <c r="B270" s="2"/>
      <c r="C270" s="73"/>
      <c r="D270" s="73"/>
      <c r="E270" s="73"/>
      <c r="F270" s="73"/>
      <c r="G270" s="73"/>
      <c r="H270" s="73"/>
      <c r="I270" s="73"/>
      <c r="J270" s="73"/>
      <c r="K270" s="191"/>
      <c r="L270" s="191"/>
      <c r="M270" s="74"/>
      <c r="N270" s="2"/>
      <c r="O270" s="2"/>
      <c r="P270" s="2"/>
      <c r="Q270" s="2"/>
      <c r="R270" s="2"/>
    </row>
    <row r="271" spans="1:18" x14ac:dyDescent="0.4">
      <c r="A271" s="2"/>
      <c r="B271" s="2"/>
      <c r="C271" s="73"/>
      <c r="D271" s="73"/>
      <c r="E271" s="73"/>
      <c r="F271" s="73"/>
      <c r="G271" s="73"/>
      <c r="H271" s="73"/>
      <c r="I271" s="73"/>
      <c r="J271" s="73"/>
      <c r="K271" s="191"/>
      <c r="L271" s="191"/>
      <c r="M271" s="74"/>
      <c r="N271" s="2"/>
      <c r="O271" s="2"/>
      <c r="P271" s="2"/>
      <c r="Q271" s="2"/>
      <c r="R271" s="2"/>
    </row>
    <row r="272" spans="1:18" x14ac:dyDescent="0.4">
      <c r="A272" s="2"/>
      <c r="B272" s="2"/>
      <c r="C272" s="73"/>
      <c r="D272" s="73"/>
      <c r="E272" s="73"/>
      <c r="F272" s="73"/>
      <c r="G272" s="73"/>
      <c r="H272" s="73"/>
      <c r="I272" s="73"/>
      <c r="J272" s="73"/>
      <c r="K272" s="191"/>
      <c r="L272" s="191"/>
      <c r="M272" s="74"/>
      <c r="N272" s="2"/>
      <c r="O272" s="2"/>
      <c r="P272" s="2"/>
      <c r="Q272" s="2"/>
      <c r="R272" s="2"/>
    </row>
    <row r="273" spans="1:18" x14ac:dyDescent="0.4">
      <c r="A273" s="2"/>
      <c r="B273" s="2"/>
      <c r="C273" s="73"/>
      <c r="D273" s="73"/>
      <c r="E273" s="73"/>
      <c r="F273" s="73"/>
      <c r="G273" s="73"/>
      <c r="H273" s="73"/>
      <c r="I273" s="73"/>
      <c r="J273" s="73"/>
      <c r="K273" s="191"/>
      <c r="L273" s="191"/>
      <c r="M273" s="74"/>
      <c r="N273" s="2"/>
      <c r="O273" s="2"/>
      <c r="P273" s="2"/>
      <c r="Q273" s="2"/>
      <c r="R273" s="2"/>
    </row>
    <row r="274" spans="1:18" x14ac:dyDescent="0.4">
      <c r="A274" s="2"/>
      <c r="B274" s="2"/>
      <c r="C274" s="73"/>
      <c r="D274" s="73"/>
      <c r="E274" s="73"/>
      <c r="F274" s="73"/>
      <c r="G274" s="73"/>
      <c r="H274" s="73"/>
      <c r="I274" s="73"/>
      <c r="J274" s="73"/>
      <c r="K274" s="191"/>
      <c r="L274" s="191"/>
      <c r="M274" s="74"/>
      <c r="N274" s="2"/>
      <c r="O274" s="2"/>
      <c r="P274" s="2"/>
      <c r="Q274" s="2"/>
      <c r="R274" s="2"/>
    </row>
    <row r="275" spans="1:18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91"/>
      <c r="L275" s="191"/>
      <c r="M275" s="74"/>
      <c r="N275" s="2"/>
      <c r="O275" s="2"/>
      <c r="P275" s="2"/>
      <c r="Q275" s="2"/>
      <c r="R275" s="2"/>
    </row>
    <row r="276" spans="1:18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91"/>
      <c r="L276" s="191"/>
      <c r="M276" s="74"/>
      <c r="N276" s="2"/>
      <c r="O276" s="2"/>
      <c r="P276" s="2"/>
      <c r="Q276" s="2"/>
      <c r="R276" s="2"/>
    </row>
    <row r="277" spans="1:18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91"/>
      <c r="L277" s="191"/>
      <c r="M277" s="74"/>
      <c r="N277" s="2"/>
      <c r="O277" s="2"/>
      <c r="P277" s="2"/>
      <c r="Q277" s="2"/>
      <c r="R277" s="2"/>
    </row>
    <row r="278" spans="1:18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91"/>
      <c r="L278" s="191"/>
      <c r="M278" s="74"/>
      <c r="N278" s="2"/>
      <c r="O278" s="2"/>
      <c r="P278" s="2"/>
      <c r="Q278" s="2"/>
      <c r="R278" s="2"/>
    </row>
    <row r="279" spans="1:18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91"/>
      <c r="L279" s="191"/>
      <c r="M279" s="74"/>
      <c r="N279" s="2"/>
      <c r="O279" s="2"/>
      <c r="P279" s="2"/>
      <c r="Q279" s="2"/>
      <c r="R279" s="2"/>
    </row>
    <row r="280" spans="1:18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91"/>
      <c r="L280" s="191"/>
      <c r="M280" s="74"/>
      <c r="N280" s="2"/>
      <c r="O280" s="2"/>
      <c r="P280" s="2"/>
      <c r="Q280" s="2"/>
      <c r="R280" s="2"/>
    </row>
    <row r="281" spans="1:18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91"/>
      <c r="L281" s="191"/>
      <c r="M281" s="74"/>
      <c r="N281" s="2"/>
      <c r="O281" s="2"/>
      <c r="P281" s="2"/>
      <c r="Q281" s="2"/>
      <c r="R281" s="2"/>
    </row>
    <row r="282" spans="1:18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91"/>
      <c r="L282" s="191"/>
      <c r="M282" s="74"/>
      <c r="N282" s="2"/>
      <c r="O282" s="2"/>
      <c r="P282" s="2"/>
      <c r="Q282" s="2"/>
      <c r="R282" s="2"/>
    </row>
    <row r="283" spans="1:18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91"/>
      <c r="L283" s="191"/>
      <c r="M283" s="74"/>
      <c r="N283" s="2"/>
      <c r="O283" s="2"/>
      <c r="P283" s="2"/>
      <c r="Q283" s="2"/>
      <c r="R283" s="2"/>
    </row>
    <row r="284" spans="1:18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91"/>
      <c r="L284" s="191"/>
      <c r="M284" s="74"/>
      <c r="N284" s="2"/>
      <c r="O284" s="2"/>
      <c r="P284" s="2"/>
      <c r="Q284" s="2"/>
      <c r="R284" s="2"/>
    </row>
    <row r="285" spans="1:18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91"/>
      <c r="L285" s="191"/>
      <c r="M285" s="74"/>
      <c r="N285" s="2"/>
      <c r="O285" s="2"/>
      <c r="P285" s="2"/>
      <c r="Q285" s="2"/>
      <c r="R285" s="2"/>
    </row>
    <row r="286" spans="1:18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91"/>
      <c r="L286" s="191"/>
      <c r="M286" s="74"/>
      <c r="N286" s="2"/>
      <c r="O286" s="2"/>
      <c r="P286" s="2"/>
      <c r="Q286" s="2"/>
      <c r="R286" s="2"/>
    </row>
    <row r="287" spans="1:18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91"/>
      <c r="L287" s="191"/>
      <c r="M287" s="74"/>
      <c r="N287" s="2"/>
      <c r="O287" s="2"/>
      <c r="P287" s="2"/>
      <c r="Q287" s="2"/>
      <c r="R287" s="2"/>
    </row>
    <row r="288" spans="1:18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91"/>
      <c r="L288" s="191"/>
      <c r="M288" s="74"/>
      <c r="N288" s="2"/>
      <c r="O288" s="2"/>
      <c r="P288" s="2"/>
      <c r="Q288" s="2"/>
      <c r="R288" s="2"/>
    </row>
    <row r="289" spans="1:18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91"/>
      <c r="L289" s="191"/>
      <c r="M289" s="74"/>
      <c r="N289" s="2"/>
      <c r="O289" s="2"/>
      <c r="P289" s="2"/>
      <c r="Q289" s="2"/>
      <c r="R289" s="2"/>
    </row>
    <row r="290" spans="1:18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91"/>
      <c r="L290" s="191"/>
      <c r="M290" s="74"/>
      <c r="N290" s="2"/>
      <c r="O290" s="2"/>
      <c r="P290" s="2"/>
      <c r="Q290" s="2"/>
      <c r="R290" s="2"/>
    </row>
    <row r="291" spans="1:18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91"/>
      <c r="L291" s="191"/>
      <c r="M291" s="74"/>
      <c r="N291" s="2"/>
      <c r="O291" s="2"/>
      <c r="P291" s="2"/>
      <c r="Q291" s="2"/>
      <c r="R291" s="2"/>
    </row>
    <row r="292" spans="1:18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91"/>
      <c r="L292" s="191"/>
      <c r="M292" s="74"/>
      <c r="N292" s="2"/>
      <c r="O292" s="2"/>
      <c r="P292" s="2"/>
      <c r="Q292" s="2"/>
      <c r="R292" s="2"/>
    </row>
    <row r="293" spans="1:18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91"/>
      <c r="L293" s="191"/>
      <c r="M293" s="74"/>
      <c r="N293" s="2"/>
      <c r="O293" s="2"/>
      <c r="P293" s="2"/>
      <c r="Q293" s="2"/>
      <c r="R293" s="2"/>
    </row>
    <row r="294" spans="1:18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91"/>
      <c r="L294" s="191"/>
      <c r="M294" s="74"/>
      <c r="N294" s="2"/>
      <c r="O294" s="2"/>
      <c r="P294" s="2"/>
      <c r="Q294" s="2"/>
      <c r="R294" s="2"/>
    </row>
    <row r="295" spans="1:18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91"/>
      <c r="L295" s="191"/>
      <c r="M295" s="74"/>
      <c r="N295" s="2"/>
      <c r="O295" s="2"/>
      <c r="P295" s="2"/>
      <c r="Q295" s="2"/>
      <c r="R295" s="2"/>
    </row>
    <row r="296" spans="1:18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91"/>
      <c r="L296" s="191"/>
      <c r="M296" s="74"/>
      <c r="N296" s="2"/>
      <c r="O296" s="2"/>
      <c r="P296" s="2"/>
      <c r="Q296" s="2"/>
      <c r="R296" s="2"/>
    </row>
    <row r="297" spans="1:18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91"/>
      <c r="L297" s="191"/>
      <c r="M297" s="74"/>
      <c r="N297" s="2"/>
      <c r="O297" s="2"/>
      <c r="P297" s="2"/>
      <c r="Q297" s="2"/>
      <c r="R297" s="2"/>
    </row>
    <row r="298" spans="1:18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91"/>
      <c r="L298" s="191"/>
      <c r="M298" s="74"/>
      <c r="N298" s="2"/>
      <c r="O298" s="2"/>
      <c r="P298" s="2"/>
      <c r="Q298" s="2"/>
      <c r="R298" s="2"/>
    </row>
    <row r="299" spans="1:18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91"/>
      <c r="L299" s="191"/>
      <c r="M299" s="74"/>
      <c r="N299" s="2"/>
      <c r="O299" s="2"/>
      <c r="P299" s="2"/>
      <c r="Q299" s="2"/>
      <c r="R299" s="2"/>
    </row>
    <row r="300" spans="1:18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91"/>
      <c r="L300" s="191"/>
      <c r="M300" s="74"/>
      <c r="N300" s="2"/>
      <c r="O300" s="2"/>
      <c r="P300" s="2"/>
      <c r="Q300" s="2"/>
      <c r="R300" s="2"/>
    </row>
    <row r="301" spans="1:18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91"/>
      <c r="L301" s="191"/>
      <c r="M301" s="74"/>
      <c r="N301" s="2"/>
      <c r="O301" s="2"/>
      <c r="P301" s="2"/>
      <c r="Q301" s="2"/>
      <c r="R301" s="2"/>
    </row>
    <row r="302" spans="1:18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91"/>
      <c r="L302" s="191"/>
      <c r="M302" s="74"/>
      <c r="N302" s="2"/>
      <c r="O302" s="2"/>
      <c r="P302" s="2"/>
      <c r="Q302" s="2"/>
      <c r="R302" s="2"/>
    </row>
    <row r="303" spans="1:18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91"/>
      <c r="L303" s="191"/>
      <c r="M303" s="74"/>
      <c r="N303" s="2"/>
      <c r="O303" s="2"/>
      <c r="P303" s="2"/>
      <c r="Q303" s="2"/>
      <c r="R303" s="2"/>
    </row>
    <row r="304" spans="1:18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91"/>
      <c r="L304" s="191"/>
      <c r="M304" s="74"/>
      <c r="N304" s="2"/>
      <c r="O304" s="2"/>
      <c r="P304" s="2"/>
      <c r="Q304" s="2"/>
      <c r="R304" s="2"/>
    </row>
    <row r="305" spans="1:18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91"/>
      <c r="L305" s="191"/>
      <c r="M305" s="74"/>
      <c r="N305" s="2"/>
      <c r="O305" s="2"/>
      <c r="P305" s="2"/>
      <c r="Q305" s="2"/>
      <c r="R305" s="2"/>
    </row>
    <row r="306" spans="1:18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91"/>
      <c r="L306" s="191"/>
      <c r="M306" s="74"/>
      <c r="N306" s="2"/>
      <c r="O306" s="2"/>
      <c r="P306" s="2"/>
      <c r="Q306" s="2"/>
      <c r="R306" s="2"/>
    </row>
    <row r="307" spans="1:18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91"/>
      <c r="L307" s="191"/>
      <c r="M307" s="74"/>
      <c r="N307" s="2"/>
      <c r="O307" s="2"/>
      <c r="P307" s="2"/>
      <c r="Q307" s="2"/>
      <c r="R307" s="2"/>
    </row>
    <row r="308" spans="1:18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91"/>
      <c r="L308" s="191"/>
      <c r="M308" s="74"/>
      <c r="N308" s="2"/>
      <c r="O308" s="2"/>
      <c r="P308" s="2"/>
      <c r="Q308" s="2"/>
      <c r="R308" s="2"/>
    </row>
    <row r="309" spans="1:18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91"/>
      <c r="L309" s="191"/>
      <c r="M309" s="74"/>
      <c r="N309" s="2"/>
      <c r="O309" s="2"/>
      <c r="P309" s="2"/>
      <c r="Q309" s="2"/>
      <c r="R309" s="2"/>
    </row>
    <row r="310" spans="1:18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91"/>
      <c r="L310" s="191"/>
      <c r="M310" s="74"/>
      <c r="N310" s="2"/>
      <c r="O310" s="2"/>
      <c r="P310" s="2"/>
      <c r="Q310" s="2"/>
      <c r="R310" s="2"/>
    </row>
    <row r="311" spans="1:18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91"/>
      <c r="L311" s="191"/>
      <c r="M311" s="74"/>
      <c r="N311" s="2"/>
      <c r="O311" s="2"/>
      <c r="P311" s="2"/>
      <c r="Q311" s="2"/>
      <c r="R311" s="2"/>
    </row>
    <row r="312" spans="1:18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91"/>
      <c r="L312" s="191"/>
      <c r="M312" s="74"/>
      <c r="N312" s="2"/>
      <c r="O312" s="2"/>
      <c r="P312" s="2"/>
      <c r="Q312" s="2"/>
      <c r="R312" s="2"/>
    </row>
    <row r="313" spans="1:18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91"/>
      <c r="L313" s="191"/>
      <c r="M313" s="74"/>
      <c r="N313" s="2"/>
      <c r="O313" s="2"/>
      <c r="P313" s="2"/>
      <c r="Q313" s="2"/>
      <c r="R313" s="2"/>
    </row>
    <row r="314" spans="1:18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91"/>
      <c r="L314" s="191"/>
      <c r="M314" s="74"/>
      <c r="N314" s="2"/>
      <c r="O314" s="2"/>
      <c r="P314" s="2"/>
      <c r="Q314" s="2"/>
      <c r="R314" s="2"/>
    </row>
    <row r="315" spans="1:18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91"/>
      <c r="L315" s="191"/>
      <c r="M315" s="74"/>
      <c r="N315" s="2"/>
      <c r="O315" s="2"/>
      <c r="P315" s="2"/>
      <c r="Q315" s="2"/>
      <c r="R315" s="2"/>
    </row>
    <row r="316" spans="1:18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91"/>
      <c r="L316" s="191"/>
      <c r="M316" s="74"/>
      <c r="N316" s="2"/>
      <c r="O316" s="2"/>
      <c r="P316" s="2"/>
      <c r="Q316" s="2"/>
      <c r="R316" s="2"/>
    </row>
    <row r="317" spans="1:18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91"/>
      <c r="L317" s="191"/>
      <c r="M317" s="74"/>
      <c r="N317" s="2"/>
      <c r="O317" s="2"/>
      <c r="P317" s="2"/>
      <c r="Q317" s="2"/>
      <c r="R317" s="2"/>
    </row>
    <row r="318" spans="1:18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91"/>
      <c r="L318" s="191"/>
      <c r="M318" s="74"/>
      <c r="N318" s="2"/>
      <c r="O318" s="2"/>
      <c r="P318" s="2"/>
      <c r="Q318" s="2"/>
      <c r="R318" s="2"/>
    </row>
    <row r="319" spans="1:18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91"/>
      <c r="L319" s="191"/>
      <c r="M319" s="74"/>
      <c r="N319" s="2"/>
      <c r="O319" s="2"/>
      <c r="P319" s="2"/>
      <c r="Q319" s="2"/>
      <c r="R319" s="2"/>
    </row>
    <row r="320" spans="1:18" x14ac:dyDescent="0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91"/>
      <c r="L320" s="191"/>
      <c r="M320" s="74"/>
      <c r="N320" s="2"/>
      <c r="O320" s="2"/>
      <c r="P320" s="2"/>
      <c r="Q320" s="2"/>
      <c r="R320" s="2"/>
    </row>
    <row r="321" spans="1:18" x14ac:dyDescent="0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91"/>
      <c r="L321" s="191"/>
      <c r="M321" s="74"/>
      <c r="N321" s="2"/>
      <c r="O321" s="2"/>
      <c r="P321" s="2"/>
      <c r="Q321" s="2"/>
      <c r="R321" s="2"/>
    </row>
    <row r="322" spans="1:18" x14ac:dyDescent="0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91"/>
      <c r="L322" s="191"/>
      <c r="M322" s="74"/>
      <c r="N322" s="2"/>
      <c r="O322" s="2"/>
      <c r="P322" s="2"/>
      <c r="Q322" s="2"/>
      <c r="R322" s="2"/>
    </row>
    <row r="323" spans="1:18" x14ac:dyDescent="0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91"/>
      <c r="L323" s="191"/>
      <c r="M323" s="74"/>
      <c r="N323" s="2"/>
      <c r="O323" s="2"/>
      <c r="P323" s="2"/>
      <c r="Q323" s="2"/>
      <c r="R323" s="2"/>
    </row>
    <row r="324" spans="1:18" x14ac:dyDescent="0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91"/>
      <c r="L324" s="191"/>
      <c r="M324" s="74"/>
      <c r="N324" s="2"/>
      <c r="O324" s="2"/>
      <c r="P324" s="2"/>
      <c r="Q324" s="2"/>
      <c r="R324" s="2"/>
    </row>
    <row r="325" spans="1:18" x14ac:dyDescent="0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91"/>
      <c r="L325" s="191"/>
      <c r="M325" s="74"/>
      <c r="N325" s="2"/>
      <c r="O325" s="2"/>
      <c r="P325" s="2"/>
      <c r="Q325" s="2"/>
      <c r="R325" s="2"/>
    </row>
    <row r="326" spans="1:18" x14ac:dyDescent="0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91"/>
      <c r="L326" s="191"/>
      <c r="M326" s="74"/>
      <c r="N326" s="2"/>
      <c r="O326" s="2"/>
      <c r="P326" s="2"/>
      <c r="Q326" s="2"/>
      <c r="R326" s="2"/>
    </row>
    <row r="327" spans="1:18" x14ac:dyDescent="0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91"/>
      <c r="L327" s="191"/>
      <c r="M327" s="74"/>
      <c r="N327" s="2"/>
      <c r="O327" s="2"/>
      <c r="P327" s="2"/>
      <c r="Q327" s="2"/>
      <c r="R327" s="2"/>
    </row>
    <row r="328" spans="1:18" x14ac:dyDescent="0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91"/>
      <c r="L328" s="191"/>
      <c r="M328" s="74"/>
      <c r="N328" s="2"/>
      <c r="O328" s="2"/>
      <c r="P328" s="2"/>
      <c r="Q328" s="2"/>
      <c r="R328" s="2"/>
    </row>
    <row r="329" spans="1:18" x14ac:dyDescent="0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91"/>
      <c r="L329" s="191"/>
      <c r="M329" s="74"/>
      <c r="N329" s="2"/>
      <c r="O329" s="2"/>
      <c r="P329" s="2"/>
      <c r="Q329" s="2"/>
      <c r="R329" s="2"/>
    </row>
    <row r="330" spans="1:18" x14ac:dyDescent="0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91"/>
      <c r="L330" s="191"/>
      <c r="M330" s="74"/>
      <c r="N330" s="2"/>
      <c r="O330" s="2"/>
      <c r="P330" s="2"/>
      <c r="Q330" s="2"/>
      <c r="R330" s="2"/>
    </row>
    <row r="331" spans="1:18" x14ac:dyDescent="0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91"/>
      <c r="L331" s="191"/>
      <c r="M331" s="74"/>
      <c r="N331" s="2"/>
      <c r="O331" s="2"/>
      <c r="P331" s="2"/>
      <c r="Q331" s="2"/>
      <c r="R331" s="2"/>
    </row>
    <row r="332" spans="1:18" x14ac:dyDescent="0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91"/>
      <c r="L332" s="191"/>
      <c r="M332" s="74"/>
      <c r="N332" s="2"/>
      <c r="O332" s="2"/>
      <c r="P332" s="2"/>
      <c r="Q332" s="2"/>
      <c r="R332" s="2"/>
    </row>
    <row r="333" spans="1:18" x14ac:dyDescent="0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91"/>
      <c r="L333" s="191"/>
      <c r="M333" s="74"/>
      <c r="N333" s="2"/>
      <c r="O333" s="2"/>
      <c r="P333" s="2"/>
      <c r="Q333" s="2"/>
      <c r="R333" s="2"/>
    </row>
    <row r="334" spans="1:18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91"/>
      <c r="L334" s="191"/>
      <c r="M334" s="74"/>
      <c r="N334" s="2"/>
      <c r="O334" s="2"/>
      <c r="P334" s="2"/>
      <c r="Q334" s="2"/>
      <c r="R334" s="2"/>
    </row>
    <row r="335" spans="1:18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91"/>
      <c r="L335" s="191"/>
      <c r="M335" s="74"/>
      <c r="N335" s="2"/>
      <c r="O335" s="2"/>
      <c r="P335" s="2"/>
      <c r="Q335" s="2"/>
      <c r="R335" s="2"/>
    </row>
    <row r="336" spans="1:18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91"/>
      <c r="L336" s="191"/>
      <c r="M336" s="74"/>
      <c r="N336" s="2"/>
      <c r="O336" s="2"/>
      <c r="P336" s="2"/>
      <c r="Q336" s="2"/>
      <c r="R336" s="2"/>
    </row>
    <row r="337" spans="1:18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91"/>
      <c r="L337" s="191"/>
      <c r="M337" s="74"/>
      <c r="N337" s="2"/>
      <c r="O337" s="2"/>
      <c r="P337" s="2"/>
      <c r="Q337" s="2"/>
      <c r="R337" s="2"/>
    </row>
    <row r="338" spans="1:18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91"/>
      <c r="L338" s="191"/>
      <c r="M338" s="74"/>
      <c r="N338" s="2"/>
      <c r="O338" s="2"/>
      <c r="P338" s="2"/>
      <c r="Q338" s="2"/>
      <c r="R338" s="2"/>
    </row>
    <row r="339" spans="1:18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91"/>
      <c r="L339" s="191"/>
      <c r="M339" s="74"/>
      <c r="N339" s="2"/>
      <c r="O339" s="2"/>
      <c r="P339" s="2"/>
      <c r="Q339" s="2"/>
      <c r="R339" s="2"/>
    </row>
    <row r="340" spans="1:18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91"/>
      <c r="L340" s="191"/>
      <c r="M340" s="74"/>
      <c r="N340" s="2"/>
      <c r="O340" s="2"/>
      <c r="P340" s="2"/>
      <c r="Q340" s="2"/>
      <c r="R340" s="2"/>
    </row>
    <row r="341" spans="1:18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91"/>
      <c r="L341" s="191"/>
      <c r="M341" s="74"/>
      <c r="N341" s="2"/>
      <c r="O341" s="2"/>
      <c r="P341" s="2"/>
      <c r="Q341" s="2"/>
      <c r="R341" s="2"/>
    </row>
    <row r="342" spans="1:18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91"/>
      <c r="L342" s="191"/>
      <c r="M342" s="74"/>
      <c r="N342" s="2"/>
      <c r="O342" s="2"/>
      <c r="P342" s="2"/>
      <c r="Q342" s="2"/>
      <c r="R342" s="2"/>
    </row>
    <row r="343" spans="1:18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91"/>
      <c r="L343" s="191"/>
      <c r="M343" s="74"/>
      <c r="N343" s="2"/>
      <c r="O343" s="2"/>
      <c r="P343" s="2"/>
      <c r="Q343" s="2"/>
      <c r="R343" s="2"/>
    </row>
    <row r="344" spans="1:18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91"/>
      <c r="L344" s="191"/>
      <c r="M344" s="74"/>
      <c r="N344" s="2"/>
      <c r="O344" s="2"/>
      <c r="P344" s="2"/>
      <c r="Q344" s="2"/>
      <c r="R344" s="2"/>
    </row>
    <row r="345" spans="1:18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91"/>
      <c r="L345" s="191"/>
      <c r="M345" s="74"/>
      <c r="N345" s="2"/>
      <c r="O345" s="2"/>
      <c r="P345" s="2"/>
      <c r="Q345" s="2"/>
      <c r="R345" s="2"/>
    </row>
    <row r="346" spans="1:18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91"/>
      <c r="L346" s="191"/>
      <c r="M346" s="74"/>
      <c r="N346" s="2"/>
      <c r="O346" s="2"/>
      <c r="P346" s="2"/>
      <c r="Q346" s="2"/>
      <c r="R346" s="2"/>
    </row>
    <row r="347" spans="1:18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91"/>
      <c r="L347" s="191"/>
      <c r="M347" s="74"/>
      <c r="N347" s="2"/>
      <c r="O347" s="2"/>
      <c r="P347" s="2"/>
      <c r="Q347" s="2"/>
      <c r="R347" s="2"/>
    </row>
    <row r="348" spans="1:18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91"/>
      <c r="L348" s="191"/>
      <c r="M348" s="74"/>
      <c r="N348" s="2"/>
      <c r="O348" s="2"/>
      <c r="P348" s="2"/>
      <c r="Q348" s="2"/>
      <c r="R348" s="2"/>
    </row>
    <row r="349" spans="1:18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91"/>
      <c r="L349" s="191"/>
      <c r="M349" s="74"/>
      <c r="N349" s="2"/>
      <c r="O349" s="2"/>
      <c r="P349" s="2"/>
      <c r="Q349" s="2"/>
      <c r="R349" s="2"/>
    </row>
    <row r="350" spans="1:18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91"/>
      <c r="L350" s="191"/>
      <c r="M350" s="74"/>
      <c r="N350" s="2"/>
      <c r="O350" s="2"/>
      <c r="P350" s="2"/>
      <c r="Q350" s="2"/>
      <c r="R350" s="2"/>
    </row>
    <row r="351" spans="1:18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91"/>
      <c r="L351" s="191"/>
      <c r="M351" s="74"/>
      <c r="N351" s="2"/>
      <c r="O351" s="2"/>
      <c r="P351" s="2"/>
      <c r="Q351" s="2"/>
      <c r="R351" s="2"/>
    </row>
    <row r="352" spans="1:18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91"/>
      <c r="L352" s="191"/>
      <c r="M352" s="74"/>
      <c r="N352" s="2"/>
      <c r="O352" s="2"/>
      <c r="P352" s="2"/>
      <c r="Q352" s="2"/>
      <c r="R352" s="2"/>
    </row>
    <row r="353" spans="1:18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91"/>
      <c r="L353" s="191"/>
      <c r="M353" s="74"/>
      <c r="N353" s="2"/>
      <c r="O353" s="2"/>
      <c r="P353" s="2"/>
      <c r="Q353" s="2"/>
      <c r="R353" s="2"/>
    </row>
    <row r="354" spans="1:18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91"/>
      <c r="L354" s="191"/>
      <c r="M354" s="74"/>
      <c r="N354" s="2"/>
      <c r="O354" s="2"/>
      <c r="P354" s="2"/>
      <c r="Q354" s="2"/>
      <c r="R354" s="2"/>
    </row>
    <row r="355" spans="1:18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91"/>
      <c r="L355" s="191"/>
      <c r="M355" s="74"/>
      <c r="N355" s="2"/>
      <c r="O355" s="2"/>
      <c r="P355" s="2"/>
      <c r="Q355" s="2"/>
      <c r="R355" s="2"/>
    </row>
    <row r="356" spans="1:18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91"/>
      <c r="L356" s="191"/>
      <c r="M356" s="74"/>
      <c r="N356" s="2"/>
      <c r="O356" s="2"/>
      <c r="P356" s="2"/>
      <c r="Q356" s="2"/>
      <c r="R356" s="2"/>
    </row>
    <row r="357" spans="1:18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91"/>
      <c r="L357" s="191"/>
      <c r="M357" s="74"/>
      <c r="N357" s="2"/>
      <c r="O357" s="2"/>
      <c r="P357" s="2"/>
      <c r="Q357" s="2"/>
      <c r="R357" s="2"/>
    </row>
    <row r="358" spans="1:18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91"/>
      <c r="L358" s="191"/>
      <c r="M358" s="74"/>
      <c r="N358" s="2"/>
      <c r="O358" s="2"/>
      <c r="P358" s="2"/>
      <c r="Q358" s="2"/>
      <c r="R358" s="2"/>
    </row>
    <row r="359" spans="1:18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91"/>
      <c r="L359" s="191"/>
      <c r="M359" s="74"/>
      <c r="N359" s="2"/>
      <c r="O359" s="2"/>
      <c r="P359" s="2"/>
      <c r="Q359" s="2"/>
      <c r="R359" s="2"/>
    </row>
    <row r="360" spans="1:18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91"/>
      <c r="L360" s="191"/>
      <c r="M360" s="74"/>
      <c r="N360" s="2"/>
      <c r="O360" s="2"/>
      <c r="P360" s="2"/>
      <c r="Q360" s="2"/>
      <c r="R360" s="2"/>
    </row>
    <row r="361" spans="1:18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91"/>
      <c r="L361" s="191"/>
      <c r="M361" s="74"/>
      <c r="N361" s="2"/>
      <c r="O361" s="2"/>
      <c r="P361" s="2"/>
      <c r="Q361" s="2"/>
      <c r="R361" s="2"/>
    </row>
    <row r="362" spans="1:18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91"/>
      <c r="L362" s="191"/>
      <c r="M362" s="74"/>
      <c r="N362" s="2"/>
      <c r="O362" s="2"/>
      <c r="P362" s="2"/>
      <c r="Q362" s="2"/>
      <c r="R362" s="2"/>
    </row>
    <row r="363" spans="1:18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91"/>
      <c r="L363" s="191"/>
      <c r="M363" s="74"/>
      <c r="N363" s="2"/>
      <c r="O363" s="2"/>
      <c r="P363" s="2"/>
      <c r="Q363" s="2"/>
      <c r="R363" s="2"/>
    </row>
    <row r="364" spans="1:18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91"/>
      <c r="L364" s="191"/>
      <c r="M364" s="74"/>
      <c r="N364" s="2"/>
      <c r="O364" s="2"/>
      <c r="P364" s="2"/>
      <c r="Q364" s="2"/>
      <c r="R364" s="2"/>
    </row>
    <row r="365" spans="1:18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91"/>
      <c r="L365" s="191"/>
      <c r="M365" s="74"/>
      <c r="N365" s="2"/>
      <c r="O365" s="2"/>
      <c r="P365" s="2"/>
      <c r="Q365" s="2"/>
      <c r="R365" s="2"/>
    </row>
    <row r="366" spans="1:18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91"/>
      <c r="L366" s="191"/>
      <c r="M366" s="74"/>
      <c r="N366" s="2"/>
      <c r="O366" s="2"/>
      <c r="P366" s="2"/>
      <c r="Q366" s="2"/>
      <c r="R366" s="2"/>
    </row>
    <row r="367" spans="1:18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91"/>
      <c r="L367" s="191"/>
      <c r="M367" s="74"/>
      <c r="N367" s="2"/>
      <c r="O367" s="2"/>
      <c r="P367" s="2"/>
      <c r="Q367" s="2"/>
      <c r="R367" s="2"/>
    </row>
    <row r="368" spans="1:18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91"/>
      <c r="L368" s="191"/>
      <c r="M368" s="74"/>
      <c r="N368" s="2"/>
      <c r="O368" s="2"/>
      <c r="P368" s="2"/>
      <c r="Q368" s="2"/>
      <c r="R368" s="2"/>
    </row>
    <row r="369" spans="1:18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91"/>
      <c r="L369" s="191"/>
      <c r="M369" s="74"/>
      <c r="N369" s="2"/>
      <c r="O369" s="2"/>
      <c r="P369" s="2"/>
      <c r="Q369" s="2"/>
      <c r="R369" s="2"/>
    </row>
    <row r="370" spans="1:18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91"/>
      <c r="L370" s="191"/>
      <c r="M370" s="74"/>
      <c r="N370" s="2"/>
      <c r="O370" s="2"/>
      <c r="P370" s="2"/>
      <c r="Q370" s="2"/>
      <c r="R370" s="2"/>
    </row>
    <row r="371" spans="1:18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91"/>
      <c r="L371" s="191"/>
      <c r="M371" s="74"/>
      <c r="N371" s="2"/>
      <c r="O371" s="2"/>
      <c r="P371" s="2"/>
      <c r="Q371" s="2"/>
      <c r="R371" s="2"/>
    </row>
    <row r="372" spans="1:18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91"/>
      <c r="L372" s="191"/>
      <c r="M372" s="74"/>
      <c r="N372" s="2"/>
      <c r="O372" s="2"/>
      <c r="P372" s="2"/>
      <c r="Q372" s="2"/>
      <c r="R372" s="2"/>
    </row>
    <row r="373" spans="1:18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91"/>
      <c r="L373" s="191"/>
      <c r="M373" s="74"/>
      <c r="N373" s="2"/>
      <c r="O373" s="2"/>
      <c r="P373" s="2"/>
      <c r="Q373" s="2"/>
      <c r="R373" s="2"/>
    </row>
    <row r="374" spans="1:18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91"/>
      <c r="L374" s="191"/>
      <c r="M374" s="74"/>
      <c r="N374" s="2"/>
      <c r="O374" s="2"/>
      <c r="P374" s="2"/>
      <c r="Q374" s="2"/>
      <c r="R374" s="2"/>
    </row>
    <row r="375" spans="1:18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91"/>
      <c r="L375" s="191"/>
      <c r="M375" s="74"/>
      <c r="N375" s="2"/>
      <c r="O375" s="2"/>
      <c r="P375" s="2"/>
      <c r="Q375" s="2"/>
      <c r="R375" s="2"/>
    </row>
    <row r="376" spans="1:18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91"/>
      <c r="L376" s="191"/>
      <c r="M376" s="74"/>
      <c r="N376" s="2"/>
      <c r="O376" s="2"/>
      <c r="P376" s="2"/>
      <c r="Q376" s="2"/>
      <c r="R376" s="2"/>
    </row>
    <row r="377" spans="1:18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91"/>
      <c r="L377" s="191"/>
      <c r="M377" s="74"/>
      <c r="N377" s="2"/>
      <c r="O377" s="2"/>
      <c r="P377" s="2"/>
      <c r="Q377" s="2"/>
      <c r="R377" s="2"/>
    </row>
    <row r="378" spans="1:18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91"/>
      <c r="L378" s="191"/>
      <c r="M378" s="74"/>
      <c r="N378" s="2"/>
      <c r="O378" s="2"/>
      <c r="P378" s="2"/>
      <c r="Q378" s="2"/>
      <c r="R378" s="2"/>
    </row>
    <row r="379" spans="1:18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91"/>
      <c r="L379" s="191"/>
      <c r="M379" s="74"/>
      <c r="N379" s="2"/>
      <c r="O379" s="2"/>
      <c r="P379" s="2"/>
      <c r="Q379" s="2"/>
      <c r="R379" s="2"/>
    </row>
    <row r="380" spans="1:18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91"/>
      <c r="L380" s="191"/>
      <c r="M380" s="74"/>
      <c r="N380" s="2"/>
      <c r="O380" s="2"/>
      <c r="P380" s="2"/>
      <c r="Q380" s="2"/>
      <c r="R380" s="2"/>
    </row>
    <row r="381" spans="1:18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91"/>
      <c r="L381" s="191"/>
      <c r="M381" s="74"/>
      <c r="N381" s="2"/>
      <c r="O381" s="2"/>
      <c r="P381" s="2"/>
      <c r="Q381" s="2"/>
      <c r="R381" s="2"/>
    </row>
    <row r="382" spans="1:18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91"/>
      <c r="L382" s="191"/>
      <c r="M382" s="74"/>
      <c r="N382" s="2"/>
      <c r="O382" s="2"/>
      <c r="P382" s="2"/>
      <c r="Q382" s="2"/>
      <c r="R382" s="2"/>
    </row>
    <row r="383" spans="1:18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91"/>
      <c r="L383" s="191"/>
      <c r="M383" s="74"/>
      <c r="N383" s="2"/>
      <c r="O383" s="2"/>
      <c r="P383" s="2"/>
      <c r="Q383" s="2"/>
      <c r="R383" s="2"/>
    </row>
    <row r="384" spans="1:18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91"/>
      <c r="L384" s="191"/>
      <c r="M384" s="74"/>
      <c r="N384" s="2"/>
      <c r="O384" s="2"/>
      <c r="P384" s="2"/>
      <c r="Q384" s="2"/>
      <c r="R384" s="2"/>
    </row>
    <row r="385" spans="1:18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91"/>
      <c r="L385" s="191"/>
      <c r="M385" s="74"/>
      <c r="N385" s="2"/>
      <c r="O385" s="2"/>
      <c r="P385" s="2"/>
      <c r="Q385" s="2"/>
      <c r="R385" s="2"/>
    </row>
    <row r="386" spans="1:18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91"/>
      <c r="L386" s="191"/>
      <c r="M386" s="74"/>
      <c r="N386" s="2"/>
      <c r="O386" s="2"/>
      <c r="P386" s="2"/>
      <c r="Q386" s="2"/>
      <c r="R386" s="2"/>
    </row>
    <row r="387" spans="1:18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91"/>
      <c r="L387" s="191"/>
      <c r="M387" s="74"/>
      <c r="N387" s="2"/>
      <c r="O387" s="2"/>
      <c r="P387" s="2"/>
      <c r="Q387" s="2"/>
      <c r="R387" s="2"/>
    </row>
    <row r="388" spans="1:18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91"/>
      <c r="L388" s="191"/>
      <c r="M388" s="74"/>
      <c r="N388" s="2"/>
      <c r="O388" s="2"/>
      <c r="P388" s="2"/>
      <c r="Q388" s="2"/>
      <c r="R388" s="2"/>
    </row>
    <row r="389" spans="1:18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91"/>
      <c r="L389" s="191"/>
      <c r="M389" s="74"/>
      <c r="N389" s="2"/>
      <c r="O389" s="2"/>
      <c r="P389" s="2"/>
      <c r="Q389" s="2"/>
      <c r="R389" s="2"/>
    </row>
    <row r="390" spans="1:18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91"/>
      <c r="L390" s="191"/>
      <c r="M390" s="74"/>
      <c r="N390" s="2"/>
      <c r="O390" s="2"/>
      <c r="P390" s="2"/>
      <c r="Q390" s="2"/>
      <c r="R390" s="2"/>
    </row>
    <row r="391" spans="1:18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91"/>
      <c r="L391" s="191"/>
      <c r="M391" s="74"/>
      <c r="N391" s="2"/>
      <c r="O391" s="2"/>
      <c r="P391" s="2"/>
      <c r="Q391" s="2"/>
      <c r="R391" s="2"/>
    </row>
    <row r="392" spans="1:18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91"/>
      <c r="L392" s="191"/>
      <c r="M392" s="74"/>
      <c r="N392" s="2"/>
      <c r="O392" s="2"/>
      <c r="P392" s="2"/>
      <c r="Q392" s="2"/>
      <c r="R392" s="2"/>
    </row>
    <row r="393" spans="1:18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91"/>
      <c r="L393" s="191"/>
      <c r="M393" s="74"/>
      <c r="N393" s="2"/>
      <c r="O393" s="2"/>
      <c r="P393" s="2"/>
      <c r="Q393" s="2"/>
      <c r="R393" s="2"/>
    </row>
    <row r="394" spans="1:18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91"/>
      <c r="L394" s="191"/>
      <c r="M394" s="74"/>
      <c r="N394" s="2"/>
      <c r="O394" s="2"/>
      <c r="P394" s="2"/>
      <c r="Q394" s="2"/>
      <c r="R394" s="2"/>
    </row>
    <row r="395" spans="1:18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91"/>
      <c r="L395" s="191"/>
      <c r="M395" s="74"/>
      <c r="N395" s="2"/>
      <c r="O395" s="2"/>
      <c r="P395" s="2"/>
      <c r="Q395" s="2"/>
      <c r="R395" s="2"/>
    </row>
    <row r="396" spans="1:18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91"/>
      <c r="L396" s="191"/>
      <c r="M396" s="74"/>
      <c r="N396" s="2"/>
      <c r="O396" s="2"/>
      <c r="P396" s="2"/>
      <c r="Q396" s="2"/>
      <c r="R396" s="2"/>
    </row>
    <row r="397" spans="1:18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91"/>
      <c r="L397" s="191"/>
      <c r="M397" s="74"/>
      <c r="N397" s="2"/>
      <c r="O397" s="2"/>
      <c r="P397" s="2"/>
      <c r="Q397" s="2"/>
      <c r="R397" s="2"/>
    </row>
    <row r="398" spans="1:18" x14ac:dyDescent="0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91"/>
      <c r="L398" s="191"/>
      <c r="M398" s="74"/>
      <c r="N398" s="2"/>
      <c r="O398" s="2"/>
      <c r="P398" s="2"/>
      <c r="Q398" s="2"/>
      <c r="R398" s="2"/>
    </row>
    <row r="399" spans="1:18" x14ac:dyDescent="0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91"/>
      <c r="L399" s="191"/>
      <c r="M399" s="74"/>
      <c r="N399" s="2"/>
      <c r="O399" s="2"/>
      <c r="P399" s="2"/>
      <c r="Q399" s="2"/>
      <c r="R399" s="2"/>
    </row>
    <row r="400" spans="1:18" x14ac:dyDescent="0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91"/>
      <c r="L400" s="191"/>
      <c r="M400" s="74"/>
      <c r="N400" s="2"/>
      <c r="O400" s="2"/>
      <c r="P400" s="2"/>
      <c r="Q400" s="2"/>
      <c r="R400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2" manualBreakCount="2">
    <brk id="52" max="12" man="1"/>
    <brk id="9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5A285-73D3-47EC-915B-760D472AA803}">
  <sheetPr>
    <pageSetUpPr autoPageBreaks="0"/>
  </sheetPr>
  <dimension ref="A1:P50"/>
  <sheetViews>
    <sheetView showOutlineSymbols="0" zoomScaleNormal="100" workbookViewId="0">
      <selection activeCell="A4" sqref="A4"/>
    </sheetView>
  </sheetViews>
  <sheetFormatPr defaultColWidth="9.6640625" defaultRowHeight="15" x14ac:dyDescent="0.4"/>
  <cols>
    <col min="1" max="1" width="10.21875" style="79" customWidth="1"/>
    <col min="2" max="2" width="9.77734375" style="79" customWidth="1"/>
    <col min="3" max="3" width="16.109375" style="79" customWidth="1"/>
    <col min="4" max="4" width="26.21875" style="79" customWidth="1"/>
    <col min="5" max="6" width="13.6640625" style="79" customWidth="1"/>
    <col min="7" max="7" width="16" style="79" customWidth="1"/>
    <col min="8" max="8" width="12.44140625" style="79" customWidth="1"/>
    <col min="9" max="9" width="15.88671875" style="79" customWidth="1"/>
    <col min="10" max="10" width="14.6640625" style="79" customWidth="1"/>
    <col min="11" max="11" width="11.5546875" style="79" customWidth="1"/>
    <col min="12" max="12" width="12.77734375" style="79" customWidth="1"/>
    <col min="13" max="13" width="14.5546875" style="79" customWidth="1"/>
    <col min="14" max="14" width="10.109375" style="79" customWidth="1"/>
    <col min="15" max="15" width="13.44140625" style="79" customWidth="1"/>
    <col min="16" max="16" width="3.77734375" style="79" customWidth="1"/>
    <col min="17" max="16384" width="9.6640625" style="79"/>
  </cols>
  <sheetData>
    <row r="1" spans="1:16" ht="22.5" x14ac:dyDescent="0.6">
      <c r="A1" s="77" t="s">
        <v>0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ht="22.5" x14ac:dyDescent="0.6">
      <c r="A2" s="77" t="s">
        <v>21</v>
      </c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ht="22.5" x14ac:dyDescent="0.6">
      <c r="A3" s="281" t="s">
        <v>74</v>
      </c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22.5" x14ac:dyDescent="0.6">
      <c r="A4" s="77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6" ht="22.9" thickBot="1" x14ac:dyDescent="0.65">
      <c r="A5" s="77" t="s">
        <v>22</v>
      </c>
      <c r="B5" s="77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6" ht="15.4" thickTop="1" x14ac:dyDescent="0.4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1" t="s">
        <v>23</v>
      </c>
      <c r="P6" s="82"/>
    </row>
    <row r="7" spans="1:16" x14ac:dyDescent="0.4">
      <c r="A7" s="104" t="s">
        <v>24</v>
      </c>
      <c r="B7" s="83" t="s">
        <v>13</v>
      </c>
      <c r="C7" s="83" t="s">
        <v>15</v>
      </c>
      <c r="D7" s="83" t="s">
        <v>62</v>
      </c>
      <c r="E7" s="274" t="s">
        <v>55</v>
      </c>
      <c r="F7" s="83" t="s">
        <v>60</v>
      </c>
      <c r="G7" s="83" t="s">
        <v>63</v>
      </c>
      <c r="H7" s="83" t="s">
        <v>68</v>
      </c>
      <c r="I7" s="83" t="s">
        <v>70</v>
      </c>
      <c r="J7" s="83" t="s">
        <v>25</v>
      </c>
      <c r="K7" s="83" t="s">
        <v>52</v>
      </c>
      <c r="L7" s="83" t="s">
        <v>50</v>
      </c>
      <c r="M7" s="83" t="s">
        <v>17</v>
      </c>
      <c r="N7" s="83" t="s">
        <v>51</v>
      </c>
      <c r="O7" s="83" t="s">
        <v>26</v>
      </c>
      <c r="P7" s="82"/>
    </row>
    <row r="8" spans="1:16" ht="15.4" thickBot="1" x14ac:dyDescent="0.45">
      <c r="A8" s="84"/>
      <c r="B8" s="84"/>
      <c r="C8" s="84"/>
      <c r="D8" s="84"/>
      <c r="E8" s="275"/>
      <c r="F8" s="84"/>
      <c r="G8" s="84"/>
      <c r="H8" s="84"/>
      <c r="I8" s="84"/>
      <c r="J8" s="84"/>
      <c r="K8" s="84"/>
      <c r="L8" s="84"/>
      <c r="M8" s="84"/>
      <c r="N8" s="84"/>
      <c r="O8" s="84"/>
      <c r="P8" s="82"/>
    </row>
    <row r="9" spans="1:16" ht="15.4" thickTop="1" x14ac:dyDescent="0.4">
      <c r="A9" s="85"/>
      <c r="B9" s="85"/>
      <c r="C9" s="85"/>
      <c r="D9" s="85"/>
      <c r="E9" s="86"/>
      <c r="F9" s="86"/>
      <c r="G9" s="86"/>
      <c r="H9" s="86"/>
      <c r="I9" s="86"/>
      <c r="J9" s="85"/>
      <c r="K9" s="85"/>
      <c r="L9" s="85"/>
      <c r="M9" s="85"/>
      <c r="N9" s="85"/>
      <c r="O9" s="85"/>
      <c r="P9" s="82"/>
    </row>
    <row r="10" spans="1:16" x14ac:dyDescent="0.4">
      <c r="A10" s="87">
        <f>DATE(2025,7,1)</f>
        <v>45839</v>
      </c>
      <c r="B10" s="88">
        <f>'MONTHLY STATS'!$C$9*2</f>
        <v>360560</v>
      </c>
      <c r="C10" s="88">
        <f>'MONTHLY STATS'!$C$18*2</f>
        <v>214610</v>
      </c>
      <c r="D10" s="88">
        <f>'MONTHLY STATS'!$C$27*2</f>
        <v>145072</v>
      </c>
      <c r="E10" s="88">
        <f>'MONTHLY STATS'!$C$36*2</f>
        <v>626512</v>
      </c>
      <c r="F10" s="88">
        <f>'MONTHLY STATS'!$C$45*2</f>
        <v>378056</v>
      </c>
      <c r="G10" s="88">
        <f>'MONTHLY STATS'!$C$54*2</f>
        <v>189756</v>
      </c>
      <c r="H10" s="88">
        <f>'MONTHLY STATS'!$C$63*2</f>
        <v>408904</v>
      </c>
      <c r="I10" s="88">
        <f>'MONTHLY STATS'!$C$72*2</f>
        <v>432796</v>
      </c>
      <c r="J10" s="88">
        <f>'MONTHLY STATS'!$C$81*2</f>
        <v>512784</v>
      </c>
      <c r="K10" s="88">
        <f>'MONTHLY STATS'!$C$90*2</f>
        <v>669154</v>
      </c>
      <c r="L10" s="88">
        <f>'MONTHLY STATS'!$C$99*2</f>
        <v>85610</v>
      </c>
      <c r="M10" s="88">
        <f>'MONTHLY STATS'!$C$108*2</f>
        <v>665520</v>
      </c>
      <c r="N10" s="88">
        <f>'MONTHLY STATS'!$C$117*2</f>
        <v>125062</v>
      </c>
      <c r="O10" s="89">
        <f t="shared" ref="O10:O15" si="0">SUM(B10:N10)</f>
        <v>4814396</v>
      </c>
      <c r="P10" s="82"/>
    </row>
    <row r="11" spans="1:16" x14ac:dyDescent="0.4">
      <c r="A11" s="87">
        <f>DATE(2025,8,1)</f>
        <v>45870</v>
      </c>
      <c r="B11" s="88">
        <f>'MONTHLY STATS'!$C$10*2</f>
        <v>379164</v>
      </c>
      <c r="C11" s="88">
        <f>'MONTHLY STATS'!$C$19*2</f>
        <v>220074</v>
      </c>
      <c r="D11" s="88">
        <f>'MONTHLY STATS'!$C$28*2</f>
        <v>154922</v>
      </c>
      <c r="E11" s="88">
        <f>'MONTHLY STATS'!$C$37*2</f>
        <v>669634</v>
      </c>
      <c r="F11" s="88">
        <f>'MONTHLY STATS'!$C$46*2</f>
        <v>388106</v>
      </c>
      <c r="G11" s="88">
        <f>'MONTHLY STATS'!$C$55*2</f>
        <v>194500</v>
      </c>
      <c r="H11" s="88">
        <f>'MONTHLY STATS'!$C$64*2</f>
        <v>413246</v>
      </c>
      <c r="I11" s="88">
        <f>'MONTHLY STATS'!$C$73*2</f>
        <v>461220</v>
      </c>
      <c r="J11" s="88">
        <f>'MONTHLY STATS'!$C$82*2</f>
        <v>529360</v>
      </c>
      <c r="K11" s="88">
        <f>'MONTHLY STATS'!$C$91*2</f>
        <v>688408</v>
      </c>
      <c r="L11" s="88">
        <f>'MONTHLY STATS'!$C$100*2</f>
        <v>86952</v>
      </c>
      <c r="M11" s="88">
        <f>'MONTHLY STATS'!$C$109*2</f>
        <v>675830</v>
      </c>
      <c r="N11" s="88">
        <f>'MONTHLY STATS'!$C$118*2</f>
        <v>130530</v>
      </c>
      <c r="O11" s="89">
        <f t="shared" si="0"/>
        <v>4991946</v>
      </c>
      <c r="P11" s="82"/>
    </row>
    <row r="12" spans="1:16" x14ac:dyDescent="0.4">
      <c r="A12" s="87">
        <f>DATE(2025,9,1)</f>
        <v>45901</v>
      </c>
      <c r="B12" s="88">
        <f>'MONTHLY STATS'!$C$11*2</f>
        <v>320658</v>
      </c>
      <c r="C12" s="88">
        <f>'MONTHLY STATS'!$C$20*2</f>
        <v>200200</v>
      </c>
      <c r="D12" s="88">
        <f>'MONTHLY STATS'!$C$29*2</f>
        <v>135600</v>
      </c>
      <c r="E12" s="88">
        <f>'MONTHLY STATS'!$C$38*2</f>
        <v>591474</v>
      </c>
      <c r="F12" s="88">
        <f>'MONTHLY STATS'!$C$47*2</f>
        <v>348858</v>
      </c>
      <c r="G12" s="88">
        <f>'MONTHLY STATS'!$C$56*2</f>
        <v>179536</v>
      </c>
      <c r="H12" s="88">
        <f>'MONTHLY STATS'!$C$65*2</f>
        <v>389766</v>
      </c>
      <c r="I12" s="88">
        <f>'MONTHLY STATS'!$C$74*2</f>
        <v>408932</v>
      </c>
      <c r="J12" s="88">
        <f>'MONTHLY STATS'!$C$83*2</f>
        <v>458130</v>
      </c>
      <c r="K12" s="88">
        <f>'MONTHLY STATS'!$C$92*2</f>
        <v>615346</v>
      </c>
      <c r="L12" s="88">
        <f>'MONTHLY STATS'!$C$101*2</f>
        <v>77986</v>
      </c>
      <c r="M12" s="88">
        <f>'MONTHLY STATS'!$C$110*2</f>
        <v>599366</v>
      </c>
      <c r="N12" s="88">
        <f>'MONTHLY STATS'!$C$119*2</f>
        <v>117132</v>
      </c>
      <c r="O12" s="89">
        <f t="shared" si="0"/>
        <v>4442984</v>
      </c>
      <c r="P12" s="82"/>
    </row>
    <row r="13" spans="1:16" x14ac:dyDescent="0.4">
      <c r="A13" s="87">
        <f>DATE(2025,10,1)</f>
        <v>45931</v>
      </c>
      <c r="B13" s="88">
        <f>'MONTHLY STATS'!$C$12*2</f>
        <v>341912</v>
      </c>
      <c r="C13" s="88">
        <f>'MONTHLY STATS'!$C$21*2</f>
        <v>208330</v>
      </c>
      <c r="D13" s="88">
        <f>'MONTHLY STATS'!$C$30*2</f>
        <v>140086</v>
      </c>
      <c r="E13" s="88">
        <f>'MONTHLY STATS'!$C$39*2</f>
        <v>616502</v>
      </c>
      <c r="F13" s="88">
        <f>'MONTHLY STATS'!$C$48*2</f>
        <v>362112</v>
      </c>
      <c r="G13" s="88">
        <f>'MONTHLY STATS'!$C$57*2</f>
        <v>173322</v>
      </c>
      <c r="H13" s="88">
        <f>'MONTHLY STATS'!$C$66*2</f>
        <v>449376</v>
      </c>
      <c r="I13" s="88">
        <f>'MONTHLY STATS'!$C$75*2</f>
        <v>404242</v>
      </c>
      <c r="J13" s="88">
        <f>'MONTHLY STATS'!$C$84*2</f>
        <v>485342</v>
      </c>
      <c r="K13" s="88">
        <f>'MONTHLY STATS'!$C$93*2</f>
        <v>655792</v>
      </c>
      <c r="L13" s="88">
        <f>'MONTHLY STATS'!$C$102*2</f>
        <v>81178</v>
      </c>
      <c r="M13" s="88">
        <f>'MONTHLY STATS'!$C$111*2</f>
        <v>620254</v>
      </c>
      <c r="N13" s="88">
        <f>'MONTHLY STATS'!$C$120*2</f>
        <v>120824</v>
      </c>
      <c r="O13" s="89">
        <f t="shared" si="0"/>
        <v>4659272</v>
      </c>
      <c r="P13" s="82"/>
    </row>
    <row r="14" spans="1:16" x14ac:dyDescent="0.4">
      <c r="A14" s="87">
        <f>DATE(2025,11,1)</f>
        <v>45962</v>
      </c>
      <c r="B14" s="88">
        <f>'MONTHLY STATS'!$C$13*2</f>
        <v>336526</v>
      </c>
      <c r="C14" s="88">
        <f>'MONTHLY STATS'!$C$22*2</f>
        <v>196732</v>
      </c>
      <c r="D14" s="88">
        <f>'MONTHLY STATS'!$C$31*2</f>
        <v>143276</v>
      </c>
      <c r="E14" s="88">
        <f>'MONTHLY STATS'!$C$40*2</f>
        <v>597388</v>
      </c>
      <c r="F14" s="88">
        <f>'MONTHLY STATS'!$C$49*2</f>
        <v>355388</v>
      </c>
      <c r="G14" s="88">
        <f>'MONTHLY STATS'!$C$58*2</f>
        <v>183546</v>
      </c>
      <c r="H14" s="88">
        <f>'MONTHLY STATS'!$C$67*2</f>
        <v>418998</v>
      </c>
      <c r="I14" s="88">
        <f>'MONTHLY STATS'!$C$76*2</f>
        <v>391222</v>
      </c>
      <c r="J14" s="88">
        <f>'MONTHLY STATS'!$C$85*2</f>
        <v>481988</v>
      </c>
      <c r="K14" s="88">
        <f>'MONTHLY STATS'!$C$94*2</f>
        <v>631322</v>
      </c>
      <c r="L14" s="88">
        <f>'MONTHLY STATS'!$C$103*2</f>
        <v>75170</v>
      </c>
      <c r="M14" s="88">
        <f>'MONTHLY STATS'!$C$112*2</f>
        <v>612934</v>
      </c>
      <c r="N14" s="88">
        <f>'MONTHLY STATS'!$C$121*2</f>
        <v>116420</v>
      </c>
      <c r="O14" s="89">
        <f t="shared" si="0"/>
        <v>4540910</v>
      </c>
      <c r="P14" s="82"/>
    </row>
    <row r="15" spans="1:16" x14ac:dyDescent="0.4">
      <c r="A15" s="87">
        <f>DATE(2025,12,1)</f>
        <v>45992</v>
      </c>
      <c r="B15" s="88">
        <f>'MONTHLY STATS'!$C$14*2</f>
        <v>385640</v>
      </c>
      <c r="C15" s="88">
        <f>'MONTHLY STATS'!$C$23*2</f>
        <v>197812</v>
      </c>
      <c r="D15" s="88">
        <f>'MONTHLY STATS'!$C$32*2</f>
        <v>149146</v>
      </c>
      <c r="E15" s="88">
        <f>'MONTHLY STATS'!$C$41*2</f>
        <v>619308</v>
      </c>
      <c r="F15" s="88">
        <f>'MONTHLY STATS'!$C$50*2</f>
        <v>414276</v>
      </c>
      <c r="G15" s="88">
        <f>'MONTHLY STATS'!$C$59*2</f>
        <v>204716</v>
      </c>
      <c r="H15" s="88">
        <f>'MONTHLY STATS'!$C$68*2</f>
        <v>399718</v>
      </c>
      <c r="I15" s="88">
        <f>'MONTHLY STATS'!$C$77*2</f>
        <v>437136</v>
      </c>
      <c r="J15" s="88">
        <f>'MONTHLY STATS'!$C$86*2</f>
        <v>538854</v>
      </c>
      <c r="K15" s="88">
        <f>'MONTHLY STATS'!$C$95*2</f>
        <v>664830</v>
      </c>
      <c r="L15" s="88">
        <f>'MONTHLY STATS'!$C$104*2</f>
        <v>73284</v>
      </c>
      <c r="M15" s="88">
        <f>'MONTHLY STATS'!$C$113*2</f>
        <v>686410</v>
      </c>
      <c r="N15" s="88">
        <f>'MONTHLY STATS'!$C$122*2</f>
        <v>120760</v>
      </c>
      <c r="O15" s="89">
        <f t="shared" si="0"/>
        <v>4891890</v>
      </c>
      <c r="P15" s="82"/>
    </row>
    <row r="16" spans="1:16" x14ac:dyDescent="0.4">
      <c r="A16" s="8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9"/>
      <c r="P16" s="82"/>
    </row>
    <row r="17" spans="1:16" x14ac:dyDescent="0.4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9"/>
      <c r="P17" s="82"/>
    </row>
    <row r="18" spans="1:16" x14ac:dyDescent="0.4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82"/>
    </row>
    <row r="19" spans="1:16" x14ac:dyDescent="0.4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9"/>
      <c r="P19" s="82"/>
    </row>
    <row r="20" spans="1:16" x14ac:dyDescent="0.4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9"/>
      <c r="P20" s="82"/>
    </row>
    <row r="21" spans="1:16" x14ac:dyDescent="0.4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9"/>
      <c r="P21" s="82"/>
    </row>
    <row r="22" spans="1:16" x14ac:dyDescent="0.4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9"/>
      <c r="P22" s="82"/>
    </row>
    <row r="23" spans="1:16" x14ac:dyDescent="0.4">
      <c r="A23" s="90" t="s">
        <v>27</v>
      </c>
      <c r="B23" s="89">
        <f t="shared" ref="B23:O23" si="1">SUM(B10:B21)</f>
        <v>2124460</v>
      </c>
      <c r="C23" s="89">
        <f t="shared" si="1"/>
        <v>1237758</v>
      </c>
      <c r="D23" s="89">
        <f t="shared" si="1"/>
        <v>868102</v>
      </c>
      <c r="E23" s="89">
        <f t="shared" si="1"/>
        <v>3720818</v>
      </c>
      <c r="F23" s="89">
        <f t="shared" si="1"/>
        <v>2246796</v>
      </c>
      <c r="G23" s="89">
        <f>SUM(G10:G21)</f>
        <v>1125376</v>
      </c>
      <c r="H23" s="89">
        <f t="shared" si="1"/>
        <v>2480008</v>
      </c>
      <c r="I23" s="89">
        <f>SUM(I10:I21)</f>
        <v>2535548</v>
      </c>
      <c r="J23" s="89">
        <f t="shared" si="1"/>
        <v>3006458</v>
      </c>
      <c r="K23" s="89">
        <f>SUM(K10:K21)</f>
        <v>3924852</v>
      </c>
      <c r="L23" s="89">
        <f t="shared" si="1"/>
        <v>480180</v>
      </c>
      <c r="M23" s="89">
        <f t="shared" si="1"/>
        <v>3860314</v>
      </c>
      <c r="N23" s="89">
        <f t="shared" si="1"/>
        <v>730728</v>
      </c>
      <c r="O23" s="89">
        <f t="shared" si="1"/>
        <v>28341398</v>
      </c>
      <c r="P23" s="82"/>
    </row>
    <row r="24" spans="1:16" ht="15.4" thickBot="1" x14ac:dyDescent="0.45">
      <c r="A24" s="91"/>
      <c r="B24" s="89"/>
      <c r="C24" s="89"/>
      <c r="D24" s="89"/>
      <c r="E24" s="88"/>
      <c r="F24" s="88"/>
      <c r="G24" s="88"/>
      <c r="H24" s="88"/>
      <c r="I24" s="88"/>
      <c r="J24" s="89"/>
      <c r="K24" s="89"/>
      <c r="L24" s="89"/>
      <c r="M24" s="89"/>
      <c r="N24" s="89"/>
      <c r="O24" s="89"/>
      <c r="P24" s="82"/>
    </row>
    <row r="25" spans="1:16" ht="15.4" thickTop="1" x14ac:dyDescent="0.4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4"/>
      <c r="L25" s="94"/>
      <c r="M25" s="94"/>
      <c r="N25" s="94"/>
      <c r="O25" s="94"/>
    </row>
    <row r="26" spans="1:16" ht="22.9" thickBot="1" x14ac:dyDescent="0.65">
      <c r="A26" s="95" t="s">
        <v>28</v>
      </c>
      <c r="B26" s="96"/>
      <c r="C26" s="97"/>
      <c r="D26" s="97"/>
      <c r="E26" s="97"/>
      <c r="F26" s="97"/>
      <c r="G26" s="97"/>
      <c r="H26" s="97"/>
      <c r="I26" s="97"/>
      <c r="J26" s="97"/>
      <c r="K26" s="98"/>
      <c r="L26" s="98"/>
      <c r="M26" s="98"/>
      <c r="N26" s="98"/>
      <c r="O26" s="98"/>
    </row>
    <row r="27" spans="1:16" ht="15.4" thickTop="1" x14ac:dyDescent="0.4">
      <c r="A27" s="99"/>
      <c r="B27" s="100"/>
      <c r="C27" s="100"/>
      <c r="D27" s="100"/>
      <c r="E27" s="101"/>
      <c r="F27" s="101"/>
      <c r="G27" s="101"/>
      <c r="H27" s="101"/>
      <c r="I27" s="101"/>
      <c r="J27" s="100"/>
      <c r="K27" s="102"/>
      <c r="L27" s="102"/>
      <c r="M27" s="102"/>
      <c r="N27" s="102"/>
      <c r="O27" s="103" t="s">
        <v>23</v>
      </c>
      <c r="P27" s="82"/>
    </row>
    <row r="28" spans="1:16" x14ac:dyDescent="0.4">
      <c r="A28" s="104" t="s">
        <v>24</v>
      </c>
      <c r="B28" s="83" t="s">
        <v>13</v>
      </c>
      <c r="C28" s="83" t="s">
        <v>15</v>
      </c>
      <c r="D28" s="83" t="s">
        <v>62</v>
      </c>
      <c r="E28" s="274" t="s">
        <v>55</v>
      </c>
      <c r="F28" s="83" t="s">
        <v>60</v>
      </c>
      <c r="G28" s="83" t="s">
        <v>63</v>
      </c>
      <c r="H28" s="83" t="s">
        <v>68</v>
      </c>
      <c r="I28" s="83" t="s">
        <v>70</v>
      </c>
      <c r="J28" s="83" t="s">
        <v>25</v>
      </c>
      <c r="K28" s="105" t="s">
        <v>52</v>
      </c>
      <c r="L28" s="105" t="s">
        <v>50</v>
      </c>
      <c r="M28" s="105" t="s">
        <v>17</v>
      </c>
      <c r="N28" s="105" t="s">
        <v>51</v>
      </c>
      <c r="O28" s="105" t="s">
        <v>26</v>
      </c>
      <c r="P28" s="82"/>
    </row>
    <row r="29" spans="1:16" ht="15.4" thickBot="1" x14ac:dyDescent="0.45">
      <c r="A29" s="106"/>
      <c r="B29" s="107"/>
      <c r="C29" s="107"/>
      <c r="D29" s="107"/>
      <c r="E29" s="275"/>
      <c r="F29" s="83"/>
      <c r="G29" s="83"/>
      <c r="H29" s="83"/>
      <c r="I29" s="83"/>
      <c r="J29" s="107"/>
      <c r="K29" s="108"/>
      <c r="L29" s="108"/>
      <c r="M29" s="108"/>
      <c r="N29" s="108"/>
      <c r="O29" s="108"/>
      <c r="P29" s="82"/>
    </row>
    <row r="30" spans="1:16" ht="15.4" thickTop="1" x14ac:dyDescent="0.4">
      <c r="A30" s="109"/>
      <c r="B30" s="110"/>
      <c r="C30" s="110"/>
      <c r="D30" s="110"/>
      <c r="E30" s="111"/>
      <c r="F30" s="111"/>
      <c r="G30" s="111"/>
      <c r="H30" s="111"/>
      <c r="I30" s="111"/>
      <c r="J30" s="110"/>
      <c r="K30" s="112"/>
      <c r="L30" s="112"/>
      <c r="M30" s="112"/>
      <c r="N30" s="112"/>
      <c r="O30" s="112"/>
      <c r="P30" s="82"/>
    </row>
    <row r="31" spans="1:16" x14ac:dyDescent="0.4">
      <c r="A31" s="87">
        <f>DATE(2025,7,1)</f>
        <v>45839</v>
      </c>
      <c r="B31" s="88">
        <f>'MONTHLY STATS'!$K$9*0.21</f>
        <v>2868662.3742</v>
      </c>
      <c r="C31" s="88">
        <f>'MONTHLY STATS'!$K$18*0.21</f>
        <v>1755725.4372</v>
      </c>
      <c r="D31" s="88">
        <f>'MONTHLY STATS'!$K$27*0.21</f>
        <v>1071613.5759000001</v>
      </c>
      <c r="E31" s="88">
        <f>'MONTHLY STATS'!$K$36*0.21</f>
        <v>4632434.1272999998</v>
      </c>
      <c r="F31" s="88">
        <f>'MONTHLY STATS'!$K$45*0.21</f>
        <v>3046383.8201999995</v>
      </c>
      <c r="G31" s="88">
        <f>'MONTHLY STATS'!$K$54*0.21</f>
        <v>1232192.7890999999</v>
      </c>
      <c r="H31" s="88">
        <f>'MONTHLY STATS'!$K$63*0.21</f>
        <v>2324377.5155999996</v>
      </c>
      <c r="I31" s="88">
        <f>'MONTHLY STATS'!$K$72*0.21</f>
        <v>3036431.0718</v>
      </c>
      <c r="J31" s="88">
        <f>'MONTHLY STATS'!$K$81*0.21</f>
        <v>3669881.8905000002</v>
      </c>
      <c r="K31" s="88">
        <f>'MONTHLY STATS'!$K$90*0.21</f>
        <v>4675936.7675999999</v>
      </c>
      <c r="L31" s="88">
        <f>'MONTHLY STATS'!$K$99*0.21</f>
        <v>618653.44169999997</v>
      </c>
      <c r="M31" s="88">
        <f>'MONTHLY STATS'!$K$108*0.21</f>
        <v>5378563.3292999994</v>
      </c>
      <c r="N31" s="88">
        <f>'MONTHLY STATS'!$K$117*0.21</f>
        <v>908066.38439999986</v>
      </c>
      <c r="O31" s="89">
        <f t="shared" ref="O31:O36" si="2">SUM(B31:N31)</f>
        <v>35218922.524800003</v>
      </c>
      <c r="P31" s="82"/>
    </row>
    <row r="32" spans="1:16" x14ac:dyDescent="0.4">
      <c r="A32" s="87">
        <f>DATE(2025,8,1)</f>
        <v>45870</v>
      </c>
      <c r="B32" s="88">
        <f>'MONTHLY STATS'!$K$10*0.21</f>
        <v>3109937.1596999997</v>
      </c>
      <c r="C32" s="88">
        <f>'MONTHLY STATS'!$K$19*0.21</f>
        <v>1755120.5027999999</v>
      </c>
      <c r="D32" s="88">
        <f>'MONTHLY STATS'!$K$28*0.21</f>
        <v>1127483.3870999999</v>
      </c>
      <c r="E32" s="88">
        <f>'MONTHLY STATS'!$K$37*0.21</f>
        <v>4983170.1402000003</v>
      </c>
      <c r="F32" s="88">
        <f>'MONTHLY STATS'!$K$46*0.21</f>
        <v>3390595.3514999999</v>
      </c>
      <c r="G32" s="88">
        <f>'MONTHLY STATS'!$K$55*0.21</f>
        <v>1278646.3158</v>
      </c>
      <c r="H32" s="88">
        <f>'MONTHLY STATS'!$K$64*0.21</f>
        <v>2370996.7658999995</v>
      </c>
      <c r="I32" s="88">
        <f>'MONTHLY STATS'!$K$73*0.21</f>
        <v>3222736.7528999997</v>
      </c>
      <c r="J32" s="88">
        <f>'MONTHLY STATS'!$K$82*0.21</f>
        <v>3735813.1733999997</v>
      </c>
      <c r="K32" s="88">
        <f>'MONTHLY STATS'!$K$91*0.21</f>
        <v>5049494.1441000002</v>
      </c>
      <c r="L32" s="88">
        <f>'MONTHLY STATS'!$K$100*0.21</f>
        <v>634301.99699999997</v>
      </c>
      <c r="M32" s="88">
        <f>'MONTHLY STATS'!$K$109*0.21</f>
        <v>5731629.0339000002</v>
      </c>
      <c r="N32" s="88">
        <f>'MONTHLY STATS'!$K$118*0.21</f>
        <v>881846.07630000007</v>
      </c>
      <c r="O32" s="89">
        <f t="shared" si="2"/>
        <v>37271770.8006</v>
      </c>
      <c r="P32" s="82"/>
    </row>
    <row r="33" spans="1:16" x14ac:dyDescent="0.4">
      <c r="A33" s="87">
        <f>DATE(2025,9,1)</f>
        <v>45901</v>
      </c>
      <c r="B33" s="88">
        <f>'MONTHLY STATS'!$K$11*0.21</f>
        <v>2539965.5882999999</v>
      </c>
      <c r="C33" s="88">
        <f>'MONTHLY STATS'!$K$20*0.21</f>
        <v>1663269.1697999998</v>
      </c>
      <c r="D33" s="88">
        <f>'MONTHLY STATS'!$K$29*0.21</f>
        <v>970767.66150000005</v>
      </c>
      <c r="E33" s="88">
        <f>'MONTHLY STATS'!$K$38*0.21</f>
        <v>4418000.9600999998</v>
      </c>
      <c r="F33" s="88">
        <f>'MONTHLY STATS'!$K$47*0.21</f>
        <v>3151143.3764999998</v>
      </c>
      <c r="G33" s="88">
        <f>'MONTHLY STATS'!$K$56*0.21</f>
        <v>1174943.8637999999</v>
      </c>
      <c r="H33" s="88">
        <f>'MONTHLY STATS'!$K$65*0.21</f>
        <v>2136883.2765000002</v>
      </c>
      <c r="I33" s="88">
        <f>'MONTHLY STATS'!$K$74*0.21</f>
        <v>2788465.3041000003</v>
      </c>
      <c r="J33" s="88">
        <f>'MONTHLY STATS'!$K$83*0.21</f>
        <v>3308929.2999</v>
      </c>
      <c r="K33" s="88">
        <f>'MONTHLY STATS'!$K$92*0.21</f>
        <v>4515897.9264000002</v>
      </c>
      <c r="L33" s="88">
        <f>'MONTHLY STATS'!$K$101*0.21</f>
        <v>582705.3456</v>
      </c>
      <c r="M33" s="88">
        <f>'MONTHLY STATS'!$K$110*0.21</f>
        <v>4887908.2560000001</v>
      </c>
      <c r="N33" s="88">
        <f>'MONTHLY STATS'!$K$119*0.21</f>
        <v>729219.46019999997</v>
      </c>
      <c r="O33" s="89">
        <f t="shared" si="2"/>
        <v>32868099.488700002</v>
      </c>
      <c r="P33" s="82"/>
    </row>
    <row r="34" spans="1:16" x14ac:dyDescent="0.4">
      <c r="A34" s="87">
        <f>DATE(2025,10,1)</f>
        <v>45931</v>
      </c>
      <c r="B34" s="88">
        <f>'MONTHLY STATS'!$K$12*0.21</f>
        <v>2790013.0460999999</v>
      </c>
      <c r="C34" s="88">
        <f>'MONTHLY STATS'!$K$21*0.21</f>
        <v>1661041.7879999999</v>
      </c>
      <c r="D34" s="88">
        <f>'MONTHLY STATS'!$K$30*0.21</f>
        <v>1023968.7842999999</v>
      </c>
      <c r="E34" s="88">
        <f>'MONTHLY STATS'!$K$39*0.21</f>
        <v>4836059.0921999998</v>
      </c>
      <c r="F34" s="88">
        <f>'MONTHLY STATS'!$K$48*0.21</f>
        <v>2914936.2227999996</v>
      </c>
      <c r="G34" s="88">
        <f>'MONTHLY STATS'!$K$57*0.21</f>
        <v>1127128.9616999999</v>
      </c>
      <c r="H34" s="88">
        <f>'MONTHLY STATS'!$K$66*0.21</f>
        <v>2463282.0575999999</v>
      </c>
      <c r="I34" s="88">
        <f>'MONTHLY STATS'!$K$75*0.21</f>
        <v>2741088.4724999997</v>
      </c>
      <c r="J34" s="88">
        <f>'MONTHLY STATS'!$K$84*0.21</f>
        <v>3530379.7577999998</v>
      </c>
      <c r="K34" s="88">
        <f>'MONTHLY STATS'!$K$93*0.21</f>
        <v>4759469.9607000006</v>
      </c>
      <c r="L34" s="88">
        <f>'MONTHLY STATS'!$K$102*0.21</f>
        <v>612080.67059999995</v>
      </c>
      <c r="M34" s="88">
        <f>'MONTHLY STATS'!$K$111*0.21</f>
        <v>5301386.5674000001</v>
      </c>
      <c r="N34" s="88">
        <f>'MONTHLY STATS'!$K$120*0.21</f>
        <v>861859.36829999997</v>
      </c>
      <c r="O34" s="89">
        <f t="shared" si="2"/>
        <v>34622694.75</v>
      </c>
      <c r="P34" s="82"/>
    </row>
    <row r="35" spans="1:16" x14ac:dyDescent="0.4">
      <c r="A35" s="87">
        <f>DATE(2025,11,1)</f>
        <v>45962</v>
      </c>
      <c r="B35" s="88">
        <f>'MONTHLY STATS'!$K$13*0.21</f>
        <v>2780853.8226000001</v>
      </c>
      <c r="C35" s="88">
        <f>'MONTHLY STATS'!$K$22*0.21</f>
        <v>1593264.5231999999</v>
      </c>
      <c r="D35" s="88">
        <f>'MONTHLY STATS'!$K$31*0.21</f>
        <v>1051732.0695</v>
      </c>
      <c r="E35" s="88">
        <f>'MONTHLY STATS'!$K$40*0.21</f>
        <v>4397914.2479999997</v>
      </c>
      <c r="F35" s="88">
        <f>'MONTHLY STATS'!$K$49*0.21</f>
        <v>2905503.9068999998</v>
      </c>
      <c r="G35" s="88">
        <f>'MONTHLY STATS'!$K$58*0.21</f>
        <v>1229168.0141999999</v>
      </c>
      <c r="H35" s="88">
        <f>'MONTHLY STATS'!$K$67*0.21</f>
        <v>2231875.1301000002</v>
      </c>
      <c r="I35" s="88">
        <f>'MONTHLY STATS'!$K$76*0.21</f>
        <v>2682743.5991999996</v>
      </c>
      <c r="J35" s="88">
        <f>'MONTHLY STATS'!$K$85*0.21</f>
        <v>3354827.3955000001</v>
      </c>
      <c r="K35" s="88">
        <f>'MONTHLY STATS'!$K$94*0.21</f>
        <v>4585596.3236999996</v>
      </c>
      <c r="L35" s="88">
        <f>'MONTHLY STATS'!$K$103*0.21</f>
        <v>562712.97809999995</v>
      </c>
      <c r="M35" s="88">
        <f>'MONTHLY STATS'!$K$112*0.21</f>
        <v>5108770.2665999997</v>
      </c>
      <c r="N35" s="88">
        <f>'MONTHLY STATS'!$K$121*0.21</f>
        <v>814971.40409999993</v>
      </c>
      <c r="O35" s="89">
        <f t="shared" si="2"/>
        <v>33299933.681699999</v>
      </c>
      <c r="P35" s="82"/>
    </row>
    <row r="36" spans="1:16" x14ac:dyDescent="0.4">
      <c r="A36" s="87">
        <f>DATE(2025,12,1)</f>
        <v>45992</v>
      </c>
      <c r="B36" s="88">
        <f>'MONTHLY STATS'!$K$14*0.21</f>
        <v>2961816.7634999999</v>
      </c>
      <c r="C36" s="88">
        <f>'MONTHLY STATS'!$K$23*0.21</f>
        <v>1633176.7263</v>
      </c>
      <c r="D36" s="88">
        <f>'MONTHLY STATS'!$K$32*0.21</f>
        <v>1107818.1281999999</v>
      </c>
      <c r="E36" s="88">
        <f>'MONTHLY STATS'!$K$41*0.21</f>
        <v>4659986.8413000004</v>
      </c>
      <c r="F36" s="88">
        <f>'MONTHLY STATS'!$K$50*0.21</f>
        <v>3586574.5544999996</v>
      </c>
      <c r="G36" s="88">
        <f>'MONTHLY STATS'!$K$59*0.21</f>
        <v>1277085.7722</v>
      </c>
      <c r="H36" s="88">
        <f>'MONTHLY STATS'!$K$68*0.21</f>
        <v>2216771.7977999998</v>
      </c>
      <c r="I36" s="88">
        <f>'MONTHLY STATS'!$K$77*0.21</f>
        <v>3022789.8308999995</v>
      </c>
      <c r="J36" s="88">
        <f>'MONTHLY STATS'!$K$86*0.21</f>
        <v>3628699.3071000003</v>
      </c>
      <c r="K36" s="88">
        <f>'MONTHLY STATS'!$K$95*0.21</f>
        <v>4919338.0970999999</v>
      </c>
      <c r="L36" s="88">
        <f>'MONTHLY STATS'!$K$104*0.21</f>
        <v>617015.37659999996</v>
      </c>
      <c r="M36" s="88">
        <f>'MONTHLY STATS'!$K$113*0.21</f>
        <v>5721322.7169000003</v>
      </c>
      <c r="N36" s="88">
        <f>'MONTHLY STATS'!$K$122*0.21</f>
        <v>859257.96600000001</v>
      </c>
      <c r="O36" s="89">
        <f t="shared" si="2"/>
        <v>36211653.878399998</v>
      </c>
      <c r="P36" s="82"/>
    </row>
    <row r="37" spans="1:16" x14ac:dyDescent="0.4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9"/>
      <c r="P37" s="82"/>
    </row>
    <row r="38" spans="1:16" x14ac:dyDescent="0.4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9"/>
      <c r="P38" s="82"/>
    </row>
    <row r="39" spans="1:16" x14ac:dyDescent="0.4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9"/>
      <c r="P39" s="82"/>
    </row>
    <row r="40" spans="1:16" x14ac:dyDescent="0.4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9"/>
      <c r="P40" s="82"/>
    </row>
    <row r="41" spans="1:16" x14ac:dyDescent="0.4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9"/>
      <c r="P41" s="82"/>
    </row>
    <row r="42" spans="1:16" x14ac:dyDescent="0.4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9"/>
      <c r="P42" s="82"/>
    </row>
    <row r="43" spans="1:16" x14ac:dyDescent="0.4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9"/>
      <c r="P43" s="82"/>
    </row>
    <row r="44" spans="1:16" x14ac:dyDescent="0.4">
      <c r="A44" s="90" t="s">
        <v>27</v>
      </c>
      <c r="B44" s="89">
        <f t="shared" ref="B44:O44" si="3">SUM(B31:B42)</f>
        <v>17051248.7544</v>
      </c>
      <c r="C44" s="89">
        <f t="shared" si="3"/>
        <v>10061598.147299999</v>
      </c>
      <c r="D44" s="89">
        <f t="shared" si="3"/>
        <v>6353383.6064999998</v>
      </c>
      <c r="E44" s="89">
        <f t="shared" si="3"/>
        <v>27927565.4091</v>
      </c>
      <c r="F44" s="89">
        <f t="shared" si="3"/>
        <v>18995137.232399996</v>
      </c>
      <c r="G44" s="89">
        <f t="shared" si="3"/>
        <v>7319165.7167999987</v>
      </c>
      <c r="H44" s="89">
        <f t="shared" si="3"/>
        <v>13744186.543499999</v>
      </c>
      <c r="I44" s="89">
        <f>SUM(I31:I42)</f>
        <v>17494255.031399999</v>
      </c>
      <c r="J44" s="89">
        <f t="shared" si="3"/>
        <v>21228530.824200001</v>
      </c>
      <c r="K44" s="89">
        <f>SUM(K31:K42)</f>
        <v>28505733.219599999</v>
      </c>
      <c r="L44" s="89">
        <f t="shared" si="3"/>
        <v>3627469.8095999998</v>
      </c>
      <c r="M44" s="89">
        <f t="shared" si="3"/>
        <v>32129580.170099996</v>
      </c>
      <c r="N44" s="89">
        <f t="shared" si="3"/>
        <v>5055220.6592999995</v>
      </c>
      <c r="O44" s="89">
        <f t="shared" si="3"/>
        <v>209493075.12419999</v>
      </c>
      <c r="P44" s="82"/>
    </row>
    <row r="45" spans="1:16" ht="15.4" thickBot="1" x14ac:dyDescent="0.45">
      <c r="A45" s="91"/>
      <c r="B45" s="89"/>
      <c r="C45" s="89"/>
      <c r="D45" s="89"/>
      <c r="E45" s="88"/>
      <c r="F45" s="88"/>
      <c r="G45" s="88"/>
      <c r="H45" s="88"/>
      <c r="I45" s="88"/>
      <c r="J45" s="89"/>
      <c r="K45" s="89"/>
      <c r="L45" s="89"/>
      <c r="M45" s="89"/>
      <c r="N45" s="89"/>
      <c r="O45" s="89"/>
      <c r="P45" s="82"/>
    </row>
    <row r="46" spans="1:16" ht="15.4" thickTop="1" x14ac:dyDescent="0.4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</row>
    <row r="47" spans="1:16" ht="15.4" x14ac:dyDescent="0.45">
      <c r="A47" s="287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</row>
    <row r="48" spans="1:16" x14ac:dyDescent="0.4">
      <c r="A48" s="114" t="s">
        <v>29</v>
      </c>
      <c r="B48" s="97"/>
      <c r="C48" s="97"/>
      <c r="D48" s="97"/>
      <c r="E48" s="97"/>
      <c r="F48" s="97"/>
      <c r="G48" s="97"/>
      <c r="H48" s="97"/>
      <c r="I48" s="97"/>
    </row>
    <row r="49" spans="1:9" x14ac:dyDescent="0.4">
      <c r="A49" s="114"/>
      <c r="B49" s="97"/>
      <c r="C49" s="97"/>
      <c r="D49" s="97"/>
      <c r="E49" s="97"/>
      <c r="F49" s="97"/>
      <c r="G49" s="97"/>
      <c r="H49" s="97"/>
      <c r="I49" s="97"/>
    </row>
    <row r="50" spans="1:9" x14ac:dyDescent="0.4">
      <c r="A50" s="71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93227-0625-4AEE-BA86-BC91D23AB12B}">
  <sheetPr>
    <pageSetUpPr autoPageBreaks="0"/>
  </sheetPr>
  <dimension ref="A1:H131"/>
  <sheetViews>
    <sheetView showOutlineSymbols="0" zoomScaleNormal="100" workbookViewId="0">
      <selection activeCell="A5" sqref="A5"/>
    </sheetView>
  </sheetViews>
  <sheetFormatPr defaultColWidth="9.6640625" defaultRowHeight="15" x14ac:dyDescent="0.4"/>
  <cols>
    <col min="1" max="1" width="27.6640625" style="117" customWidth="1"/>
    <col min="2" max="2" width="9.6640625" style="117" customWidth="1"/>
    <col min="3" max="3" width="16.6640625" style="208" customWidth="1"/>
    <col min="4" max="5" width="15.6640625" style="208" customWidth="1"/>
    <col min="6" max="6" width="9.6640625" style="117" customWidth="1"/>
    <col min="7" max="7" width="10.5546875" style="220" customWidth="1"/>
    <col min="8" max="16384" width="9.6640625" style="117"/>
  </cols>
  <sheetData>
    <row r="1" spans="1:8" ht="17.649999999999999" x14ac:dyDescent="0.5">
      <c r="A1" s="115" t="s">
        <v>0</v>
      </c>
      <c r="B1" s="116"/>
      <c r="C1" s="199"/>
      <c r="D1" s="199"/>
      <c r="E1" s="199"/>
      <c r="F1" s="116"/>
      <c r="G1" s="209"/>
    </row>
    <row r="2" spans="1:8" ht="18" customHeight="1" x14ac:dyDescent="0.45">
      <c r="A2" s="118" t="s">
        <v>30</v>
      </c>
      <c r="B2" s="116"/>
      <c r="C2" s="199"/>
      <c r="D2" s="199"/>
      <c r="E2" s="199"/>
      <c r="F2" s="116"/>
      <c r="G2" s="209"/>
    </row>
    <row r="3" spans="1:8" ht="18" customHeight="1" x14ac:dyDescent="0.5">
      <c r="A3" s="282" t="s">
        <v>75</v>
      </c>
      <c r="B3" s="116"/>
      <c r="C3" s="199"/>
      <c r="D3" s="199"/>
      <c r="E3" s="199"/>
      <c r="F3" s="116"/>
      <c r="G3" s="209"/>
    </row>
    <row r="4" spans="1:8" x14ac:dyDescent="0.4">
      <c r="A4" s="283" t="s">
        <v>76</v>
      </c>
      <c r="B4" s="116"/>
      <c r="C4" s="199"/>
      <c r="D4" s="199"/>
      <c r="E4" s="199"/>
      <c r="F4" s="116"/>
      <c r="G4" s="209"/>
    </row>
    <row r="5" spans="1:8" x14ac:dyDescent="0.4">
      <c r="A5" s="116"/>
      <c r="B5" s="116"/>
      <c r="C5" s="199"/>
      <c r="D5" s="199"/>
      <c r="E5" s="199"/>
      <c r="F5" s="116"/>
      <c r="G5" s="210" t="s">
        <v>1</v>
      </c>
    </row>
    <row r="6" spans="1:8" ht="15.4" thickTop="1" x14ac:dyDescent="0.4">
      <c r="A6" s="119"/>
      <c r="B6" s="120" t="s">
        <v>2</v>
      </c>
      <c r="C6" s="200" t="s">
        <v>31</v>
      </c>
      <c r="D6" s="200" t="s">
        <v>31</v>
      </c>
      <c r="E6" s="200" t="s">
        <v>3</v>
      </c>
      <c r="F6" s="121"/>
      <c r="G6" s="211" t="s">
        <v>32</v>
      </c>
      <c r="H6" s="122"/>
    </row>
    <row r="7" spans="1:8" ht="15.4" thickBot="1" x14ac:dyDescent="0.45">
      <c r="A7" s="123" t="s">
        <v>5</v>
      </c>
      <c r="B7" s="124" t="s">
        <v>6</v>
      </c>
      <c r="C7" s="261" t="s">
        <v>33</v>
      </c>
      <c r="D7" s="201" t="s">
        <v>34</v>
      </c>
      <c r="E7" s="201" t="s">
        <v>34</v>
      </c>
      <c r="F7" s="125" t="s">
        <v>8</v>
      </c>
      <c r="G7" s="212" t="s">
        <v>35</v>
      </c>
      <c r="H7" s="122"/>
    </row>
    <row r="8" spans="1:8" ht="15.75" customHeight="1" thickTop="1" x14ac:dyDescent="0.4">
      <c r="A8" s="126"/>
      <c r="B8" s="127"/>
      <c r="C8" s="202"/>
      <c r="D8" s="202"/>
      <c r="E8" s="202"/>
      <c r="F8" s="128"/>
      <c r="G8" s="213"/>
      <c r="H8" s="122"/>
    </row>
    <row r="9" spans="1:8" x14ac:dyDescent="0.4">
      <c r="A9" s="129" t="s">
        <v>36</v>
      </c>
      <c r="B9" s="130">
        <f>DATE(2025,7,1)</f>
        <v>45839</v>
      </c>
      <c r="C9" s="203">
        <v>15157408</v>
      </c>
      <c r="D9" s="203">
        <v>2471172.5</v>
      </c>
      <c r="E9" s="203">
        <v>2142172</v>
      </c>
      <c r="F9" s="131">
        <f t="shared" ref="F9:F14" si="0">(+D9-E9)/E9</f>
        <v>0.15358267216638066</v>
      </c>
      <c r="G9" s="214">
        <f t="shared" ref="G9:G14" si="1">D9/C9</f>
        <v>0.16303397652157942</v>
      </c>
      <c r="H9" s="122"/>
    </row>
    <row r="10" spans="1:8" x14ac:dyDescent="0.4">
      <c r="A10" s="129"/>
      <c r="B10" s="130">
        <f>DATE(2025,8,1)</f>
        <v>45870</v>
      </c>
      <c r="C10" s="203">
        <v>15784114</v>
      </c>
      <c r="D10" s="203">
        <v>2783309</v>
      </c>
      <c r="E10" s="203">
        <v>2238159.9</v>
      </c>
      <c r="F10" s="131">
        <f t="shared" si="0"/>
        <v>0.24357022034037878</v>
      </c>
      <c r="G10" s="214">
        <f t="shared" si="1"/>
        <v>0.17633609336577269</v>
      </c>
      <c r="H10" s="122"/>
    </row>
    <row r="11" spans="1:8" x14ac:dyDescent="0.4">
      <c r="A11" s="129"/>
      <c r="B11" s="130">
        <f>DATE(2025,9,1)</f>
        <v>45901</v>
      </c>
      <c r="C11" s="203">
        <v>14041863</v>
      </c>
      <c r="D11" s="203">
        <v>2434170</v>
      </c>
      <c r="E11" s="203">
        <v>1892412</v>
      </c>
      <c r="F11" s="131">
        <f t="shared" si="0"/>
        <v>0.28627909778631716</v>
      </c>
      <c r="G11" s="214">
        <f t="shared" si="1"/>
        <v>0.17335092928908366</v>
      </c>
      <c r="H11" s="122"/>
    </row>
    <row r="12" spans="1:8" x14ac:dyDescent="0.4">
      <c r="A12" s="129"/>
      <c r="B12" s="130">
        <f>DATE(2025,10,1)</f>
        <v>45931</v>
      </c>
      <c r="C12" s="203">
        <v>14624061</v>
      </c>
      <c r="D12" s="203">
        <v>2183432.5</v>
      </c>
      <c r="E12" s="203">
        <v>1986740.5</v>
      </c>
      <c r="F12" s="131">
        <f t="shared" si="0"/>
        <v>9.9002360902191305E-2</v>
      </c>
      <c r="G12" s="214">
        <f t="shared" si="1"/>
        <v>0.14930411600443955</v>
      </c>
      <c r="H12" s="122"/>
    </row>
    <row r="13" spans="1:8" x14ac:dyDescent="0.4">
      <c r="A13" s="129"/>
      <c r="B13" s="130">
        <f>DATE(2025,11,1)</f>
        <v>45962</v>
      </c>
      <c r="C13" s="203">
        <v>14072429</v>
      </c>
      <c r="D13" s="203">
        <v>2351476</v>
      </c>
      <c r="E13" s="203">
        <v>2262943</v>
      </c>
      <c r="F13" s="131">
        <f t="shared" si="0"/>
        <v>3.9122947418472317E-2</v>
      </c>
      <c r="G13" s="214">
        <f t="shared" si="1"/>
        <v>0.16709808946273597</v>
      </c>
      <c r="H13" s="122"/>
    </row>
    <row r="14" spans="1:8" x14ac:dyDescent="0.4">
      <c r="A14" s="129"/>
      <c r="B14" s="130">
        <f>DATE(2025,12,1)</f>
        <v>45992</v>
      </c>
      <c r="C14" s="203">
        <v>13580516.01</v>
      </c>
      <c r="D14" s="203">
        <v>2279114.5099999998</v>
      </c>
      <c r="E14" s="203">
        <v>2146361.5</v>
      </c>
      <c r="F14" s="131">
        <f t="shared" si="0"/>
        <v>6.1850256818341075E-2</v>
      </c>
      <c r="G14" s="214">
        <f t="shared" si="1"/>
        <v>0.1678223793795299</v>
      </c>
      <c r="H14" s="122"/>
    </row>
    <row r="15" spans="1:8" ht="15.4" thickBot="1" x14ac:dyDescent="0.45">
      <c r="A15" s="132"/>
      <c r="B15" s="133"/>
      <c r="C15" s="203"/>
      <c r="D15" s="203"/>
      <c r="E15" s="203"/>
      <c r="F15" s="131"/>
      <c r="G15" s="214"/>
      <c r="H15" s="122"/>
    </row>
    <row r="16" spans="1:8" ht="15.75" thickTop="1" thickBot="1" x14ac:dyDescent="0.45">
      <c r="A16" s="134" t="s">
        <v>14</v>
      </c>
      <c r="B16" s="135"/>
      <c r="C16" s="200">
        <f>SUM(C9:C15)</f>
        <v>87260391.010000005</v>
      </c>
      <c r="D16" s="200">
        <f>SUM(D9:D15)</f>
        <v>14502674.51</v>
      </c>
      <c r="E16" s="200">
        <f>SUM(E9:E15)</f>
        <v>12668788.9</v>
      </c>
      <c r="F16" s="136">
        <f>(+D16-E16)/E16</f>
        <v>0.14475618975701768</v>
      </c>
      <c r="G16" s="211">
        <f>D16/C16</f>
        <v>0.16619997162673725</v>
      </c>
      <c r="H16" s="122"/>
    </row>
    <row r="17" spans="1:8" ht="15.75" customHeight="1" thickTop="1" x14ac:dyDescent="0.4">
      <c r="A17" s="137"/>
      <c r="B17" s="138"/>
      <c r="C17" s="204"/>
      <c r="D17" s="204"/>
      <c r="E17" s="204"/>
      <c r="F17" s="139"/>
      <c r="G17" s="215"/>
      <c r="H17" s="122"/>
    </row>
    <row r="18" spans="1:8" x14ac:dyDescent="0.4">
      <c r="A18" s="19" t="s">
        <v>15</v>
      </c>
      <c r="B18" s="130">
        <f>DATE(2025,7,1)</f>
        <v>45839</v>
      </c>
      <c r="C18" s="203">
        <v>2659383</v>
      </c>
      <c r="D18" s="203">
        <v>660688.5</v>
      </c>
      <c r="E18" s="203">
        <v>481789</v>
      </c>
      <c r="F18" s="131">
        <f t="shared" ref="F18:F23" si="2">(+D18-E18)/E18</f>
        <v>0.37132333863994404</v>
      </c>
      <c r="G18" s="214">
        <f t="shared" ref="G18:G23" si="3">D18/C18</f>
        <v>0.24843676145933097</v>
      </c>
      <c r="H18" s="122"/>
    </row>
    <row r="19" spans="1:8" x14ac:dyDescent="0.4">
      <c r="A19" s="19"/>
      <c r="B19" s="130">
        <f>DATE(2025,8,1)</f>
        <v>45870</v>
      </c>
      <c r="C19" s="203">
        <v>2981006</v>
      </c>
      <c r="D19" s="203">
        <v>701335</v>
      </c>
      <c r="E19" s="203">
        <v>713769.5</v>
      </c>
      <c r="F19" s="131">
        <f t="shared" si="2"/>
        <v>-1.7420890077258836E-2</v>
      </c>
      <c r="G19" s="214">
        <f t="shared" si="3"/>
        <v>0.23526789278518728</v>
      </c>
      <c r="H19" s="122"/>
    </row>
    <row r="20" spans="1:8" x14ac:dyDescent="0.4">
      <c r="A20" s="19"/>
      <c r="B20" s="130">
        <f>DATE(2025,9,1)</f>
        <v>45901</v>
      </c>
      <c r="C20" s="203">
        <v>2576166</v>
      </c>
      <c r="D20" s="203">
        <v>579552.5</v>
      </c>
      <c r="E20" s="203">
        <v>548040</v>
      </c>
      <c r="F20" s="131">
        <f t="shared" si="2"/>
        <v>5.7500364936865923E-2</v>
      </c>
      <c r="G20" s="214">
        <f t="shared" si="3"/>
        <v>0.22496706345786724</v>
      </c>
      <c r="H20" s="122"/>
    </row>
    <row r="21" spans="1:8" x14ac:dyDescent="0.4">
      <c r="A21" s="19"/>
      <c r="B21" s="130">
        <f>DATE(2025,10,1)</f>
        <v>45931</v>
      </c>
      <c r="C21" s="203">
        <v>2742922</v>
      </c>
      <c r="D21" s="203">
        <v>741986.5</v>
      </c>
      <c r="E21" s="203">
        <v>525427.5</v>
      </c>
      <c r="F21" s="131">
        <f t="shared" si="2"/>
        <v>0.41215771919056388</v>
      </c>
      <c r="G21" s="214">
        <f t="shared" si="3"/>
        <v>0.27050951503542575</v>
      </c>
      <c r="H21" s="122"/>
    </row>
    <row r="22" spans="1:8" x14ac:dyDescent="0.4">
      <c r="A22" s="19"/>
      <c r="B22" s="130">
        <f>DATE(2025,11,1)</f>
        <v>45962</v>
      </c>
      <c r="C22" s="203">
        <v>2884858</v>
      </c>
      <c r="D22" s="203">
        <v>790617.85</v>
      </c>
      <c r="E22" s="203">
        <v>841667.5</v>
      </c>
      <c r="F22" s="131">
        <f t="shared" si="2"/>
        <v>-6.065298945248572E-2</v>
      </c>
      <c r="G22" s="214">
        <f t="shared" si="3"/>
        <v>0.27405780457824958</v>
      </c>
      <c r="H22" s="122"/>
    </row>
    <row r="23" spans="1:8" x14ac:dyDescent="0.4">
      <c r="A23" s="19"/>
      <c r="B23" s="130">
        <f>DATE(2025,12,1)</f>
        <v>45992</v>
      </c>
      <c r="C23" s="203">
        <v>3229577</v>
      </c>
      <c r="D23" s="203">
        <v>799081</v>
      </c>
      <c r="E23" s="203">
        <v>733146</v>
      </c>
      <c r="F23" s="131">
        <f t="shared" si="2"/>
        <v>8.993433777173987E-2</v>
      </c>
      <c r="G23" s="214">
        <f t="shared" si="3"/>
        <v>0.24742590128676295</v>
      </c>
      <c r="H23" s="122"/>
    </row>
    <row r="24" spans="1:8" ht="15.4" thickBot="1" x14ac:dyDescent="0.45">
      <c r="A24" s="132"/>
      <c r="B24" s="130"/>
      <c r="C24" s="203"/>
      <c r="D24" s="203"/>
      <c r="E24" s="203"/>
      <c r="F24" s="131"/>
      <c r="G24" s="214"/>
      <c r="H24" s="122"/>
    </row>
    <row r="25" spans="1:8" ht="15.75" thickTop="1" thickBot="1" x14ac:dyDescent="0.45">
      <c r="A25" s="134" t="s">
        <v>14</v>
      </c>
      <c r="B25" s="135"/>
      <c r="C25" s="200">
        <f>SUM(C18:C24)</f>
        <v>17073912</v>
      </c>
      <c r="D25" s="200">
        <f>SUM(D18:D24)</f>
        <v>4273261.3499999996</v>
      </c>
      <c r="E25" s="200">
        <f>SUM(E18:E24)</f>
        <v>3843839.5</v>
      </c>
      <c r="F25" s="136">
        <f>(+D25-E25)/E25</f>
        <v>0.11171690441289227</v>
      </c>
      <c r="G25" s="211">
        <f>D25/C25</f>
        <v>0.25028015547930665</v>
      </c>
      <c r="H25" s="122"/>
    </row>
    <row r="26" spans="1:8" ht="15.75" customHeight="1" thickTop="1" x14ac:dyDescent="0.4">
      <c r="A26" s="254"/>
      <c r="B26" s="138"/>
      <c r="C26" s="204"/>
      <c r="D26" s="204"/>
      <c r="E26" s="204"/>
      <c r="F26" s="139"/>
      <c r="G26" s="218"/>
      <c r="H26" s="122"/>
    </row>
    <row r="27" spans="1:8" x14ac:dyDescent="0.4">
      <c r="A27" s="19" t="s">
        <v>62</v>
      </c>
      <c r="B27" s="130">
        <f>DATE(2025,7,1)</f>
        <v>45839</v>
      </c>
      <c r="C27" s="203">
        <v>1369130</v>
      </c>
      <c r="D27" s="203">
        <v>348272</v>
      </c>
      <c r="E27" s="203">
        <v>281475</v>
      </c>
      <c r="F27" s="131">
        <f t="shared" ref="F27:F32" si="4">(+D27-E27)/E27</f>
        <v>0.23731059596767032</v>
      </c>
      <c r="G27" s="214">
        <f t="shared" ref="G27:G32" si="5">D27/C27</f>
        <v>0.25437467588906826</v>
      </c>
      <c r="H27" s="122"/>
    </row>
    <row r="28" spans="1:8" x14ac:dyDescent="0.4">
      <c r="A28" s="19"/>
      <c r="B28" s="130">
        <f>DATE(2025,8,1)</f>
        <v>45870</v>
      </c>
      <c r="C28" s="203">
        <v>1473657</v>
      </c>
      <c r="D28" s="203">
        <v>338220.5</v>
      </c>
      <c r="E28" s="203">
        <v>304278.5</v>
      </c>
      <c r="F28" s="131">
        <f t="shared" si="4"/>
        <v>0.11154912358250747</v>
      </c>
      <c r="G28" s="214">
        <f t="shared" si="5"/>
        <v>0.2295110056139251</v>
      </c>
      <c r="H28" s="122"/>
    </row>
    <row r="29" spans="1:8" x14ac:dyDescent="0.4">
      <c r="A29" s="19"/>
      <c r="B29" s="130">
        <f>DATE(2025,9,1)</f>
        <v>45901</v>
      </c>
      <c r="C29" s="203">
        <v>1169185</v>
      </c>
      <c r="D29" s="203">
        <v>224864</v>
      </c>
      <c r="E29" s="203">
        <v>260316</v>
      </c>
      <c r="F29" s="131">
        <f t="shared" si="4"/>
        <v>-0.1361883249588961</v>
      </c>
      <c r="G29" s="214">
        <f t="shared" si="5"/>
        <v>0.19232542326492386</v>
      </c>
      <c r="H29" s="122"/>
    </row>
    <row r="30" spans="1:8" x14ac:dyDescent="0.4">
      <c r="A30" s="19"/>
      <c r="B30" s="130">
        <f>DATE(2025,10,1)</f>
        <v>45931</v>
      </c>
      <c r="C30" s="203">
        <v>1255924</v>
      </c>
      <c r="D30" s="203">
        <v>281184</v>
      </c>
      <c r="E30" s="203">
        <v>198689</v>
      </c>
      <c r="F30" s="131">
        <f t="shared" si="4"/>
        <v>0.41519661380348183</v>
      </c>
      <c r="G30" s="214">
        <f t="shared" si="5"/>
        <v>0.22388615871661025</v>
      </c>
      <c r="H30" s="122"/>
    </row>
    <row r="31" spans="1:8" x14ac:dyDescent="0.4">
      <c r="A31" s="19"/>
      <c r="B31" s="130">
        <f>DATE(2025,11,1)</f>
        <v>45962</v>
      </c>
      <c r="C31" s="203">
        <v>1219942</v>
      </c>
      <c r="D31" s="203">
        <v>312142.5</v>
      </c>
      <c r="E31" s="203">
        <v>414768.5</v>
      </c>
      <c r="F31" s="131">
        <f t="shared" si="4"/>
        <v>-0.24742959024130329</v>
      </c>
      <c r="G31" s="214">
        <f t="shared" si="5"/>
        <v>0.25586667234999699</v>
      </c>
      <c r="H31" s="122"/>
    </row>
    <row r="32" spans="1:8" x14ac:dyDescent="0.4">
      <c r="A32" s="19"/>
      <c r="B32" s="130">
        <f>DATE(2025,12,1)</f>
        <v>45992</v>
      </c>
      <c r="C32" s="203">
        <v>1302288</v>
      </c>
      <c r="D32" s="203">
        <v>326497.5</v>
      </c>
      <c r="E32" s="203">
        <v>415414</v>
      </c>
      <c r="F32" s="131">
        <f t="shared" si="4"/>
        <v>-0.21404309917335476</v>
      </c>
      <c r="G32" s="214">
        <f t="shared" si="5"/>
        <v>0.25071067229368621</v>
      </c>
      <c r="H32" s="122"/>
    </row>
    <row r="33" spans="1:8" ht="15.4" thickBot="1" x14ac:dyDescent="0.45">
      <c r="A33" s="132"/>
      <c r="B33" s="130"/>
      <c r="C33" s="203"/>
      <c r="D33" s="203"/>
      <c r="E33" s="203"/>
      <c r="F33" s="131"/>
      <c r="G33" s="214"/>
      <c r="H33" s="122"/>
    </row>
    <row r="34" spans="1:8" ht="15.75" thickTop="1" thickBot="1" x14ac:dyDescent="0.45">
      <c r="A34" s="140" t="s">
        <v>14</v>
      </c>
      <c r="B34" s="141"/>
      <c r="C34" s="205">
        <f>SUM(C27:C33)</f>
        <v>7790126</v>
      </c>
      <c r="D34" s="205">
        <f>SUM(D27:D33)</f>
        <v>1831180.5</v>
      </c>
      <c r="E34" s="205">
        <f>SUM(E27:E33)</f>
        <v>1874941</v>
      </c>
      <c r="F34" s="142">
        <f>(+D34-E34)/E34</f>
        <v>-2.3339667754878685E-2</v>
      </c>
      <c r="G34" s="216">
        <f>D34/C34</f>
        <v>0.23506429806141774</v>
      </c>
      <c r="H34" s="122"/>
    </row>
    <row r="35" spans="1:8" ht="15.4" thickTop="1" x14ac:dyDescent="0.4">
      <c r="A35" s="132"/>
      <c r="B35" s="133"/>
      <c r="C35" s="203"/>
      <c r="D35" s="203"/>
      <c r="E35" s="203"/>
      <c r="F35" s="131"/>
      <c r="G35" s="217"/>
      <c r="H35" s="122"/>
    </row>
    <row r="36" spans="1:8" x14ac:dyDescent="0.4">
      <c r="A36" s="176" t="s">
        <v>58</v>
      </c>
      <c r="B36" s="130">
        <f>DATE(2025,7,1)</f>
        <v>45839</v>
      </c>
      <c r="C36" s="203">
        <v>16216115</v>
      </c>
      <c r="D36" s="203">
        <v>2993259</v>
      </c>
      <c r="E36" s="203">
        <v>2924457.34</v>
      </c>
      <c r="F36" s="131">
        <f t="shared" ref="F36:F41" si="6">(+D36-E36)/E36</f>
        <v>2.3526299754470056E-2</v>
      </c>
      <c r="G36" s="214">
        <f t="shared" ref="G36:G41" si="7">D36/C36</f>
        <v>0.18458545712089486</v>
      </c>
      <c r="H36" s="122"/>
    </row>
    <row r="37" spans="1:8" x14ac:dyDescent="0.4">
      <c r="A37" s="176"/>
      <c r="B37" s="130">
        <f>DATE(2025,8,1)</f>
        <v>45870</v>
      </c>
      <c r="C37" s="203">
        <v>18602092</v>
      </c>
      <c r="D37" s="203">
        <v>4103671.65</v>
      </c>
      <c r="E37" s="203">
        <v>4174786.65</v>
      </c>
      <c r="F37" s="131">
        <f t="shared" si="6"/>
        <v>-1.7034403422747365E-2</v>
      </c>
      <c r="G37" s="214">
        <f t="shared" si="7"/>
        <v>0.2206026961913746</v>
      </c>
      <c r="H37" s="122"/>
    </row>
    <row r="38" spans="1:8" x14ac:dyDescent="0.4">
      <c r="A38" s="176"/>
      <c r="B38" s="130">
        <f>DATE(2025,9,1)</f>
        <v>45901</v>
      </c>
      <c r="C38" s="203">
        <v>14563965</v>
      </c>
      <c r="D38" s="203">
        <v>3602227.39</v>
      </c>
      <c r="E38" s="203">
        <v>3153365.16</v>
      </c>
      <c r="F38" s="131">
        <f t="shared" si="6"/>
        <v>0.14234387938756829</v>
      </c>
      <c r="G38" s="214">
        <f t="shared" si="7"/>
        <v>0.24733837179641671</v>
      </c>
      <c r="H38" s="122"/>
    </row>
    <row r="39" spans="1:8" x14ac:dyDescent="0.4">
      <c r="A39" s="176"/>
      <c r="B39" s="130">
        <f>DATE(2025,10,1)</f>
        <v>45931</v>
      </c>
      <c r="C39" s="203">
        <v>16207851</v>
      </c>
      <c r="D39" s="203">
        <v>3268929.1</v>
      </c>
      <c r="E39" s="203">
        <v>3337567.1</v>
      </c>
      <c r="F39" s="131">
        <f t="shared" si="6"/>
        <v>-2.056527942164818E-2</v>
      </c>
      <c r="G39" s="214">
        <f t="shared" si="7"/>
        <v>0.20168800293141886</v>
      </c>
      <c r="H39" s="122"/>
    </row>
    <row r="40" spans="1:8" x14ac:dyDescent="0.4">
      <c r="A40" s="176"/>
      <c r="B40" s="130">
        <f>DATE(2025,11,1)</f>
        <v>45962</v>
      </c>
      <c r="C40" s="203">
        <v>15972168</v>
      </c>
      <c r="D40" s="203">
        <v>3050821.8</v>
      </c>
      <c r="E40" s="203">
        <v>2609189.4300000002</v>
      </c>
      <c r="F40" s="131">
        <f t="shared" si="6"/>
        <v>0.16926037064315397</v>
      </c>
      <c r="G40" s="214">
        <f t="shared" si="7"/>
        <v>0.19100862199796545</v>
      </c>
      <c r="H40" s="122"/>
    </row>
    <row r="41" spans="1:8" x14ac:dyDescent="0.4">
      <c r="A41" s="176"/>
      <c r="B41" s="130">
        <f>DATE(2025,12,1)</f>
        <v>45992</v>
      </c>
      <c r="C41" s="203">
        <v>15296289</v>
      </c>
      <c r="D41" s="203">
        <v>3391653.1</v>
      </c>
      <c r="E41" s="203">
        <v>4136219.56</v>
      </c>
      <c r="F41" s="131">
        <f t="shared" si="6"/>
        <v>-0.18001134833374269</v>
      </c>
      <c r="G41" s="214">
        <f t="shared" si="7"/>
        <v>0.22173045370677816</v>
      </c>
      <c r="H41" s="122"/>
    </row>
    <row r="42" spans="1:8" ht="15.75" customHeight="1" thickBot="1" x14ac:dyDescent="0.45">
      <c r="A42" s="132"/>
      <c r="B42" s="133"/>
      <c r="C42" s="203"/>
      <c r="D42" s="203"/>
      <c r="E42" s="203"/>
      <c r="F42" s="131"/>
      <c r="G42" s="214"/>
      <c r="H42" s="122"/>
    </row>
    <row r="43" spans="1:8" ht="17.25" customHeight="1" thickTop="1" thickBot="1" x14ac:dyDescent="0.45">
      <c r="A43" s="140" t="s">
        <v>14</v>
      </c>
      <c r="B43" s="141"/>
      <c r="C43" s="205">
        <f>SUM(C36:C42)</f>
        <v>96858480</v>
      </c>
      <c r="D43" s="205">
        <f>SUM(D36:D42)</f>
        <v>20410562.040000003</v>
      </c>
      <c r="E43" s="205">
        <f>SUM(E36:E42)</f>
        <v>20335585.239999998</v>
      </c>
      <c r="F43" s="142">
        <f>(+D43-E43)/E43</f>
        <v>3.6869752758590625E-3</v>
      </c>
      <c r="G43" s="216">
        <f>D43/C43</f>
        <v>0.21072560750488759</v>
      </c>
      <c r="H43" s="122"/>
    </row>
    <row r="44" spans="1:8" ht="15.75" customHeight="1" thickTop="1" x14ac:dyDescent="0.4">
      <c r="A44" s="132"/>
      <c r="B44" s="133"/>
      <c r="C44" s="203"/>
      <c r="D44" s="203"/>
      <c r="E44" s="203"/>
      <c r="F44" s="131"/>
      <c r="G44" s="217"/>
      <c r="H44" s="122"/>
    </row>
    <row r="45" spans="1:8" ht="15" customHeight="1" x14ac:dyDescent="0.4">
      <c r="A45" s="129" t="s">
        <v>60</v>
      </c>
      <c r="B45" s="130">
        <f>DATE(2025,7,1)</f>
        <v>45839</v>
      </c>
      <c r="C45" s="203">
        <v>14883360</v>
      </c>
      <c r="D45" s="203">
        <v>3222320.5</v>
      </c>
      <c r="E45" s="203">
        <v>2983132</v>
      </c>
      <c r="F45" s="131">
        <f t="shared" ref="F45:F50" si="8">(+D45-E45)/E45</f>
        <v>8.0180327253369946E-2</v>
      </c>
      <c r="G45" s="214">
        <f t="shared" ref="G45:G50" si="9">D45/C45</f>
        <v>0.21650490883778931</v>
      </c>
      <c r="H45" s="122"/>
    </row>
    <row r="46" spans="1:8" ht="15" customHeight="1" x14ac:dyDescent="0.4">
      <c r="A46" s="129"/>
      <c r="B46" s="130">
        <f>DATE(2025,8,1)</f>
        <v>45870</v>
      </c>
      <c r="C46" s="203">
        <v>16264831</v>
      </c>
      <c r="D46" s="203">
        <v>3938155</v>
      </c>
      <c r="E46" s="203">
        <v>3594985</v>
      </c>
      <c r="F46" s="131">
        <f t="shared" si="8"/>
        <v>9.5457978266946866E-2</v>
      </c>
      <c r="G46" s="214">
        <f t="shared" si="9"/>
        <v>0.2421270162598062</v>
      </c>
      <c r="H46" s="122"/>
    </row>
    <row r="47" spans="1:8" ht="15" customHeight="1" x14ac:dyDescent="0.4">
      <c r="A47" s="129"/>
      <c r="B47" s="130">
        <f>DATE(2025,9,1)</f>
        <v>45901</v>
      </c>
      <c r="C47" s="203">
        <v>14529351</v>
      </c>
      <c r="D47" s="203">
        <v>4156517.5</v>
      </c>
      <c r="E47" s="203">
        <v>3439229.31</v>
      </c>
      <c r="F47" s="131">
        <f t="shared" si="8"/>
        <v>0.20856073420704824</v>
      </c>
      <c r="G47" s="214">
        <f t="shared" si="9"/>
        <v>0.28607729966741113</v>
      </c>
      <c r="H47" s="122"/>
    </row>
    <row r="48" spans="1:8" ht="15" customHeight="1" x14ac:dyDescent="0.4">
      <c r="A48" s="129"/>
      <c r="B48" s="130">
        <f>DATE(2025,10,1)</f>
        <v>45931</v>
      </c>
      <c r="C48" s="203">
        <v>16497251</v>
      </c>
      <c r="D48" s="203">
        <v>2284128.5</v>
      </c>
      <c r="E48" s="203">
        <v>3362463</v>
      </c>
      <c r="F48" s="131">
        <f t="shared" si="8"/>
        <v>-0.32069780396096553</v>
      </c>
      <c r="G48" s="214">
        <f t="shared" si="9"/>
        <v>0.13845509776143916</v>
      </c>
      <c r="H48" s="122"/>
    </row>
    <row r="49" spans="1:8" ht="15" customHeight="1" x14ac:dyDescent="0.4">
      <c r="A49" s="129"/>
      <c r="B49" s="130">
        <f>DATE(2025,11,1)</f>
        <v>45962</v>
      </c>
      <c r="C49" s="203">
        <v>16036910</v>
      </c>
      <c r="D49" s="203">
        <v>2799237</v>
      </c>
      <c r="E49" s="203">
        <v>3369905</v>
      </c>
      <c r="F49" s="131">
        <f t="shared" si="8"/>
        <v>-0.16934245920879076</v>
      </c>
      <c r="G49" s="214">
        <f t="shared" si="9"/>
        <v>0.17454964828012379</v>
      </c>
      <c r="H49" s="122"/>
    </row>
    <row r="50" spans="1:8" ht="15" customHeight="1" x14ac:dyDescent="0.4">
      <c r="A50" s="129"/>
      <c r="B50" s="130">
        <f>DATE(2025,12,1)</f>
        <v>45992</v>
      </c>
      <c r="C50" s="203">
        <v>16247750</v>
      </c>
      <c r="D50" s="203">
        <v>4184833</v>
      </c>
      <c r="E50" s="203">
        <v>3459971</v>
      </c>
      <c r="F50" s="131">
        <f t="shared" si="8"/>
        <v>0.20949944378146523</v>
      </c>
      <c r="G50" s="214">
        <f t="shared" si="9"/>
        <v>0.2575638473019341</v>
      </c>
      <c r="H50" s="122"/>
    </row>
    <row r="51" spans="1:8" ht="15.4" thickBot="1" x14ac:dyDescent="0.45">
      <c r="A51" s="132"/>
      <c r="B51" s="130"/>
      <c r="C51" s="203"/>
      <c r="D51" s="203"/>
      <c r="E51" s="203"/>
      <c r="F51" s="131"/>
      <c r="G51" s="214"/>
      <c r="H51" s="122"/>
    </row>
    <row r="52" spans="1:8" ht="17.25" customHeight="1" thickTop="1" thickBot="1" x14ac:dyDescent="0.45">
      <c r="A52" s="140" t="s">
        <v>14</v>
      </c>
      <c r="B52" s="141"/>
      <c r="C52" s="206">
        <f>SUM(C45:C51)</f>
        <v>94459453</v>
      </c>
      <c r="D52" s="260">
        <f>SUM(D45:D51)</f>
        <v>20585191.5</v>
      </c>
      <c r="E52" s="205">
        <f>SUM(E45:E51)</f>
        <v>20209685.310000002</v>
      </c>
      <c r="F52" s="267">
        <f>(+D52-E52)/E52</f>
        <v>1.8580506536348317E-2</v>
      </c>
      <c r="G52" s="266">
        <f>D52/C52</f>
        <v>0.21792621962356695</v>
      </c>
      <c r="H52" s="122"/>
    </row>
    <row r="53" spans="1:8" ht="15.75" customHeight="1" thickTop="1" x14ac:dyDescent="0.4">
      <c r="A53" s="129"/>
      <c r="B53" s="133"/>
      <c r="C53" s="203"/>
      <c r="D53" s="203"/>
      <c r="E53" s="203"/>
      <c r="F53" s="131"/>
      <c r="G53" s="217"/>
      <c r="H53" s="122"/>
    </row>
    <row r="54" spans="1:8" x14ac:dyDescent="0.4">
      <c r="A54" s="129" t="s">
        <v>64</v>
      </c>
      <c r="B54" s="130">
        <f>DATE(2025,7,1)</f>
        <v>45839</v>
      </c>
      <c r="C54" s="203">
        <v>3331757</v>
      </c>
      <c r="D54" s="203">
        <v>734009.5</v>
      </c>
      <c r="E54" s="203">
        <v>749499</v>
      </c>
      <c r="F54" s="131">
        <f t="shared" ref="F54:F59" si="10">(+D54-E54)/E54</f>
        <v>-2.0666471869875743E-2</v>
      </c>
      <c r="G54" s="214">
        <f t="shared" ref="G54:G59" si="11">D54/C54</f>
        <v>0.2203070331959984</v>
      </c>
      <c r="H54" s="122"/>
    </row>
    <row r="55" spans="1:8" x14ac:dyDescent="0.4">
      <c r="A55" s="129"/>
      <c r="B55" s="130">
        <f>DATE(2025,8,1)</f>
        <v>45870</v>
      </c>
      <c r="C55" s="203">
        <v>3602540</v>
      </c>
      <c r="D55" s="203">
        <v>626879.5</v>
      </c>
      <c r="E55" s="203">
        <v>714655.5</v>
      </c>
      <c r="F55" s="131">
        <f t="shared" si="10"/>
        <v>-0.12282281462886664</v>
      </c>
      <c r="G55" s="214">
        <f t="shared" si="11"/>
        <v>0.17401042042558862</v>
      </c>
      <c r="H55" s="122"/>
    </row>
    <row r="56" spans="1:8" x14ac:dyDescent="0.4">
      <c r="A56" s="129"/>
      <c r="B56" s="130">
        <f>DATE(2025,9,1)</f>
        <v>45901</v>
      </c>
      <c r="C56" s="203">
        <v>3228814</v>
      </c>
      <c r="D56" s="203">
        <v>822920.5</v>
      </c>
      <c r="E56" s="203">
        <v>930975</v>
      </c>
      <c r="F56" s="131">
        <f t="shared" si="10"/>
        <v>-0.11606595236177127</v>
      </c>
      <c r="G56" s="214">
        <f t="shared" si="11"/>
        <v>0.25486773161910226</v>
      </c>
      <c r="H56" s="122"/>
    </row>
    <row r="57" spans="1:8" x14ac:dyDescent="0.4">
      <c r="A57" s="129"/>
      <c r="B57" s="130">
        <f>DATE(2025,10,1)</f>
        <v>45931</v>
      </c>
      <c r="C57" s="203">
        <v>2806028</v>
      </c>
      <c r="D57" s="203">
        <v>608944.5</v>
      </c>
      <c r="E57" s="203">
        <v>723018.5</v>
      </c>
      <c r="F57" s="131">
        <f t="shared" si="10"/>
        <v>-0.1577746627506765</v>
      </c>
      <c r="G57" s="214">
        <f t="shared" si="11"/>
        <v>0.21701298062599517</v>
      </c>
      <c r="H57" s="122"/>
    </row>
    <row r="58" spans="1:8" x14ac:dyDescent="0.4">
      <c r="A58" s="129"/>
      <c r="B58" s="130">
        <f>DATE(2025,11,1)</f>
        <v>45962</v>
      </c>
      <c r="C58" s="203">
        <v>3088319</v>
      </c>
      <c r="D58" s="203">
        <v>710777</v>
      </c>
      <c r="E58" s="203">
        <v>655674</v>
      </c>
      <c r="F58" s="131">
        <f t="shared" si="10"/>
        <v>8.4040239509268325E-2</v>
      </c>
      <c r="G58" s="214">
        <f t="shared" si="11"/>
        <v>0.23015012374045557</v>
      </c>
      <c r="H58" s="122"/>
    </row>
    <row r="59" spans="1:8" x14ac:dyDescent="0.4">
      <c r="A59" s="129"/>
      <c r="B59" s="130">
        <f>DATE(2025,12,1)</f>
        <v>45992</v>
      </c>
      <c r="C59" s="203">
        <v>3537612</v>
      </c>
      <c r="D59" s="203">
        <v>846553.5</v>
      </c>
      <c r="E59" s="203">
        <v>815712</v>
      </c>
      <c r="F59" s="131">
        <f t="shared" si="10"/>
        <v>3.7809300341296925E-2</v>
      </c>
      <c r="G59" s="214">
        <f t="shared" si="11"/>
        <v>0.23930083344357719</v>
      </c>
      <c r="H59" s="122"/>
    </row>
    <row r="60" spans="1:8" ht="15.75" customHeight="1" thickBot="1" x14ac:dyDescent="0.45">
      <c r="A60" s="129"/>
      <c r="B60" s="130"/>
      <c r="C60" s="203"/>
      <c r="D60" s="203"/>
      <c r="E60" s="203"/>
      <c r="F60" s="131"/>
      <c r="G60" s="214"/>
      <c r="H60" s="122"/>
    </row>
    <row r="61" spans="1:8" ht="15.75" thickTop="1" thickBot="1" x14ac:dyDescent="0.45">
      <c r="A61" s="140" t="s">
        <v>14</v>
      </c>
      <c r="B61" s="141"/>
      <c r="C61" s="206">
        <f>SUM(C54:C60)</f>
        <v>19595070</v>
      </c>
      <c r="D61" s="260">
        <f>SUM(D54:D60)</f>
        <v>4350084.5</v>
      </c>
      <c r="E61" s="206">
        <f>SUM(E54:E60)</f>
        <v>4589534</v>
      </c>
      <c r="F61" s="267">
        <f>(+D61-E61)/E61</f>
        <v>-5.2172943919796648E-2</v>
      </c>
      <c r="G61" s="266">
        <f>D61/C61</f>
        <v>0.22199892626053391</v>
      </c>
      <c r="H61" s="122"/>
    </row>
    <row r="62" spans="1:8" ht="15.75" customHeight="1" thickTop="1" x14ac:dyDescent="0.4">
      <c r="A62" s="129"/>
      <c r="B62" s="133"/>
      <c r="C62" s="203"/>
      <c r="D62" s="203"/>
      <c r="E62" s="203"/>
      <c r="F62" s="131"/>
      <c r="G62" s="217"/>
      <c r="H62" s="122"/>
    </row>
    <row r="63" spans="1:8" x14ac:dyDescent="0.4">
      <c r="A63" s="129" t="s">
        <v>67</v>
      </c>
      <c r="B63" s="130">
        <f>DATE(2025,7,1)</f>
        <v>45839</v>
      </c>
      <c r="C63" s="203">
        <v>3744976</v>
      </c>
      <c r="D63" s="203">
        <v>651025.5</v>
      </c>
      <c r="E63" s="203">
        <v>1112358.5</v>
      </c>
      <c r="F63" s="131">
        <f t="shared" ref="F63:F68" si="12">(+D63-E63)/E63</f>
        <v>-0.41473409876402256</v>
      </c>
      <c r="G63" s="214">
        <f t="shared" ref="G63:G68" si="13">D63/C63</f>
        <v>0.17383969883919148</v>
      </c>
      <c r="H63" s="122"/>
    </row>
    <row r="64" spans="1:8" x14ac:dyDescent="0.4">
      <c r="A64" s="129"/>
      <c r="B64" s="130">
        <f>DATE(2025,8,1)</f>
        <v>45870</v>
      </c>
      <c r="C64" s="203">
        <v>4062461</v>
      </c>
      <c r="D64" s="203">
        <v>722686</v>
      </c>
      <c r="E64" s="203">
        <v>743956</v>
      </c>
      <c r="F64" s="131">
        <f t="shared" si="12"/>
        <v>-2.8590400507556898E-2</v>
      </c>
      <c r="G64" s="214">
        <f t="shared" si="13"/>
        <v>0.17789364624054238</v>
      </c>
      <c r="H64" s="122"/>
    </row>
    <row r="65" spans="1:8" x14ac:dyDescent="0.4">
      <c r="A65" s="129"/>
      <c r="B65" s="130">
        <f>DATE(2025,9,1)</f>
        <v>45901</v>
      </c>
      <c r="C65" s="203">
        <v>3460423</v>
      </c>
      <c r="D65" s="203">
        <v>651690.5</v>
      </c>
      <c r="E65" s="203">
        <v>865028.5</v>
      </c>
      <c r="F65" s="131">
        <f t="shared" si="12"/>
        <v>-0.24662540020357709</v>
      </c>
      <c r="G65" s="214">
        <f t="shared" si="13"/>
        <v>0.18832683171970593</v>
      </c>
      <c r="H65" s="122"/>
    </row>
    <row r="66" spans="1:8" x14ac:dyDescent="0.4">
      <c r="A66" s="129"/>
      <c r="B66" s="130">
        <f>DATE(2025,10,1)</f>
        <v>45931</v>
      </c>
      <c r="C66" s="203">
        <v>3680288</v>
      </c>
      <c r="D66" s="203">
        <v>602434</v>
      </c>
      <c r="E66" s="203">
        <v>1107084</v>
      </c>
      <c r="F66" s="131">
        <f t="shared" si="12"/>
        <v>-0.45583713611613935</v>
      </c>
      <c r="G66" s="214">
        <f t="shared" si="13"/>
        <v>0.16369208061977758</v>
      </c>
      <c r="H66" s="122"/>
    </row>
    <row r="67" spans="1:8" x14ac:dyDescent="0.4">
      <c r="A67" s="129"/>
      <c r="B67" s="130">
        <f>DATE(2025,11,1)</f>
        <v>45962</v>
      </c>
      <c r="C67" s="203">
        <v>3491764</v>
      </c>
      <c r="D67" s="203">
        <v>509595</v>
      </c>
      <c r="E67" s="203">
        <v>422535.5</v>
      </c>
      <c r="F67" s="131">
        <f t="shared" si="12"/>
        <v>0.20604067587220481</v>
      </c>
      <c r="G67" s="214">
        <f t="shared" si="13"/>
        <v>0.14594199378881276</v>
      </c>
      <c r="H67" s="122"/>
    </row>
    <row r="68" spans="1:8" x14ac:dyDescent="0.4">
      <c r="A68" s="129"/>
      <c r="B68" s="130">
        <f>DATE(2025,12,1)</f>
        <v>45992</v>
      </c>
      <c r="C68" s="203">
        <v>3273374</v>
      </c>
      <c r="D68" s="203">
        <v>573062.5</v>
      </c>
      <c r="E68" s="203">
        <v>665807</v>
      </c>
      <c r="F68" s="131">
        <f t="shared" si="12"/>
        <v>-0.13929637267256126</v>
      </c>
      <c r="G68" s="214">
        <f t="shared" si="13"/>
        <v>0.17506783520612065</v>
      </c>
      <c r="H68" s="122"/>
    </row>
    <row r="69" spans="1:8" ht="15.75" customHeight="1" thickBot="1" x14ac:dyDescent="0.45">
      <c r="A69" s="129"/>
      <c r="B69" s="130"/>
      <c r="C69" s="203"/>
      <c r="D69" s="203"/>
      <c r="E69" s="203"/>
      <c r="F69" s="131"/>
      <c r="G69" s="214"/>
      <c r="H69" s="122"/>
    </row>
    <row r="70" spans="1:8" ht="15.75" thickTop="1" thickBot="1" x14ac:dyDescent="0.45">
      <c r="A70" s="140" t="s">
        <v>14</v>
      </c>
      <c r="B70" s="141"/>
      <c r="C70" s="206">
        <f>SUM(C63:C69)</f>
        <v>21713286</v>
      </c>
      <c r="D70" s="260">
        <f>SUM(D63:D69)</f>
        <v>3710493.5</v>
      </c>
      <c r="E70" s="206">
        <f>SUM(E63:E69)</f>
        <v>4916769.5</v>
      </c>
      <c r="F70" s="268">
        <f>(+D70-E70)/E70</f>
        <v>-0.24533913985595623</v>
      </c>
      <c r="G70" s="266">
        <f>D70/C70</f>
        <v>0.17088585762652414</v>
      </c>
      <c r="H70" s="122"/>
    </row>
    <row r="71" spans="1:8" ht="15.75" customHeight="1" thickTop="1" x14ac:dyDescent="0.4">
      <c r="A71" s="129"/>
      <c r="B71" s="138"/>
      <c r="C71" s="204"/>
      <c r="D71" s="204"/>
      <c r="E71" s="204"/>
      <c r="F71" s="139"/>
      <c r="G71" s="215"/>
      <c r="H71" s="122"/>
    </row>
    <row r="72" spans="1:8" x14ac:dyDescent="0.4">
      <c r="A72" s="129" t="s">
        <v>69</v>
      </c>
      <c r="B72" s="130">
        <f>DATE(2025,7,1)</f>
        <v>45839</v>
      </c>
      <c r="C72" s="203">
        <v>7856217</v>
      </c>
      <c r="D72" s="203">
        <v>1689752.84</v>
      </c>
      <c r="E72" s="203">
        <v>1491620.4</v>
      </c>
      <c r="F72" s="131">
        <f t="shared" ref="F72:F77" si="14">(+D72-E72)/E72</f>
        <v>0.13283033672642194</v>
      </c>
      <c r="G72" s="214">
        <f t="shared" ref="G72:G77" si="15">D72/C72</f>
        <v>0.21508479717400883</v>
      </c>
      <c r="H72" s="122"/>
    </row>
    <row r="73" spans="1:8" x14ac:dyDescent="0.4">
      <c r="A73" s="129"/>
      <c r="B73" s="130">
        <f>DATE(2025,8,1)</f>
        <v>45870</v>
      </c>
      <c r="C73" s="203">
        <v>8255461</v>
      </c>
      <c r="D73" s="203">
        <v>2210201.46</v>
      </c>
      <c r="E73" s="203">
        <v>1342748.66</v>
      </c>
      <c r="F73" s="131">
        <f t="shared" si="14"/>
        <v>0.6460276787764585</v>
      </c>
      <c r="G73" s="214">
        <f t="shared" si="15"/>
        <v>0.26772598889389704</v>
      </c>
      <c r="H73" s="122"/>
    </row>
    <row r="74" spans="1:8" x14ac:dyDescent="0.4">
      <c r="A74" s="129"/>
      <c r="B74" s="130">
        <f>DATE(2025,9,1)</f>
        <v>45901</v>
      </c>
      <c r="C74" s="203">
        <v>7703181.5</v>
      </c>
      <c r="D74" s="203">
        <v>1784251.36</v>
      </c>
      <c r="E74" s="203">
        <v>1469217.16</v>
      </c>
      <c r="F74" s="131">
        <f t="shared" si="14"/>
        <v>0.21442316941084474</v>
      </c>
      <c r="G74" s="214">
        <f t="shared" si="15"/>
        <v>0.23162525250119059</v>
      </c>
      <c r="H74" s="122"/>
    </row>
    <row r="75" spans="1:8" x14ac:dyDescent="0.4">
      <c r="A75" s="129"/>
      <c r="B75" s="130">
        <f>DATE(2025,10,1)</f>
        <v>45931</v>
      </c>
      <c r="C75" s="203">
        <v>7807917</v>
      </c>
      <c r="D75" s="203">
        <v>1573225</v>
      </c>
      <c r="E75" s="203">
        <v>1142918.93</v>
      </c>
      <c r="F75" s="131">
        <f t="shared" si="14"/>
        <v>0.37649745638564242</v>
      </c>
      <c r="G75" s="214">
        <f t="shared" si="15"/>
        <v>0.20149099945606491</v>
      </c>
      <c r="H75" s="122"/>
    </row>
    <row r="76" spans="1:8" x14ac:dyDescent="0.4">
      <c r="A76" s="129"/>
      <c r="B76" s="130">
        <f>DATE(2025,11,1)</f>
        <v>45962</v>
      </c>
      <c r="C76" s="203">
        <v>8357680</v>
      </c>
      <c r="D76" s="203">
        <v>1842690.87</v>
      </c>
      <c r="E76" s="203">
        <v>1529575.8</v>
      </c>
      <c r="F76" s="131">
        <f t="shared" si="14"/>
        <v>0.2047071286038914</v>
      </c>
      <c r="G76" s="214">
        <f t="shared" si="15"/>
        <v>0.22047875367326819</v>
      </c>
      <c r="H76" s="122"/>
    </row>
    <row r="77" spans="1:8" x14ac:dyDescent="0.4">
      <c r="A77" s="129"/>
      <c r="B77" s="130">
        <f>DATE(2025,12,1)</f>
        <v>45992</v>
      </c>
      <c r="C77" s="203">
        <v>8744850</v>
      </c>
      <c r="D77" s="203">
        <v>1829648.59</v>
      </c>
      <c r="E77" s="203">
        <v>1401284</v>
      </c>
      <c r="F77" s="131">
        <f t="shared" si="14"/>
        <v>0.30569434176084226</v>
      </c>
      <c r="G77" s="214">
        <f t="shared" si="15"/>
        <v>0.2092258403517499</v>
      </c>
      <c r="H77" s="122"/>
    </row>
    <row r="78" spans="1:8" ht="15.75" customHeight="1" thickBot="1" x14ac:dyDescent="0.45">
      <c r="A78" s="129"/>
      <c r="B78" s="130"/>
      <c r="C78" s="203"/>
      <c r="D78" s="203"/>
      <c r="E78" s="203"/>
      <c r="F78" s="131"/>
      <c r="G78" s="214"/>
      <c r="H78" s="122"/>
    </row>
    <row r="79" spans="1:8" ht="15.75" thickTop="1" thickBot="1" x14ac:dyDescent="0.45">
      <c r="A79" s="140" t="s">
        <v>14</v>
      </c>
      <c r="B79" s="141"/>
      <c r="C79" s="205">
        <f>SUM(C72:C78)</f>
        <v>48725306.5</v>
      </c>
      <c r="D79" s="205">
        <f>SUM(D72:D78)</f>
        <v>10929770.120000001</v>
      </c>
      <c r="E79" s="205">
        <f>SUM(E72:E78)</f>
        <v>8377364.9499999993</v>
      </c>
      <c r="F79" s="142">
        <f>(+D79-E79)/E79</f>
        <v>0.30467876059285232</v>
      </c>
      <c r="G79" s="216">
        <f>D79/C79</f>
        <v>0.22431403525393936</v>
      </c>
      <c r="H79" s="122"/>
    </row>
    <row r="80" spans="1:8" ht="15.75" customHeight="1" thickTop="1" x14ac:dyDescent="0.4">
      <c r="A80" s="137"/>
      <c r="B80" s="138"/>
      <c r="C80" s="204"/>
      <c r="D80" s="204"/>
      <c r="E80" s="204"/>
      <c r="F80" s="139"/>
      <c r="G80" s="215"/>
      <c r="H80" s="122"/>
    </row>
    <row r="81" spans="1:8" x14ac:dyDescent="0.4">
      <c r="A81" s="129" t="s">
        <v>16</v>
      </c>
      <c r="B81" s="130">
        <f>DATE(2025,7,1)</f>
        <v>45839</v>
      </c>
      <c r="C81" s="203">
        <v>9457573</v>
      </c>
      <c r="D81" s="203">
        <v>2213338.5</v>
      </c>
      <c r="E81" s="203">
        <v>2089350</v>
      </c>
      <c r="F81" s="131">
        <f t="shared" ref="F81:F86" si="16">(+D81-E81)/E81</f>
        <v>5.9343097135472755E-2</v>
      </c>
      <c r="G81" s="214">
        <f t="shared" ref="G81:G86" si="17">D81/C81</f>
        <v>0.23402816980635519</v>
      </c>
      <c r="H81" s="122"/>
    </row>
    <row r="82" spans="1:8" x14ac:dyDescent="0.4">
      <c r="A82" s="129"/>
      <c r="B82" s="130">
        <f>DATE(2025,8,1)</f>
        <v>45870</v>
      </c>
      <c r="C82" s="203">
        <v>9990142</v>
      </c>
      <c r="D82" s="203">
        <v>1935718.5</v>
      </c>
      <c r="E82" s="203">
        <v>2032596</v>
      </c>
      <c r="F82" s="131">
        <f t="shared" si="16"/>
        <v>-4.7661955450074685E-2</v>
      </c>
      <c r="G82" s="214">
        <f t="shared" si="17"/>
        <v>0.19376286142879651</v>
      </c>
      <c r="H82" s="122"/>
    </row>
    <row r="83" spans="1:8" x14ac:dyDescent="0.4">
      <c r="A83" s="129"/>
      <c r="B83" s="130">
        <f>DATE(2025,9,1)</f>
        <v>45901</v>
      </c>
      <c r="C83" s="203">
        <v>9229587</v>
      </c>
      <c r="D83" s="203">
        <v>1857060</v>
      </c>
      <c r="E83" s="203">
        <v>2006849.5</v>
      </c>
      <c r="F83" s="131">
        <f t="shared" si="16"/>
        <v>-7.4639129640762802E-2</v>
      </c>
      <c r="G83" s="214">
        <f t="shared" si="17"/>
        <v>0.20120726962105673</v>
      </c>
      <c r="H83" s="122"/>
    </row>
    <row r="84" spans="1:8" x14ac:dyDescent="0.4">
      <c r="A84" s="129"/>
      <c r="B84" s="130">
        <f>DATE(2025,10,1)</f>
        <v>45931</v>
      </c>
      <c r="C84" s="203">
        <v>10041578</v>
      </c>
      <c r="D84" s="203">
        <v>1785644</v>
      </c>
      <c r="E84" s="203">
        <v>1749191</v>
      </c>
      <c r="F84" s="131">
        <f t="shared" si="16"/>
        <v>2.0839919711455181E-2</v>
      </c>
      <c r="G84" s="214">
        <f t="shared" si="17"/>
        <v>0.17782503905262698</v>
      </c>
      <c r="H84" s="122"/>
    </row>
    <row r="85" spans="1:8" x14ac:dyDescent="0.4">
      <c r="A85" s="129"/>
      <c r="B85" s="130">
        <f>DATE(2025,11,1)</f>
        <v>45962</v>
      </c>
      <c r="C85" s="203">
        <v>9732288</v>
      </c>
      <c r="D85" s="203">
        <v>1892637.5</v>
      </c>
      <c r="E85" s="203">
        <v>1908483</v>
      </c>
      <c r="F85" s="131">
        <f t="shared" si="16"/>
        <v>-8.3026676161118539E-3</v>
      </c>
      <c r="G85" s="214">
        <f t="shared" si="17"/>
        <v>0.19446994375834337</v>
      </c>
      <c r="H85" s="122"/>
    </row>
    <row r="86" spans="1:8" x14ac:dyDescent="0.4">
      <c r="A86" s="129"/>
      <c r="B86" s="130">
        <f>DATE(2025,12,1)</f>
        <v>45992</v>
      </c>
      <c r="C86" s="203">
        <v>10260701</v>
      </c>
      <c r="D86" s="203">
        <v>1882355</v>
      </c>
      <c r="E86" s="203">
        <v>1872226</v>
      </c>
      <c r="F86" s="131">
        <f t="shared" si="16"/>
        <v>5.4101374513546973E-3</v>
      </c>
      <c r="G86" s="214">
        <f t="shared" si="17"/>
        <v>0.18345286545237016</v>
      </c>
      <c r="H86" s="122"/>
    </row>
    <row r="87" spans="1:8" ht="15.75" customHeight="1" thickBot="1" x14ac:dyDescent="0.45">
      <c r="A87" s="129"/>
      <c r="B87" s="130"/>
      <c r="C87" s="203"/>
      <c r="D87" s="203"/>
      <c r="E87" s="203"/>
      <c r="F87" s="131"/>
      <c r="G87" s="214"/>
      <c r="H87" s="122"/>
    </row>
    <row r="88" spans="1:8" ht="15.75" thickTop="1" thickBot="1" x14ac:dyDescent="0.45">
      <c r="A88" s="140" t="s">
        <v>14</v>
      </c>
      <c r="B88" s="141"/>
      <c r="C88" s="205">
        <f>SUM(C81:C87)</f>
        <v>58711869</v>
      </c>
      <c r="D88" s="205">
        <f>SUM(D81:D87)</f>
        <v>11566753.5</v>
      </c>
      <c r="E88" s="205">
        <f>SUM(E81:E87)</f>
        <v>11658695.5</v>
      </c>
      <c r="F88" s="142">
        <f>(+D88-E88)/E88</f>
        <v>-7.8861309998189758E-3</v>
      </c>
      <c r="G88" s="216">
        <f>D88/C88</f>
        <v>0.19700877687950966</v>
      </c>
      <c r="H88" s="122"/>
    </row>
    <row r="89" spans="1:8" ht="15.75" customHeight="1" thickTop="1" x14ac:dyDescent="0.4">
      <c r="A89" s="137"/>
      <c r="B89" s="138"/>
      <c r="C89" s="204"/>
      <c r="D89" s="204"/>
      <c r="E89" s="204"/>
      <c r="F89" s="139"/>
      <c r="G89" s="215"/>
      <c r="H89" s="122"/>
    </row>
    <row r="90" spans="1:8" x14ac:dyDescent="0.4">
      <c r="A90" s="129" t="s">
        <v>53</v>
      </c>
      <c r="B90" s="130">
        <f>DATE(2025,7,1)</f>
        <v>45839</v>
      </c>
      <c r="C90" s="203">
        <v>15237163</v>
      </c>
      <c r="D90" s="203">
        <v>2238507.35</v>
      </c>
      <c r="E90" s="203">
        <v>2603604.12</v>
      </c>
      <c r="F90" s="131">
        <f t="shared" ref="F90:F95" si="18">(+D90-E90)/E90</f>
        <v>-0.14022745132236156</v>
      </c>
      <c r="G90" s="214">
        <f t="shared" ref="G90:G95" si="19">D90/C90</f>
        <v>0.14691103258526539</v>
      </c>
      <c r="H90" s="122"/>
    </row>
    <row r="91" spans="1:8" x14ac:dyDescent="0.4">
      <c r="A91" s="129"/>
      <c r="B91" s="130">
        <f>DATE(2025,8,1)</f>
        <v>45870</v>
      </c>
      <c r="C91" s="203">
        <v>15717335</v>
      </c>
      <c r="D91" s="203">
        <v>3124514.38</v>
      </c>
      <c r="E91" s="203">
        <v>2949818.5</v>
      </c>
      <c r="F91" s="131">
        <f t="shared" si="18"/>
        <v>5.922258606758344E-2</v>
      </c>
      <c r="G91" s="214">
        <f t="shared" si="19"/>
        <v>0.1987941581699442</v>
      </c>
      <c r="H91" s="122"/>
    </row>
    <row r="92" spans="1:8" x14ac:dyDescent="0.4">
      <c r="A92" s="129"/>
      <c r="B92" s="130">
        <f>DATE(2025,9,1)</f>
        <v>45901</v>
      </c>
      <c r="C92" s="203">
        <v>13914068</v>
      </c>
      <c r="D92" s="203">
        <v>2710984.71</v>
      </c>
      <c r="E92" s="203">
        <v>2558580.2400000002</v>
      </c>
      <c r="F92" s="131">
        <f t="shared" si="18"/>
        <v>5.9566031042278249E-2</v>
      </c>
      <c r="G92" s="214">
        <f t="shared" si="19"/>
        <v>0.1948376786716868</v>
      </c>
      <c r="H92" s="122"/>
    </row>
    <row r="93" spans="1:8" x14ac:dyDescent="0.4">
      <c r="A93" s="129"/>
      <c r="B93" s="130">
        <f>DATE(2025,10,1)</f>
        <v>45931</v>
      </c>
      <c r="C93" s="203">
        <v>13536511</v>
      </c>
      <c r="D93" s="203">
        <v>2921217.18</v>
      </c>
      <c r="E93" s="203">
        <v>2936056.53</v>
      </c>
      <c r="F93" s="131">
        <f t="shared" si="18"/>
        <v>-5.0541772095919514E-3</v>
      </c>
      <c r="G93" s="214">
        <f t="shared" si="19"/>
        <v>0.21580281506807775</v>
      </c>
      <c r="H93" s="122"/>
    </row>
    <row r="94" spans="1:8" x14ac:dyDescent="0.4">
      <c r="A94" s="129"/>
      <c r="B94" s="130">
        <f>DATE(2025,11,1)</f>
        <v>45962</v>
      </c>
      <c r="C94" s="203">
        <v>13406644</v>
      </c>
      <c r="D94" s="203">
        <v>2575229.36</v>
      </c>
      <c r="E94" s="203">
        <v>2560428.5</v>
      </c>
      <c r="F94" s="131">
        <f t="shared" si="18"/>
        <v>5.7806183613406384E-3</v>
      </c>
      <c r="G94" s="214">
        <f t="shared" si="19"/>
        <v>0.19208605524246036</v>
      </c>
      <c r="H94" s="122"/>
    </row>
    <row r="95" spans="1:8" x14ac:dyDescent="0.4">
      <c r="A95" s="129"/>
      <c r="B95" s="130">
        <f>DATE(2025,12,1)</f>
        <v>45992</v>
      </c>
      <c r="C95" s="203">
        <v>14570030</v>
      </c>
      <c r="D95" s="203">
        <v>3209171.82</v>
      </c>
      <c r="E95" s="203">
        <v>3966151.56</v>
      </c>
      <c r="F95" s="131">
        <f t="shared" si="18"/>
        <v>-0.19086001342823122</v>
      </c>
      <c r="G95" s="214">
        <f t="shared" si="19"/>
        <v>0.22025842225444969</v>
      </c>
      <c r="H95" s="122"/>
    </row>
    <row r="96" spans="1:8" ht="15.4" thickBot="1" x14ac:dyDescent="0.45">
      <c r="A96" s="132"/>
      <c r="B96" s="130"/>
      <c r="C96" s="203"/>
      <c r="D96" s="203"/>
      <c r="E96" s="203"/>
      <c r="F96" s="131"/>
      <c r="G96" s="214"/>
      <c r="H96" s="122"/>
    </row>
    <row r="97" spans="1:8" ht="15.75" thickTop="1" thickBot="1" x14ac:dyDescent="0.45">
      <c r="A97" s="140" t="s">
        <v>14</v>
      </c>
      <c r="B97" s="141"/>
      <c r="C97" s="206">
        <f>SUM(C90:C96)</f>
        <v>86381751</v>
      </c>
      <c r="D97" s="206">
        <f>SUM(D90:D96)</f>
        <v>16779624.800000001</v>
      </c>
      <c r="E97" s="206">
        <f>SUM(E90:E96)</f>
        <v>17574639.449999999</v>
      </c>
      <c r="F97" s="142">
        <f>(+D97-E97)/E97</f>
        <v>-4.5236469986301688E-2</v>
      </c>
      <c r="G97" s="266">
        <f>D97/C97</f>
        <v>0.19424964886391341</v>
      </c>
      <c r="H97" s="122"/>
    </row>
    <row r="98" spans="1:8" ht="15.75" customHeight="1" thickTop="1" x14ac:dyDescent="0.4">
      <c r="A98" s="137"/>
      <c r="B98" s="138"/>
      <c r="C98" s="204"/>
      <c r="D98" s="204"/>
      <c r="E98" s="204"/>
      <c r="F98" s="139"/>
      <c r="G98" s="218"/>
      <c r="H98" s="122"/>
    </row>
    <row r="99" spans="1:8" x14ac:dyDescent="0.4">
      <c r="A99" s="129" t="s">
        <v>54</v>
      </c>
      <c r="B99" s="130">
        <f>DATE(2025,7,1)</f>
        <v>45839</v>
      </c>
      <c r="C99" s="203">
        <v>0</v>
      </c>
      <c r="D99" s="203">
        <v>0</v>
      </c>
      <c r="E99" s="203">
        <v>0</v>
      </c>
      <c r="F99" s="131">
        <v>0</v>
      </c>
      <c r="G99" s="214">
        <v>0</v>
      </c>
      <c r="H99" s="122"/>
    </row>
    <row r="100" spans="1:8" x14ac:dyDescent="0.4">
      <c r="A100" s="129"/>
      <c r="B100" s="130">
        <f>DATE(2025,8,1)</f>
        <v>45870</v>
      </c>
      <c r="C100" s="203">
        <v>0</v>
      </c>
      <c r="D100" s="203">
        <v>0</v>
      </c>
      <c r="E100" s="203">
        <v>0</v>
      </c>
      <c r="F100" s="131">
        <v>0</v>
      </c>
      <c r="G100" s="214">
        <v>0</v>
      </c>
      <c r="H100" s="122"/>
    </row>
    <row r="101" spans="1:8" x14ac:dyDescent="0.4">
      <c r="A101" s="129"/>
      <c r="B101" s="130">
        <f>DATE(2025,9,1)</f>
        <v>45901</v>
      </c>
      <c r="C101" s="203">
        <v>0</v>
      </c>
      <c r="D101" s="203">
        <v>0</v>
      </c>
      <c r="E101" s="203">
        <v>0</v>
      </c>
      <c r="F101" s="131">
        <v>0</v>
      </c>
      <c r="G101" s="214">
        <v>0</v>
      </c>
      <c r="H101" s="122"/>
    </row>
    <row r="102" spans="1:8" x14ac:dyDescent="0.4">
      <c r="A102" s="129"/>
      <c r="B102" s="130">
        <f>DATE(2025,10,1)</f>
        <v>45931</v>
      </c>
      <c r="C102" s="203">
        <v>0</v>
      </c>
      <c r="D102" s="203">
        <v>0</v>
      </c>
      <c r="E102" s="203">
        <v>0</v>
      </c>
      <c r="F102" s="131">
        <v>0</v>
      </c>
      <c r="G102" s="214">
        <v>0</v>
      </c>
      <c r="H102" s="122"/>
    </row>
    <row r="103" spans="1:8" x14ac:dyDescent="0.4">
      <c r="A103" s="129"/>
      <c r="B103" s="130">
        <f>DATE(2025,11,1)</f>
        <v>45962</v>
      </c>
      <c r="C103" s="203">
        <v>0</v>
      </c>
      <c r="D103" s="203">
        <v>0</v>
      </c>
      <c r="E103" s="203">
        <v>0</v>
      </c>
      <c r="F103" s="131">
        <v>0</v>
      </c>
      <c r="G103" s="214">
        <v>0</v>
      </c>
      <c r="H103" s="122"/>
    </row>
    <row r="104" spans="1:8" x14ac:dyDescent="0.4">
      <c r="A104" s="129"/>
      <c r="B104" s="130">
        <f>DATE(2025,12,1)</f>
        <v>45992</v>
      </c>
      <c r="C104" s="203">
        <v>0</v>
      </c>
      <c r="D104" s="203">
        <v>0</v>
      </c>
      <c r="E104" s="203">
        <v>0</v>
      </c>
      <c r="F104" s="131">
        <v>0</v>
      </c>
      <c r="G104" s="214">
        <v>0</v>
      </c>
      <c r="H104" s="122"/>
    </row>
    <row r="105" spans="1:8" ht="15.4" thickBot="1" x14ac:dyDescent="0.45">
      <c r="A105" s="132"/>
      <c r="B105" s="133"/>
      <c r="C105" s="203"/>
      <c r="D105" s="203"/>
      <c r="E105" s="203"/>
      <c r="F105" s="131"/>
      <c r="G105" s="214"/>
      <c r="H105" s="122"/>
    </row>
    <row r="106" spans="1:8" ht="15.75" thickTop="1" thickBot="1" x14ac:dyDescent="0.45">
      <c r="A106" s="143" t="s">
        <v>14</v>
      </c>
      <c r="B106" s="144"/>
      <c r="C106" s="206">
        <f>SUM(C99:C105)</f>
        <v>0</v>
      </c>
      <c r="D106" s="206">
        <f>SUM(D99:D105)</f>
        <v>0</v>
      </c>
      <c r="E106" s="206">
        <f>SUM(E99:E105)</f>
        <v>0</v>
      </c>
      <c r="F106" s="142">
        <v>0</v>
      </c>
      <c r="G106" s="216">
        <v>0</v>
      </c>
      <c r="H106" s="122"/>
    </row>
    <row r="107" spans="1:8" ht="15.75" customHeight="1" thickTop="1" x14ac:dyDescent="0.4">
      <c r="A107" s="129"/>
      <c r="B107" s="133"/>
      <c r="C107" s="203"/>
      <c r="D107" s="203"/>
      <c r="E107" s="203"/>
      <c r="F107" s="131"/>
      <c r="G107" s="217"/>
      <c r="H107" s="122"/>
    </row>
    <row r="108" spans="1:8" x14ac:dyDescent="0.4">
      <c r="A108" s="129" t="s">
        <v>37</v>
      </c>
      <c r="B108" s="130">
        <f>DATE(2025,7,1)</f>
        <v>45839</v>
      </c>
      <c r="C108" s="203">
        <v>22987346</v>
      </c>
      <c r="D108" s="203">
        <v>4388523.87</v>
      </c>
      <c r="E108" s="203">
        <v>4532513.72</v>
      </c>
      <c r="F108" s="131">
        <f t="shared" ref="F108:F113" si="20">(+D108-E108)/E108</f>
        <v>-3.1768210510789062E-2</v>
      </c>
      <c r="G108" s="214">
        <f t="shared" ref="G108:G113" si="21">D108/C108</f>
        <v>0.19091041958475763</v>
      </c>
      <c r="H108" s="122"/>
    </row>
    <row r="109" spans="1:8" x14ac:dyDescent="0.4">
      <c r="A109" s="129"/>
      <c r="B109" s="130">
        <f>DATE(2025,8,1)</f>
        <v>45870</v>
      </c>
      <c r="C109" s="203">
        <v>22289536</v>
      </c>
      <c r="D109" s="203">
        <v>4972073.57</v>
      </c>
      <c r="E109" s="203">
        <v>4951353.17</v>
      </c>
      <c r="F109" s="131">
        <f t="shared" si="20"/>
        <v>4.1847954061415447E-3</v>
      </c>
      <c r="G109" s="214">
        <f t="shared" si="21"/>
        <v>0.22306761208488146</v>
      </c>
      <c r="H109" s="122"/>
    </row>
    <row r="110" spans="1:8" x14ac:dyDescent="0.4">
      <c r="A110" s="129"/>
      <c r="B110" s="130">
        <f>DATE(2025,9,1)</f>
        <v>45901</v>
      </c>
      <c r="C110" s="203">
        <v>19909806</v>
      </c>
      <c r="D110" s="203">
        <v>4174161.5</v>
      </c>
      <c r="E110" s="203">
        <v>4582987.34</v>
      </c>
      <c r="F110" s="131">
        <f t="shared" si="20"/>
        <v>-8.9205099135185456E-2</v>
      </c>
      <c r="G110" s="214">
        <f t="shared" si="21"/>
        <v>0.20965354961268834</v>
      </c>
      <c r="H110" s="122"/>
    </row>
    <row r="111" spans="1:8" x14ac:dyDescent="0.4">
      <c r="A111" s="129"/>
      <c r="B111" s="130">
        <f>DATE(2025,10,1)</f>
        <v>45931</v>
      </c>
      <c r="C111" s="203">
        <v>20889933</v>
      </c>
      <c r="D111" s="203">
        <v>4997786.5999999996</v>
      </c>
      <c r="E111" s="203">
        <v>4731206.4800000004</v>
      </c>
      <c r="F111" s="131">
        <f t="shared" si="20"/>
        <v>5.6345061482076589E-2</v>
      </c>
      <c r="G111" s="214">
        <f t="shared" si="21"/>
        <v>0.23924378311792574</v>
      </c>
      <c r="H111" s="122"/>
    </row>
    <row r="112" spans="1:8" x14ac:dyDescent="0.4">
      <c r="A112" s="129"/>
      <c r="B112" s="130">
        <f>DATE(2025,11,1)</f>
        <v>45962</v>
      </c>
      <c r="C112" s="203">
        <v>20136033</v>
      </c>
      <c r="D112" s="203">
        <v>4513957</v>
      </c>
      <c r="E112" s="203">
        <v>4056375.5</v>
      </c>
      <c r="F112" s="131">
        <f t="shared" si="20"/>
        <v>0.11280550826717102</v>
      </c>
      <c r="G112" s="214">
        <f t="shared" si="21"/>
        <v>0.2241731030138856</v>
      </c>
      <c r="H112" s="122"/>
    </row>
    <row r="113" spans="1:8" x14ac:dyDescent="0.4">
      <c r="A113" s="129"/>
      <c r="B113" s="130">
        <f>DATE(2025,12,1)</f>
        <v>45992</v>
      </c>
      <c r="C113" s="203">
        <v>22583082</v>
      </c>
      <c r="D113" s="203">
        <v>5802741.5</v>
      </c>
      <c r="E113" s="203">
        <v>5104148.9000000004</v>
      </c>
      <c r="F113" s="131">
        <f t="shared" si="20"/>
        <v>0.13686759804362283</v>
      </c>
      <c r="G113" s="214">
        <f t="shared" si="21"/>
        <v>0.25695082274421177</v>
      </c>
      <c r="H113" s="122"/>
    </row>
    <row r="114" spans="1:8" ht="15.4" thickBot="1" x14ac:dyDescent="0.45">
      <c r="A114" s="132"/>
      <c r="B114" s="133"/>
      <c r="C114" s="203"/>
      <c r="D114" s="203"/>
      <c r="E114" s="203"/>
      <c r="F114" s="131"/>
      <c r="G114" s="214"/>
      <c r="H114" s="122"/>
    </row>
    <row r="115" spans="1:8" ht="15.75" thickTop="1" thickBot="1" x14ac:dyDescent="0.45">
      <c r="A115" s="140" t="s">
        <v>14</v>
      </c>
      <c r="B115" s="141"/>
      <c r="C115" s="205">
        <f>SUM(C108:C114)</f>
        <v>128795736</v>
      </c>
      <c r="D115" s="206">
        <f>SUM(D108:D114)</f>
        <v>28849244.039999999</v>
      </c>
      <c r="E115" s="205">
        <f>SUM(E108:E114)</f>
        <v>27958585.109999999</v>
      </c>
      <c r="F115" s="142">
        <f>(+D115-E115)/E115</f>
        <v>3.1856366353869459E-2</v>
      </c>
      <c r="G115" s="216">
        <f>D115/C115</f>
        <v>0.2239922293700779</v>
      </c>
      <c r="H115" s="122"/>
    </row>
    <row r="116" spans="1:8" ht="15.75" customHeight="1" thickTop="1" x14ac:dyDescent="0.4">
      <c r="A116" s="129"/>
      <c r="B116" s="133"/>
      <c r="C116" s="203"/>
      <c r="D116" s="203"/>
      <c r="E116" s="203"/>
      <c r="F116" s="131"/>
      <c r="G116" s="217"/>
      <c r="H116" s="122"/>
    </row>
    <row r="117" spans="1:8" x14ac:dyDescent="0.4">
      <c r="A117" s="129" t="s">
        <v>57</v>
      </c>
      <c r="B117" s="130">
        <f>DATE(2025,7,1)</f>
        <v>45839</v>
      </c>
      <c r="C117" s="203">
        <v>603284</v>
      </c>
      <c r="D117" s="203">
        <v>176713.5</v>
      </c>
      <c r="E117" s="203">
        <v>133926.5</v>
      </c>
      <c r="F117" s="131">
        <f t="shared" ref="F117:F122" si="22">(+D117-E117)/E117</f>
        <v>0.3194812079760167</v>
      </c>
      <c r="G117" s="214">
        <f t="shared" ref="G117:G122" si="23">D117/C117</f>
        <v>0.292919255276122</v>
      </c>
      <c r="H117" s="122"/>
    </row>
    <row r="118" spans="1:8" x14ac:dyDescent="0.4">
      <c r="A118" s="129"/>
      <c r="B118" s="130">
        <f>DATE(2025,8,1)</f>
        <v>45870</v>
      </c>
      <c r="C118" s="203">
        <v>600824</v>
      </c>
      <c r="D118" s="203">
        <v>225401</v>
      </c>
      <c r="E118" s="203">
        <v>188568.5</v>
      </c>
      <c r="F118" s="131">
        <f t="shared" si="22"/>
        <v>0.19532689712226592</v>
      </c>
      <c r="G118" s="214">
        <f t="shared" si="23"/>
        <v>0.37515312304435244</v>
      </c>
      <c r="H118" s="122"/>
    </row>
    <row r="119" spans="1:8" x14ac:dyDescent="0.4">
      <c r="A119" s="129"/>
      <c r="B119" s="130">
        <f>DATE(2025,9,1)</f>
        <v>45901</v>
      </c>
      <c r="C119" s="203">
        <v>478325</v>
      </c>
      <c r="D119" s="203">
        <v>-59552.65</v>
      </c>
      <c r="E119" s="203">
        <v>118770</v>
      </c>
      <c r="F119" s="131">
        <f t="shared" si="22"/>
        <v>-1.5014115517386546</v>
      </c>
      <c r="G119" s="214">
        <f t="shared" si="23"/>
        <v>-0.12450248262164847</v>
      </c>
      <c r="H119" s="122"/>
    </row>
    <row r="120" spans="1:8" x14ac:dyDescent="0.4">
      <c r="A120" s="129"/>
      <c r="B120" s="130">
        <f>DATE(2025,10,1)</f>
        <v>45931</v>
      </c>
      <c r="C120" s="203">
        <v>480228</v>
      </c>
      <c r="D120" s="203">
        <v>116653.5</v>
      </c>
      <c r="E120" s="203">
        <v>142953</v>
      </c>
      <c r="F120" s="131">
        <f t="shared" si="22"/>
        <v>-0.18397305408071185</v>
      </c>
      <c r="G120" s="214">
        <f t="shared" si="23"/>
        <v>0.2429127414478123</v>
      </c>
      <c r="H120" s="122"/>
    </row>
    <row r="121" spans="1:8" x14ac:dyDescent="0.4">
      <c r="A121" s="129"/>
      <c r="B121" s="130">
        <f>DATE(2025,11,1)</f>
        <v>45962</v>
      </c>
      <c r="C121" s="203">
        <v>427136</v>
      </c>
      <c r="D121" s="203">
        <v>129553</v>
      </c>
      <c r="E121" s="203">
        <v>139907.5</v>
      </c>
      <c r="F121" s="131">
        <f t="shared" si="22"/>
        <v>-7.400961349463038E-2</v>
      </c>
      <c r="G121" s="214">
        <f t="shared" si="23"/>
        <v>0.30330620692238536</v>
      </c>
      <c r="H121" s="122"/>
    </row>
    <row r="122" spans="1:8" x14ac:dyDescent="0.4">
      <c r="A122" s="129"/>
      <c r="B122" s="130">
        <f>DATE(2025,12,1)</f>
        <v>45992</v>
      </c>
      <c r="C122" s="203">
        <v>354271</v>
      </c>
      <c r="D122" s="203">
        <v>80755</v>
      </c>
      <c r="E122" s="203">
        <v>103931.5</v>
      </c>
      <c r="F122" s="131">
        <f t="shared" si="22"/>
        <v>-0.2229978399234111</v>
      </c>
      <c r="G122" s="214">
        <f t="shared" si="23"/>
        <v>0.22794696715226478</v>
      </c>
      <c r="H122" s="122"/>
    </row>
    <row r="123" spans="1:8" ht="15.4" thickBot="1" x14ac:dyDescent="0.45">
      <c r="A123" s="132"/>
      <c r="B123" s="133"/>
      <c r="C123" s="203"/>
      <c r="D123" s="203"/>
      <c r="E123" s="203"/>
      <c r="F123" s="131"/>
      <c r="G123" s="214"/>
      <c r="H123" s="122"/>
    </row>
    <row r="124" spans="1:8" ht="15.75" thickTop="1" thickBot="1" x14ac:dyDescent="0.45">
      <c r="A124" s="134" t="s">
        <v>14</v>
      </c>
      <c r="B124" s="135"/>
      <c r="C124" s="200">
        <f>SUM(C117:C123)</f>
        <v>2944068</v>
      </c>
      <c r="D124" s="206">
        <f>SUM(D117:D123)</f>
        <v>669523.35</v>
      </c>
      <c r="E124" s="206">
        <f>SUM(E117:E123)</f>
        <v>828057</v>
      </c>
      <c r="F124" s="142">
        <f>(+D124-E124)/E124</f>
        <v>-0.19145258116289099</v>
      </c>
      <c r="G124" s="216">
        <f>D124/C124</f>
        <v>0.22741436339106297</v>
      </c>
      <c r="H124" s="122"/>
    </row>
    <row r="125" spans="1:8" ht="15.75" thickTop="1" thickBot="1" x14ac:dyDescent="0.45">
      <c r="A125" s="145"/>
      <c r="B125" s="138"/>
      <c r="C125" s="204"/>
      <c r="D125" s="204"/>
      <c r="E125" s="204"/>
      <c r="F125" s="139"/>
      <c r="G125" s="215"/>
      <c r="H125" s="122"/>
    </row>
    <row r="126" spans="1:8" ht="15.75" thickTop="1" thickBot="1" x14ac:dyDescent="0.45">
      <c r="A126" s="146" t="s">
        <v>38</v>
      </c>
      <c r="B126" s="120"/>
      <c r="C126" s="200">
        <f>C124+C115+C88+C70+C52+C34+C16+C43+C106+C25+C79+C97+C61</f>
        <v>670309448.50999999</v>
      </c>
      <c r="D126" s="200">
        <f>D124+D115+D88+D70+D52+D34+D16+D43+D106+D25+D79+D97+D61</f>
        <v>138458363.71000001</v>
      </c>
      <c r="E126" s="200">
        <f>E124+E115+E88+E70+E52+E34+E16+E43+E106+E25+E79+E97+E61</f>
        <v>134836485.46000001</v>
      </c>
      <c r="F126" s="136">
        <f>(+D126-E126)/E126</f>
        <v>2.6861262644482457E-2</v>
      </c>
      <c r="G126" s="211">
        <f>D126/C126</f>
        <v>0.20655887220114938</v>
      </c>
      <c r="H126" s="122"/>
    </row>
    <row r="127" spans="1:8" ht="15.75" thickTop="1" thickBot="1" x14ac:dyDescent="0.45">
      <c r="A127" s="146"/>
      <c r="B127" s="120"/>
      <c r="C127" s="200"/>
      <c r="D127" s="200"/>
      <c r="E127" s="200"/>
      <c r="F127" s="136"/>
      <c r="G127" s="211"/>
      <c r="H127" s="122"/>
    </row>
    <row r="128" spans="1:8" ht="15.75" thickTop="1" thickBot="1" x14ac:dyDescent="0.45">
      <c r="A128" s="264" t="s">
        <v>39</v>
      </c>
      <c r="B128" s="265"/>
      <c r="C128" s="205">
        <f>+C14+C23+C32+C41+C50+C59+C68+C77+C86+C95+C104+C113+C122</f>
        <v>112980340.00999999</v>
      </c>
      <c r="D128" s="205">
        <f>+D14+D23+D32+D41+D50+D59+D68+D77+D86+D95+D104+D113+D122</f>
        <v>25205467.02</v>
      </c>
      <c r="E128" s="205">
        <f>+E14+E23+E32+E41+E50+E59+E68+E77+E86+E95+E104+E113+E122</f>
        <v>24820373.020000003</v>
      </c>
      <c r="F128" s="267">
        <f>(+D128-E128)/E128</f>
        <v>1.5515238215384251E-2</v>
      </c>
      <c r="G128" s="216">
        <f>D128/C128</f>
        <v>0.22309604500897273</v>
      </c>
      <c r="H128" s="122"/>
    </row>
    <row r="129" spans="1:8" ht="15.4" thickTop="1" x14ac:dyDescent="0.4">
      <c r="A129" s="255"/>
      <c r="B129" s="257"/>
      <c r="C129" s="258"/>
      <c r="D129" s="258"/>
      <c r="E129" s="258"/>
      <c r="F129" s="259"/>
      <c r="G129" s="256"/>
      <c r="H129" s="256"/>
    </row>
    <row r="130" spans="1:8" ht="17.25" x14ac:dyDescent="0.45">
      <c r="A130" s="262" t="s">
        <v>40</v>
      </c>
      <c r="B130" s="116"/>
      <c r="C130" s="207"/>
      <c r="D130" s="207"/>
      <c r="E130" s="207"/>
      <c r="F130" s="147"/>
      <c r="G130" s="219"/>
    </row>
    <row r="131" spans="1:8" x14ac:dyDescent="0.4">
      <c r="A131" s="71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2" manualBreakCount="2">
    <brk id="52" max="7" man="1"/>
    <brk id="9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D2658-2235-403F-84C2-1A37ED81025E}">
  <dimension ref="A1:H132"/>
  <sheetViews>
    <sheetView zoomScaleNormal="100" workbookViewId="0">
      <selection activeCell="A6" sqref="A6"/>
    </sheetView>
  </sheetViews>
  <sheetFormatPr defaultRowHeight="15" x14ac:dyDescent="0.4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7.649999999999999" x14ac:dyDescent="0.5">
      <c r="A1" s="148" t="s">
        <v>0</v>
      </c>
      <c r="B1" s="149"/>
      <c r="C1" s="221"/>
      <c r="D1" s="221"/>
      <c r="E1" s="221"/>
      <c r="F1" s="149"/>
      <c r="G1" s="233"/>
      <c r="H1" s="233"/>
    </row>
    <row r="2" spans="1:8" ht="17.25" x14ac:dyDescent="0.45">
      <c r="A2" s="152" t="s">
        <v>59</v>
      </c>
      <c r="B2" s="149"/>
      <c r="C2" s="221"/>
      <c r="D2" s="221"/>
      <c r="E2" s="221"/>
      <c r="F2" s="149"/>
      <c r="G2" s="233"/>
      <c r="H2" s="233"/>
    </row>
    <row r="3" spans="1:8" ht="17.649999999999999" x14ac:dyDescent="0.5">
      <c r="A3" s="148" t="s">
        <v>42</v>
      </c>
      <c r="B3" s="149"/>
      <c r="C3" s="221"/>
      <c r="D3" s="221"/>
      <c r="E3" s="221"/>
      <c r="F3" s="149"/>
      <c r="G3" s="233"/>
      <c r="H3" s="233"/>
    </row>
    <row r="4" spans="1:8" ht="17.649999999999999" x14ac:dyDescent="0.5">
      <c r="A4" s="284" t="s">
        <v>77</v>
      </c>
      <c r="B4" s="149"/>
      <c r="C4" s="221"/>
      <c r="D4" s="221"/>
      <c r="E4" s="221"/>
      <c r="F4" s="149"/>
      <c r="G4" s="233"/>
      <c r="H4" s="233"/>
    </row>
    <row r="5" spans="1:8" x14ac:dyDescent="0.4">
      <c r="A5" s="285" t="s">
        <v>73</v>
      </c>
      <c r="B5" s="149"/>
      <c r="C5" s="221"/>
      <c r="D5" s="221"/>
      <c r="E5" s="221"/>
      <c r="F5" s="149"/>
      <c r="G5" s="233"/>
      <c r="H5" s="233"/>
    </row>
    <row r="6" spans="1:8" ht="15.4" thickBot="1" x14ac:dyDescent="0.45">
      <c r="A6" s="149"/>
      <c r="B6" s="149"/>
      <c r="C6" s="221"/>
      <c r="D6" s="221"/>
      <c r="E6" s="221"/>
      <c r="F6" s="149"/>
      <c r="G6" s="234" t="s">
        <v>43</v>
      </c>
      <c r="H6" s="234"/>
    </row>
    <row r="7" spans="1:8" ht="15.4" thickTop="1" x14ac:dyDescent="0.4">
      <c r="A7" s="153"/>
      <c r="B7" s="154" t="s">
        <v>2</v>
      </c>
      <c r="C7" s="222" t="s">
        <v>65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</row>
    <row r="8" spans="1:8" ht="15.4" thickBot="1" x14ac:dyDescent="0.45">
      <c r="A8" s="157" t="s">
        <v>5</v>
      </c>
      <c r="B8" s="158" t="s">
        <v>6</v>
      </c>
      <c r="C8" s="223" t="s">
        <v>45</v>
      </c>
      <c r="D8" s="223" t="s">
        <v>66</v>
      </c>
      <c r="E8" s="223" t="s">
        <v>66</v>
      </c>
      <c r="F8" s="159" t="s">
        <v>8</v>
      </c>
      <c r="G8" s="237" t="s">
        <v>35</v>
      </c>
      <c r="H8" s="253" t="s">
        <v>47</v>
      </c>
    </row>
    <row r="9" spans="1:8" ht="15.4" thickTop="1" x14ac:dyDescent="0.4">
      <c r="A9" s="160"/>
      <c r="B9" s="161"/>
      <c r="C9" s="224"/>
      <c r="D9" s="224"/>
      <c r="E9" s="224"/>
      <c r="F9" s="162"/>
      <c r="G9" s="238"/>
      <c r="H9" s="239"/>
    </row>
    <row r="10" spans="1:8" x14ac:dyDescent="0.4">
      <c r="A10" s="163" t="s">
        <v>36</v>
      </c>
      <c r="B10" s="164">
        <f>DATE(25,7,1)</f>
        <v>9314</v>
      </c>
      <c r="C10" s="225">
        <v>0</v>
      </c>
      <c r="D10" s="225">
        <v>0</v>
      </c>
      <c r="E10" s="225">
        <v>0</v>
      </c>
      <c r="F10" s="165">
        <v>0</v>
      </c>
      <c r="G10" s="240">
        <v>0</v>
      </c>
      <c r="H10" s="288">
        <v>0</v>
      </c>
    </row>
    <row r="11" spans="1:8" x14ac:dyDescent="0.4">
      <c r="A11" s="163"/>
      <c r="B11" s="164">
        <f>DATE(25,8,1)</f>
        <v>9345</v>
      </c>
      <c r="C11" s="225">
        <v>0</v>
      </c>
      <c r="D11" s="225">
        <v>0</v>
      </c>
      <c r="E11" s="225">
        <v>0</v>
      </c>
      <c r="F11" s="165">
        <v>0</v>
      </c>
      <c r="G11" s="240">
        <v>0</v>
      </c>
      <c r="H11" s="288">
        <v>0</v>
      </c>
    </row>
    <row r="12" spans="1:8" x14ac:dyDescent="0.4">
      <c r="A12" s="163"/>
      <c r="B12" s="164">
        <f>DATE(25,9,1)</f>
        <v>9376</v>
      </c>
      <c r="C12" s="225">
        <v>0</v>
      </c>
      <c r="D12" s="225">
        <v>0</v>
      </c>
      <c r="E12" s="225">
        <v>0</v>
      </c>
      <c r="F12" s="165">
        <v>0</v>
      </c>
      <c r="G12" s="240">
        <v>0</v>
      </c>
      <c r="H12" s="288">
        <v>0</v>
      </c>
    </row>
    <row r="13" spans="1:8" x14ac:dyDescent="0.4">
      <c r="A13" s="163"/>
      <c r="B13" s="164">
        <f>DATE(25,10,1)</f>
        <v>9406</v>
      </c>
      <c r="C13" s="225">
        <v>0</v>
      </c>
      <c r="D13" s="225">
        <v>0</v>
      </c>
      <c r="E13" s="225">
        <v>0</v>
      </c>
      <c r="F13" s="165">
        <v>0</v>
      </c>
      <c r="G13" s="240">
        <v>0</v>
      </c>
      <c r="H13" s="288">
        <v>0</v>
      </c>
    </row>
    <row r="14" spans="1:8" x14ac:dyDescent="0.4">
      <c r="A14" s="163"/>
      <c r="B14" s="164">
        <f>DATE(25,11,1)</f>
        <v>9437</v>
      </c>
      <c r="C14" s="225">
        <v>0</v>
      </c>
      <c r="D14" s="225">
        <v>0</v>
      </c>
      <c r="E14" s="225">
        <v>0</v>
      </c>
      <c r="F14" s="165">
        <v>0</v>
      </c>
      <c r="G14" s="240">
        <v>0</v>
      </c>
      <c r="H14" s="288">
        <v>0</v>
      </c>
    </row>
    <row r="15" spans="1:8" x14ac:dyDescent="0.4">
      <c r="A15" s="163"/>
      <c r="B15" s="164">
        <f>DATE(25,12,1)</f>
        <v>9467</v>
      </c>
      <c r="C15" s="225">
        <v>0</v>
      </c>
      <c r="D15" s="225">
        <v>0</v>
      </c>
      <c r="E15" s="225">
        <v>0</v>
      </c>
      <c r="F15" s="165">
        <v>0</v>
      </c>
      <c r="G15" s="240">
        <v>0</v>
      </c>
      <c r="H15" s="288">
        <v>0</v>
      </c>
    </row>
    <row r="16" spans="1:8" ht="15.4" thickBot="1" x14ac:dyDescent="0.45">
      <c r="A16" s="166"/>
      <c r="B16" s="167"/>
      <c r="C16" s="225"/>
      <c r="D16" s="225"/>
      <c r="E16" s="225"/>
      <c r="F16" s="165"/>
      <c r="G16" s="240"/>
      <c r="H16" s="241"/>
    </row>
    <row r="17" spans="1:8" ht="15.75" thickTop="1" thickBot="1" x14ac:dyDescent="0.45">
      <c r="A17" s="168" t="s">
        <v>14</v>
      </c>
      <c r="B17" s="154"/>
      <c r="C17" s="222">
        <f>SUM(C10:C16)</f>
        <v>0</v>
      </c>
      <c r="D17" s="222">
        <f>SUM(D10:D16)</f>
        <v>0</v>
      </c>
      <c r="E17" s="222">
        <f>SUM(E10:E16)</f>
        <v>0</v>
      </c>
      <c r="F17" s="175">
        <v>0</v>
      </c>
      <c r="G17" s="244">
        <v>0</v>
      </c>
      <c r="H17" s="245">
        <v>0</v>
      </c>
    </row>
    <row r="18" spans="1:8" ht="15.4" thickTop="1" x14ac:dyDescent="0.4">
      <c r="A18" s="170"/>
      <c r="B18" s="171"/>
      <c r="C18" s="226"/>
      <c r="D18" s="226"/>
      <c r="E18" s="226"/>
      <c r="F18" s="172"/>
      <c r="G18" s="242"/>
      <c r="H18" s="243"/>
    </row>
    <row r="19" spans="1:8" x14ac:dyDescent="0.4">
      <c r="A19" s="19" t="s">
        <v>48</v>
      </c>
      <c r="B19" s="164">
        <f>DATE(25,7,1)</f>
        <v>9314</v>
      </c>
      <c r="C19" s="225">
        <v>0</v>
      </c>
      <c r="D19" s="225">
        <v>0</v>
      </c>
      <c r="E19" s="225">
        <v>0</v>
      </c>
      <c r="F19" s="165">
        <v>0</v>
      </c>
      <c r="G19" s="240">
        <v>0</v>
      </c>
      <c r="H19" s="241">
        <v>0</v>
      </c>
    </row>
    <row r="20" spans="1:8" x14ac:dyDescent="0.4">
      <c r="A20" s="19"/>
      <c r="B20" s="164">
        <f>DATE(25,8,1)</f>
        <v>9345</v>
      </c>
      <c r="C20" s="225">
        <v>0</v>
      </c>
      <c r="D20" s="225">
        <v>0</v>
      </c>
      <c r="E20" s="225">
        <v>0</v>
      </c>
      <c r="F20" s="165">
        <v>0</v>
      </c>
      <c r="G20" s="240">
        <v>0</v>
      </c>
      <c r="H20" s="288">
        <v>0</v>
      </c>
    </row>
    <row r="21" spans="1:8" x14ac:dyDescent="0.4">
      <c r="A21" s="19"/>
      <c r="B21" s="164">
        <f>DATE(25,9,1)</f>
        <v>9376</v>
      </c>
      <c r="C21" s="225">
        <v>0</v>
      </c>
      <c r="D21" s="225">
        <v>0</v>
      </c>
      <c r="E21" s="225">
        <v>0</v>
      </c>
      <c r="F21" s="165">
        <v>0</v>
      </c>
      <c r="G21" s="240">
        <v>0</v>
      </c>
      <c r="H21" s="288">
        <v>0</v>
      </c>
    </row>
    <row r="22" spans="1:8" x14ac:dyDescent="0.4">
      <c r="A22" s="19"/>
      <c r="B22" s="164">
        <f>DATE(25,10,1)</f>
        <v>9406</v>
      </c>
      <c r="C22" s="225">
        <v>0</v>
      </c>
      <c r="D22" s="225">
        <v>0</v>
      </c>
      <c r="E22" s="225">
        <v>0</v>
      </c>
      <c r="F22" s="165">
        <v>0</v>
      </c>
      <c r="G22" s="240">
        <v>0</v>
      </c>
      <c r="H22" s="288">
        <v>0</v>
      </c>
    </row>
    <row r="23" spans="1:8" x14ac:dyDescent="0.4">
      <c r="A23" s="19"/>
      <c r="B23" s="164">
        <f>DATE(25,11,1)</f>
        <v>9437</v>
      </c>
      <c r="C23" s="225">
        <v>0</v>
      </c>
      <c r="D23" s="225">
        <v>0</v>
      </c>
      <c r="E23" s="225">
        <v>0</v>
      </c>
      <c r="F23" s="165">
        <v>0</v>
      </c>
      <c r="G23" s="240">
        <v>0</v>
      </c>
      <c r="H23" s="288">
        <v>0</v>
      </c>
    </row>
    <row r="24" spans="1:8" x14ac:dyDescent="0.4">
      <c r="A24" s="19"/>
      <c r="B24" s="164">
        <f>DATE(25,12,1)</f>
        <v>9467</v>
      </c>
      <c r="C24" s="225">
        <v>0</v>
      </c>
      <c r="D24" s="225">
        <v>0</v>
      </c>
      <c r="E24" s="225">
        <v>0</v>
      </c>
      <c r="F24" s="165">
        <v>0</v>
      </c>
      <c r="G24" s="240">
        <v>0</v>
      </c>
      <c r="H24" s="288">
        <v>0</v>
      </c>
    </row>
    <row r="25" spans="1:8" ht="15.4" thickBot="1" x14ac:dyDescent="0.45">
      <c r="A25" s="166"/>
      <c r="B25" s="164"/>
      <c r="C25" s="225"/>
      <c r="D25" s="225"/>
      <c r="E25" s="225"/>
      <c r="F25" s="165"/>
      <c r="G25" s="240"/>
      <c r="H25" s="241"/>
    </row>
    <row r="26" spans="1:8" ht="15.75" thickTop="1" thickBot="1" x14ac:dyDescent="0.45">
      <c r="A26" s="168" t="s">
        <v>14</v>
      </c>
      <c r="B26" s="154"/>
      <c r="C26" s="222">
        <f>SUM(C19:C25)</f>
        <v>0</v>
      </c>
      <c r="D26" s="222">
        <f>SUM(D19:D25)</f>
        <v>0</v>
      </c>
      <c r="E26" s="222">
        <f>SUM(E19:E25)</f>
        <v>0</v>
      </c>
      <c r="F26" s="169">
        <v>0</v>
      </c>
      <c r="G26" s="235">
        <v>0</v>
      </c>
      <c r="H26" s="236">
        <v>0</v>
      </c>
    </row>
    <row r="27" spans="1:8" ht="15.4" thickTop="1" x14ac:dyDescent="0.4">
      <c r="A27" s="170"/>
      <c r="B27" s="171"/>
      <c r="C27" s="226"/>
      <c r="D27" s="226"/>
      <c r="E27" s="226"/>
      <c r="F27" s="172"/>
      <c r="G27" s="242"/>
      <c r="H27" s="243"/>
    </row>
    <row r="28" spans="1:8" x14ac:dyDescent="0.4">
      <c r="A28" s="19" t="s">
        <v>62</v>
      </c>
      <c r="B28" s="164">
        <f>DATE(25,7,1)</f>
        <v>9314</v>
      </c>
      <c r="C28" s="225">
        <v>0</v>
      </c>
      <c r="D28" s="225">
        <v>0</v>
      </c>
      <c r="E28" s="225">
        <v>0</v>
      </c>
      <c r="F28" s="165">
        <v>0</v>
      </c>
      <c r="G28" s="240">
        <v>0</v>
      </c>
      <c r="H28" s="241">
        <v>0</v>
      </c>
    </row>
    <row r="29" spans="1:8" x14ac:dyDescent="0.4">
      <c r="A29" s="19"/>
      <c r="B29" s="164">
        <f>DATE(25,8,1)</f>
        <v>9345</v>
      </c>
      <c r="C29" s="225">
        <v>0</v>
      </c>
      <c r="D29" s="225">
        <v>0</v>
      </c>
      <c r="E29" s="225">
        <v>0</v>
      </c>
      <c r="F29" s="165">
        <v>0</v>
      </c>
      <c r="G29" s="240">
        <v>0</v>
      </c>
      <c r="H29" s="288">
        <v>0</v>
      </c>
    </row>
    <row r="30" spans="1:8" x14ac:dyDescent="0.4">
      <c r="A30" s="19"/>
      <c r="B30" s="164">
        <f>DATE(25,9,1)</f>
        <v>9376</v>
      </c>
      <c r="C30" s="225">
        <v>0</v>
      </c>
      <c r="D30" s="225">
        <v>0</v>
      </c>
      <c r="E30" s="225">
        <v>0</v>
      </c>
      <c r="F30" s="165">
        <v>0</v>
      </c>
      <c r="G30" s="240">
        <v>0</v>
      </c>
      <c r="H30" s="288">
        <v>0</v>
      </c>
    </row>
    <row r="31" spans="1:8" x14ac:dyDescent="0.4">
      <c r="A31" s="19"/>
      <c r="B31" s="164">
        <f>DATE(25,10,1)</f>
        <v>9406</v>
      </c>
      <c r="C31" s="225">
        <v>0</v>
      </c>
      <c r="D31" s="225">
        <v>0</v>
      </c>
      <c r="E31" s="225">
        <v>0</v>
      </c>
      <c r="F31" s="165">
        <v>0</v>
      </c>
      <c r="G31" s="240">
        <v>0</v>
      </c>
      <c r="H31" s="288">
        <v>0</v>
      </c>
    </row>
    <row r="32" spans="1:8" x14ac:dyDescent="0.4">
      <c r="A32" s="19"/>
      <c r="B32" s="164">
        <f>DATE(25,11,1)</f>
        <v>9437</v>
      </c>
      <c r="C32" s="225">
        <v>0</v>
      </c>
      <c r="D32" s="225">
        <v>0</v>
      </c>
      <c r="E32" s="225">
        <v>0</v>
      </c>
      <c r="F32" s="165">
        <v>0</v>
      </c>
      <c r="G32" s="240">
        <v>0</v>
      </c>
      <c r="H32" s="288">
        <v>0</v>
      </c>
    </row>
    <row r="33" spans="1:8" x14ac:dyDescent="0.4">
      <c r="A33" s="19"/>
      <c r="B33" s="164">
        <f>DATE(25,12,1)</f>
        <v>9467</v>
      </c>
      <c r="C33" s="225">
        <v>0</v>
      </c>
      <c r="D33" s="225">
        <v>0</v>
      </c>
      <c r="E33" s="225">
        <v>0</v>
      </c>
      <c r="F33" s="165">
        <v>0</v>
      </c>
      <c r="G33" s="240">
        <v>0</v>
      </c>
      <c r="H33" s="288">
        <v>0</v>
      </c>
    </row>
    <row r="34" spans="1:8" ht="15.4" thickBot="1" x14ac:dyDescent="0.45">
      <c r="A34" s="166"/>
      <c r="B34" s="164"/>
      <c r="C34" s="225"/>
      <c r="D34" s="225"/>
      <c r="E34" s="225"/>
      <c r="F34" s="165"/>
      <c r="G34" s="240"/>
      <c r="H34" s="241"/>
    </row>
    <row r="35" spans="1:8" ht="15.75" thickTop="1" thickBot="1" x14ac:dyDescent="0.45">
      <c r="A35" s="173" t="s">
        <v>14</v>
      </c>
      <c r="B35" s="174"/>
      <c r="C35" s="227">
        <f>SUM(C28:C34)</f>
        <v>0</v>
      </c>
      <c r="D35" s="227">
        <f>SUM(D28:D34)</f>
        <v>0</v>
      </c>
      <c r="E35" s="227">
        <f>SUM(E28:E34)</f>
        <v>0</v>
      </c>
      <c r="F35" s="175">
        <v>0</v>
      </c>
      <c r="G35" s="244">
        <v>0</v>
      </c>
      <c r="H35" s="245">
        <v>0</v>
      </c>
    </row>
    <row r="36" spans="1:8" ht="15.4" thickTop="1" x14ac:dyDescent="0.4">
      <c r="A36" s="166"/>
      <c r="B36" s="167"/>
      <c r="C36" s="225"/>
      <c r="D36" s="225"/>
      <c r="E36" s="225"/>
      <c r="F36" s="165"/>
      <c r="G36" s="240"/>
      <c r="H36" s="241"/>
    </row>
    <row r="37" spans="1:8" x14ac:dyDescent="0.4">
      <c r="A37" s="176" t="s">
        <v>58</v>
      </c>
      <c r="B37" s="164">
        <f>DATE(25,7,1)</f>
        <v>9314</v>
      </c>
      <c r="C37" s="225">
        <v>0</v>
      </c>
      <c r="D37" s="225">
        <v>0</v>
      </c>
      <c r="E37" s="225">
        <v>0</v>
      </c>
      <c r="F37" s="165">
        <v>0</v>
      </c>
      <c r="G37" s="240">
        <v>0</v>
      </c>
      <c r="H37" s="288">
        <v>0</v>
      </c>
    </row>
    <row r="38" spans="1:8" x14ac:dyDescent="0.4">
      <c r="A38" s="176"/>
      <c r="B38" s="164">
        <f>DATE(25,8,1)</f>
        <v>9345</v>
      </c>
      <c r="C38" s="225">
        <v>0</v>
      </c>
      <c r="D38" s="225">
        <v>0</v>
      </c>
      <c r="E38" s="225">
        <v>0</v>
      </c>
      <c r="F38" s="165">
        <v>0</v>
      </c>
      <c r="G38" s="240">
        <v>0</v>
      </c>
      <c r="H38" s="288">
        <v>0</v>
      </c>
    </row>
    <row r="39" spans="1:8" x14ac:dyDescent="0.4">
      <c r="A39" s="176"/>
      <c r="B39" s="164">
        <f>DATE(25,9,1)</f>
        <v>9376</v>
      </c>
      <c r="C39" s="225">
        <v>0</v>
      </c>
      <c r="D39" s="225">
        <v>0</v>
      </c>
      <c r="E39" s="225">
        <v>0</v>
      </c>
      <c r="F39" s="165">
        <v>0</v>
      </c>
      <c r="G39" s="240">
        <v>0</v>
      </c>
      <c r="H39" s="288">
        <v>0</v>
      </c>
    </row>
    <row r="40" spans="1:8" x14ac:dyDescent="0.4">
      <c r="A40" s="176"/>
      <c r="B40" s="164">
        <f>DATE(25,10,1)</f>
        <v>9406</v>
      </c>
      <c r="C40" s="225">
        <v>0</v>
      </c>
      <c r="D40" s="225">
        <v>0</v>
      </c>
      <c r="E40" s="225">
        <v>0</v>
      </c>
      <c r="F40" s="165">
        <v>0</v>
      </c>
      <c r="G40" s="240">
        <v>0</v>
      </c>
      <c r="H40" s="288">
        <v>0</v>
      </c>
    </row>
    <row r="41" spans="1:8" x14ac:dyDescent="0.4">
      <c r="A41" s="176"/>
      <c r="B41" s="164">
        <f>DATE(25,11,1)</f>
        <v>9437</v>
      </c>
      <c r="C41" s="225">
        <v>0</v>
      </c>
      <c r="D41" s="225">
        <v>0</v>
      </c>
      <c r="E41" s="225">
        <v>0</v>
      </c>
      <c r="F41" s="165">
        <v>0</v>
      </c>
      <c r="G41" s="240">
        <v>0</v>
      </c>
      <c r="H41" s="288">
        <v>0</v>
      </c>
    </row>
    <row r="42" spans="1:8" x14ac:dyDescent="0.4">
      <c r="A42" s="176"/>
      <c r="B42" s="164">
        <f>DATE(25,12,1)</f>
        <v>9467</v>
      </c>
      <c r="C42" s="225">
        <v>0</v>
      </c>
      <c r="D42" s="225">
        <v>0</v>
      </c>
      <c r="E42" s="225">
        <v>0</v>
      </c>
      <c r="F42" s="165">
        <v>0</v>
      </c>
      <c r="G42" s="240">
        <v>0</v>
      </c>
      <c r="H42" s="288">
        <v>0</v>
      </c>
    </row>
    <row r="43" spans="1:8" ht="15.4" thickBot="1" x14ac:dyDescent="0.45">
      <c r="A43" s="166"/>
      <c r="B43" s="167"/>
      <c r="C43" s="225"/>
      <c r="D43" s="225"/>
      <c r="E43" s="225"/>
      <c r="F43" s="165"/>
      <c r="G43" s="240"/>
      <c r="H43" s="241"/>
    </row>
    <row r="44" spans="1:8" ht="15.75" thickTop="1" thickBot="1" x14ac:dyDescent="0.45">
      <c r="A44" s="173" t="s">
        <v>14</v>
      </c>
      <c r="B44" s="177"/>
      <c r="C44" s="227">
        <f>SUM(C37:C43)</f>
        <v>0</v>
      </c>
      <c r="D44" s="227">
        <f>SUM(D37:D43)</f>
        <v>0</v>
      </c>
      <c r="E44" s="227">
        <f>SUM(E37:E43)</f>
        <v>0</v>
      </c>
      <c r="F44" s="175">
        <v>0</v>
      </c>
      <c r="G44" s="244">
        <v>0</v>
      </c>
      <c r="H44" s="245">
        <v>0</v>
      </c>
    </row>
    <row r="45" spans="1:8" ht="15.4" thickTop="1" x14ac:dyDescent="0.4">
      <c r="A45" s="166"/>
      <c r="B45" s="167"/>
      <c r="C45" s="225"/>
      <c r="D45" s="225"/>
      <c r="E45" s="225"/>
      <c r="F45" s="165"/>
      <c r="G45" s="240"/>
      <c r="H45" s="241"/>
    </row>
    <row r="46" spans="1:8" x14ac:dyDescent="0.4">
      <c r="A46" s="163" t="s">
        <v>60</v>
      </c>
      <c r="B46" s="164">
        <f>DATE(25,7,1)</f>
        <v>9314</v>
      </c>
      <c r="C46" s="225">
        <v>0</v>
      </c>
      <c r="D46" s="225">
        <v>0</v>
      </c>
      <c r="E46" s="225">
        <v>0</v>
      </c>
      <c r="F46" s="165">
        <v>0</v>
      </c>
      <c r="G46" s="240">
        <v>0</v>
      </c>
      <c r="H46" s="241">
        <v>0</v>
      </c>
    </row>
    <row r="47" spans="1:8" x14ac:dyDescent="0.4">
      <c r="A47" s="163"/>
      <c r="B47" s="164">
        <f>DATE(25,8,1)</f>
        <v>9345</v>
      </c>
      <c r="C47" s="225">
        <v>0</v>
      </c>
      <c r="D47" s="225">
        <v>0</v>
      </c>
      <c r="E47" s="225">
        <v>0</v>
      </c>
      <c r="F47" s="165">
        <v>0</v>
      </c>
      <c r="G47" s="240">
        <v>0</v>
      </c>
      <c r="H47" s="288">
        <v>0</v>
      </c>
    </row>
    <row r="48" spans="1:8" x14ac:dyDescent="0.4">
      <c r="A48" s="163"/>
      <c r="B48" s="164">
        <f>DATE(25,9,1)</f>
        <v>9376</v>
      </c>
      <c r="C48" s="225">
        <v>0</v>
      </c>
      <c r="D48" s="225">
        <v>0</v>
      </c>
      <c r="E48" s="225">
        <v>0</v>
      </c>
      <c r="F48" s="165">
        <v>0</v>
      </c>
      <c r="G48" s="240">
        <v>0</v>
      </c>
      <c r="H48" s="288">
        <v>0</v>
      </c>
    </row>
    <row r="49" spans="1:8" x14ac:dyDescent="0.4">
      <c r="A49" s="163"/>
      <c r="B49" s="164">
        <f>DATE(25,10,1)</f>
        <v>9406</v>
      </c>
      <c r="C49" s="225">
        <v>0</v>
      </c>
      <c r="D49" s="225">
        <v>0</v>
      </c>
      <c r="E49" s="225">
        <v>0</v>
      </c>
      <c r="F49" s="165">
        <v>0</v>
      </c>
      <c r="G49" s="240">
        <v>0</v>
      </c>
      <c r="H49" s="288">
        <v>0</v>
      </c>
    </row>
    <row r="50" spans="1:8" x14ac:dyDescent="0.4">
      <c r="A50" s="163"/>
      <c r="B50" s="164">
        <f>DATE(25,11,1)</f>
        <v>9437</v>
      </c>
      <c r="C50" s="225">
        <v>0</v>
      </c>
      <c r="D50" s="225">
        <v>0</v>
      </c>
      <c r="E50" s="225">
        <v>0</v>
      </c>
      <c r="F50" s="165">
        <v>0</v>
      </c>
      <c r="G50" s="240">
        <v>0</v>
      </c>
      <c r="H50" s="288">
        <v>0</v>
      </c>
    </row>
    <row r="51" spans="1:8" x14ac:dyDescent="0.4">
      <c r="A51" s="163"/>
      <c r="B51" s="164">
        <f>DATE(25,12,1)</f>
        <v>9467</v>
      </c>
      <c r="C51" s="225">
        <v>0</v>
      </c>
      <c r="D51" s="225">
        <v>0</v>
      </c>
      <c r="E51" s="225">
        <v>0</v>
      </c>
      <c r="F51" s="165">
        <v>0</v>
      </c>
      <c r="G51" s="240">
        <v>0</v>
      </c>
      <c r="H51" s="288">
        <v>0</v>
      </c>
    </row>
    <row r="52" spans="1:8" ht="15.4" thickBot="1" x14ac:dyDescent="0.45">
      <c r="A52" s="166"/>
      <c r="B52" s="164"/>
      <c r="C52" s="225"/>
      <c r="D52" s="225"/>
      <c r="E52" s="225"/>
      <c r="F52" s="165"/>
      <c r="G52" s="240"/>
      <c r="H52" s="241"/>
    </row>
    <row r="53" spans="1:8" ht="15.75" thickTop="1" thickBot="1" x14ac:dyDescent="0.45">
      <c r="A53" s="173" t="s">
        <v>14</v>
      </c>
      <c r="B53" s="174"/>
      <c r="C53" s="227">
        <f>SUM(C46:C52)</f>
        <v>0</v>
      </c>
      <c r="D53" s="229">
        <f>SUM(D46:D52)</f>
        <v>0</v>
      </c>
      <c r="E53" s="270">
        <f>SUM(E46:E52)</f>
        <v>0</v>
      </c>
      <c r="F53" s="175">
        <v>0</v>
      </c>
      <c r="G53" s="244">
        <v>0</v>
      </c>
      <c r="H53" s="245">
        <v>0</v>
      </c>
    </row>
    <row r="54" spans="1:8" ht="15.4" thickTop="1" x14ac:dyDescent="0.4">
      <c r="A54" s="166"/>
      <c r="B54" s="167"/>
      <c r="C54" s="225"/>
      <c r="D54" s="225"/>
      <c r="E54" s="225"/>
      <c r="F54" s="165"/>
      <c r="G54" s="240"/>
      <c r="H54" s="241"/>
    </row>
    <row r="55" spans="1:8" x14ac:dyDescent="0.4">
      <c r="A55" s="163" t="s">
        <v>64</v>
      </c>
      <c r="B55" s="164">
        <f>DATE(25,7,1)</f>
        <v>9314</v>
      </c>
      <c r="C55" s="225">
        <v>0</v>
      </c>
      <c r="D55" s="225">
        <v>0</v>
      </c>
      <c r="E55" s="225">
        <v>0</v>
      </c>
      <c r="F55" s="165">
        <v>0</v>
      </c>
      <c r="G55" s="240">
        <v>0</v>
      </c>
      <c r="H55" s="241">
        <v>0</v>
      </c>
    </row>
    <row r="56" spans="1:8" x14ac:dyDescent="0.4">
      <c r="A56" s="163"/>
      <c r="B56" s="164">
        <f>DATE(25,8,1)</f>
        <v>9345</v>
      </c>
      <c r="C56" s="225">
        <v>0</v>
      </c>
      <c r="D56" s="225">
        <v>0</v>
      </c>
      <c r="E56" s="225">
        <v>0</v>
      </c>
      <c r="F56" s="165">
        <v>0</v>
      </c>
      <c r="G56" s="240">
        <v>0</v>
      </c>
      <c r="H56" s="288">
        <v>0</v>
      </c>
    </row>
    <row r="57" spans="1:8" x14ac:dyDescent="0.4">
      <c r="A57" s="163"/>
      <c r="B57" s="164">
        <f>DATE(25,9,1)</f>
        <v>9376</v>
      </c>
      <c r="C57" s="225">
        <v>0</v>
      </c>
      <c r="D57" s="225">
        <v>0</v>
      </c>
      <c r="E57" s="225">
        <v>0</v>
      </c>
      <c r="F57" s="165">
        <v>0</v>
      </c>
      <c r="G57" s="240">
        <v>0</v>
      </c>
      <c r="H57" s="288">
        <v>0</v>
      </c>
    </row>
    <row r="58" spans="1:8" x14ac:dyDescent="0.4">
      <c r="A58" s="163"/>
      <c r="B58" s="164">
        <f>DATE(25,10,1)</f>
        <v>9406</v>
      </c>
      <c r="C58" s="225">
        <v>0</v>
      </c>
      <c r="D58" s="225">
        <v>0</v>
      </c>
      <c r="E58" s="225">
        <v>0</v>
      </c>
      <c r="F58" s="165">
        <v>0</v>
      </c>
      <c r="G58" s="240">
        <v>0</v>
      </c>
      <c r="H58" s="288">
        <v>0</v>
      </c>
    </row>
    <row r="59" spans="1:8" x14ac:dyDescent="0.4">
      <c r="A59" s="163"/>
      <c r="B59" s="164">
        <f>DATE(25,11,1)</f>
        <v>9437</v>
      </c>
      <c r="C59" s="225">
        <v>0</v>
      </c>
      <c r="D59" s="225">
        <v>0</v>
      </c>
      <c r="E59" s="225">
        <v>0</v>
      </c>
      <c r="F59" s="165">
        <v>0</v>
      </c>
      <c r="G59" s="240">
        <v>0</v>
      </c>
      <c r="H59" s="288">
        <v>0</v>
      </c>
    </row>
    <row r="60" spans="1:8" x14ac:dyDescent="0.4">
      <c r="A60" s="163"/>
      <c r="B60" s="164">
        <f>DATE(25,12,1)</f>
        <v>9467</v>
      </c>
      <c r="C60" s="225">
        <v>0</v>
      </c>
      <c r="D60" s="225">
        <v>0</v>
      </c>
      <c r="E60" s="225">
        <v>0</v>
      </c>
      <c r="F60" s="165">
        <v>0</v>
      </c>
      <c r="G60" s="240">
        <v>0</v>
      </c>
      <c r="H60" s="288">
        <v>0</v>
      </c>
    </row>
    <row r="61" spans="1:8" ht="15.4" thickBot="1" x14ac:dyDescent="0.45">
      <c r="A61" s="166"/>
      <c r="B61" s="164"/>
      <c r="C61" s="225"/>
      <c r="D61" s="225"/>
      <c r="E61" s="225"/>
      <c r="F61" s="165"/>
      <c r="G61" s="240"/>
      <c r="H61" s="241"/>
    </row>
    <row r="62" spans="1:8" ht="15.75" thickTop="1" thickBot="1" x14ac:dyDescent="0.45">
      <c r="A62" s="173" t="s">
        <v>14</v>
      </c>
      <c r="B62" s="174"/>
      <c r="C62" s="227">
        <f>SUM(C55:C61)</f>
        <v>0</v>
      </c>
      <c r="D62" s="229">
        <f>SUM(D55:D61)</f>
        <v>0</v>
      </c>
      <c r="E62" s="270">
        <f>SUM(E55:E61)</f>
        <v>0</v>
      </c>
      <c r="F62" s="175">
        <v>0</v>
      </c>
      <c r="G62" s="244">
        <v>0</v>
      </c>
      <c r="H62" s="245">
        <v>0</v>
      </c>
    </row>
    <row r="63" spans="1:8" ht="15.4" thickTop="1" x14ac:dyDescent="0.4">
      <c r="A63" s="166"/>
      <c r="B63" s="167"/>
      <c r="C63" s="225"/>
      <c r="D63" s="225"/>
      <c r="E63" s="225"/>
      <c r="F63" s="165"/>
      <c r="G63" s="240"/>
      <c r="H63" s="241"/>
    </row>
    <row r="64" spans="1:8" x14ac:dyDescent="0.4">
      <c r="A64" s="163" t="s">
        <v>67</v>
      </c>
      <c r="B64" s="164">
        <f>DATE(25,7,1)</f>
        <v>9314</v>
      </c>
      <c r="C64" s="225">
        <v>0</v>
      </c>
      <c r="D64" s="225">
        <v>0</v>
      </c>
      <c r="E64" s="225">
        <v>0</v>
      </c>
      <c r="F64" s="165">
        <v>0</v>
      </c>
      <c r="G64" s="240">
        <v>0</v>
      </c>
      <c r="H64" s="241">
        <v>0</v>
      </c>
    </row>
    <row r="65" spans="1:8" x14ac:dyDescent="0.4">
      <c r="A65" s="163"/>
      <c r="B65" s="164">
        <f>DATE(25,8,1)</f>
        <v>9345</v>
      </c>
      <c r="C65" s="225">
        <v>0</v>
      </c>
      <c r="D65" s="225">
        <v>0</v>
      </c>
      <c r="E65" s="225">
        <v>0</v>
      </c>
      <c r="F65" s="165">
        <v>0</v>
      </c>
      <c r="G65" s="240">
        <v>0</v>
      </c>
      <c r="H65" s="288">
        <v>0</v>
      </c>
    </row>
    <row r="66" spans="1:8" x14ac:dyDescent="0.4">
      <c r="A66" s="163"/>
      <c r="B66" s="164">
        <f>DATE(25,9,1)</f>
        <v>9376</v>
      </c>
      <c r="C66" s="225">
        <v>0</v>
      </c>
      <c r="D66" s="225">
        <v>0</v>
      </c>
      <c r="E66" s="225">
        <v>0</v>
      </c>
      <c r="F66" s="165">
        <v>0</v>
      </c>
      <c r="G66" s="240">
        <v>0</v>
      </c>
      <c r="H66" s="288">
        <v>0</v>
      </c>
    </row>
    <row r="67" spans="1:8" x14ac:dyDescent="0.4">
      <c r="A67" s="163"/>
      <c r="B67" s="164">
        <f>DATE(25,10,1)</f>
        <v>9406</v>
      </c>
      <c r="C67" s="225">
        <v>0</v>
      </c>
      <c r="D67" s="225">
        <v>0</v>
      </c>
      <c r="E67" s="225">
        <v>0</v>
      </c>
      <c r="F67" s="165">
        <v>0</v>
      </c>
      <c r="G67" s="240">
        <v>0</v>
      </c>
      <c r="H67" s="288">
        <v>0</v>
      </c>
    </row>
    <row r="68" spans="1:8" x14ac:dyDescent="0.4">
      <c r="A68" s="163"/>
      <c r="B68" s="164">
        <f>DATE(25,11,1)</f>
        <v>9437</v>
      </c>
      <c r="C68" s="225">
        <v>0</v>
      </c>
      <c r="D68" s="225">
        <v>0</v>
      </c>
      <c r="E68" s="225">
        <v>0</v>
      </c>
      <c r="F68" s="165">
        <v>0</v>
      </c>
      <c r="G68" s="240">
        <v>0</v>
      </c>
      <c r="H68" s="288">
        <v>0</v>
      </c>
    </row>
    <row r="69" spans="1:8" x14ac:dyDescent="0.4">
      <c r="A69" s="163"/>
      <c r="B69" s="164">
        <f>DATE(25,12,1)</f>
        <v>9467</v>
      </c>
      <c r="C69" s="225">
        <v>0</v>
      </c>
      <c r="D69" s="225">
        <v>0</v>
      </c>
      <c r="E69" s="225">
        <v>0</v>
      </c>
      <c r="F69" s="165">
        <v>0</v>
      </c>
      <c r="G69" s="240">
        <v>0</v>
      </c>
      <c r="H69" s="288">
        <v>0</v>
      </c>
    </row>
    <row r="70" spans="1:8" ht="15.4" thickBot="1" x14ac:dyDescent="0.45">
      <c r="A70" s="166"/>
      <c r="B70" s="164"/>
      <c r="C70" s="225"/>
      <c r="D70" s="225"/>
      <c r="E70" s="225"/>
      <c r="F70" s="165"/>
      <c r="G70" s="240"/>
      <c r="H70" s="241"/>
    </row>
    <row r="71" spans="1:8" ht="15.75" thickTop="1" thickBot="1" x14ac:dyDescent="0.45">
      <c r="A71" s="173" t="s">
        <v>14</v>
      </c>
      <c r="B71" s="174"/>
      <c r="C71" s="227">
        <f>SUM(C64:C70)</f>
        <v>0</v>
      </c>
      <c r="D71" s="229">
        <f>SUM(D64:D70)</f>
        <v>0</v>
      </c>
      <c r="E71" s="270">
        <f>SUM(E64:E70)</f>
        <v>0</v>
      </c>
      <c r="F71" s="175">
        <v>0</v>
      </c>
      <c r="G71" s="244">
        <v>0</v>
      </c>
      <c r="H71" s="245">
        <v>0</v>
      </c>
    </row>
    <row r="72" spans="1:8" ht="15.4" thickTop="1" x14ac:dyDescent="0.4">
      <c r="A72" s="166"/>
      <c r="B72" s="167"/>
      <c r="C72" s="225"/>
      <c r="D72" s="225"/>
      <c r="E72" s="225"/>
      <c r="F72" s="165"/>
      <c r="G72" s="240"/>
      <c r="H72" s="241"/>
    </row>
    <row r="73" spans="1:8" x14ac:dyDescent="0.4">
      <c r="A73" s="163" t="s">
        <v>69</v>
      </c>
      <c r="B73" s="164">
        <f>DATE(25,7,1)</f>
        <v>9314</v>
      </c>
      <c r="C73" s="225">
        <v>0</v>
      </c>
      <c r="D73" s="225">
        <v>0</v>
      </c>
      <c r="E73" s="225">
        <v>0</v>
      </c>
      <c r="F73" s="165">
        <v>0</v>
      </c>
      <c r="G73" s="240">
        <v>0</v>
      </c>
      <c r="H73" s="241">
        <v>0</v>
      </c>
    </row>
    <row r="74" spans="1:8" x14ac:dyDescent="0.4">
      <c r="A74" s="163"/>
      <c r="B74" s="164">
        <f>DATE(25,8,1)</f>
        <v>9345</v>
      </c>
      <c r="C74" s="225">
        <v>0</v>
      </c>
      <c r="D74" s="225">
        <v>0</v>
      </c>
      <c r="E74" s="225">
        <v>0</v>
      </c>
      <c r="F74" s="165">
        <v>0</v>
      </c>
      <c r="G74" s="240">
        <v>0</v>
      </c>
      <c r="H74" s="288">
        <v>0</v>
      </c>
    </row>
    <row r="75" spans="1:8" x14ac:dyDescent="0.4">
      <c r="A75" s="163"/>
      <c r="B75" s="164">
        <f>DATE(25,9,1)</f>
        <v>9376</v>
      </c>
      <c r="C75" s="225">
        <v>0</v>
      </c>
      <c r="D75" s="225">
        <v>0</v>
      </c>
      <c r="E75" s="225">
        <v>0</v>
      </c>
      <c r="F75" s="165">
        <v>0</v>
      </c>
      <c r="G75" s="240">
        <v>0</v>
      </c>
      <c r="H75" s="288">
        <v>0</v>
      </c>
    </row>
    <row r="76" spans="1:8" x14ac:dyDescent="0.4">
      <c r="A76" s="163"/>
      <c r="B76" s="164">
        <f>DATE(25,10,1)</f>
        <v>9406</v>
      </c>
      <c r="C76" s="225">
        <v>0</v>
      </c>
      <c r="D76" s="225">
        <v>0</v>
      </c>
      <c r="E76" s="225">
        <v>0</v>
      </c>
      <c r="F76" s="165">
        <v>0</v>
      </c>
      <c r="G76" s="240">
        <v>0</v>
      </c>
      <c r="H76" s="288">
        <v>0</v>
      </c>
    </row>
    <row r="77" spans="1:8" x14ac:dyDescent="0.4">
      <c r="A77" s="163"/>
      <c r="B77" s="164">
        <f>DATE(25,11,1)</f>
        <v>9437</v>
      </c>
      <c r="C77" s="225">
        <v>0</v>
      </c>
      <c r="D77" s="225">
        <v>0</v>
      </c>
      <c r="E77" s="225">
        <v>0</v>
      </c>
      <c r="F77" s="165">
        <v>0</v>
      </c>
      <c r="G77" s="240">
        <v>0</v>
      </c>
      <c r="H77" s="288">
        <v>0</v>
      </c>
    </row>
    <row r="78" spans="1:8" x14ac:dyDescent="0.4">
      <c r="A78" s="163"/>
      <c r="B78" s="164">
        <f>DATE(25,12,1)</f>
        <v>9467</v>
      </c>
      <c r="C78" s="225">
        <v>0</v>
      </c>
      <c r="D78" s="225">
        <v>0</v>
      </c>
      <c r="E78" s="225">
        <v>0</v>
      </c>
      <c r="F78" s="165">
        <v>0</v>
      </c>
      <c r="G78" s="240">
        <v>0</v>
      </c>
      <c r="H78" s="288">
        <v>0</v>
      </c>
    </row>
    <row r="79" spans="1:8" ht="15.4" thickBot="1" x14ac:dyDescent="0.45">
      <c r="A79" s="166"/>
      <c r="B79" s="164"/>
      <c r="C79" s="225"/>
      <c r="D79" s="225"/>
      <c r="E79" s="225"/>
      <c r="F79" s="165"/>
      <c r="G79" s="240"/>
      <c r="H79" s="241"/>
    </row>
    <row r="80" spans="1:8" ht="15.75" thickTop="1" thickBot="1" x14ac:dyDescent="0.45">
      <c r="A80" s="173" t="s">
        <v>14</v>
      </c>
      <c r="B80" s="174"/>
      <c r="C80" s="227">
        <f>SUM(C73:C79)</f>
        <v>0</v>
      </c>
      <c r="D80" s="229">
        <f>SUM(D73:D79)</f>
        <v>0</v>
      </c>
      <c r="E80" s="270">
        <f>SUM(E73:E79)</f>
        <v>0</v>
      </c>
      <c r="F80" s="175">
        <v>0</v>
      </c>
      <c r="G80" s="248">
        <v>0</v>
      </c>
      <c r="H80" s="269">
        <v>0</v>
      </c>
    </row>
    <row r="81" spans="1:8" ht="15.4" thickTop="1" x14ac:dyDescent="0.4">
      <c r="A81" s="166"/>
      <c r="B81" s="178"/>
      <c r="C81" s="228"/>
      <c r="D81" s="228"/>
      <c r="E81" s="228"/>
      <c r="F81" s="179"/>
      <c r="G81" s="246"/>
      <c r="H81" s="247"/>
    </row>
    <row r="82" spans="1:8" x14ac:dyDescent="0.4">
      <c r="A82" s="163" t="s">
        <v>16</v>
      </c>
      <c r="B82" s="164">
        <f>DATE(25,7,1)</f>
        <v>9314</v>
      </c>
      <c r="C82" s="225">
        <v>0</v>
      </c>
      <c r="D82" s="225">
        <v>0</v>
      </c>
      <c r="E82" s="225">
        <v>0</v>
      </c>
      <c r="F82" s="165">
        <v>0</v>
      </c>
      <c r="G82" s="240">
        <v>0</v>
      </c>
      <c r="H82" s="241">
        <v>0</v>
      </c>
    </row>
    <row r="83" spans="1:8" x14ac:dyDescent="0.4">
      <c r="A83" s="163"/>
      <c r="B83" s="164">
        <f>DATE(25,8,1)</f>
        <v>9345</v>
      </c>
      <c r="C83" s="225">
        <v>0</v>
      </c>
      <c r="D83" s="225">
        <v>0</v>
      </c>
      <c r="E83" s="225">
        <v>0</v>
      </c>
      <c r="F83" s="165">
        <v>0</v>
      </c>
      <c r="G83" s="240">
        <v>0</v>
      </c>
      <c r="H83" s="288">
        <v>0</v>
      </c>
    </row>
    <row r="84" spans="1:8" x14ac:dyDescent="0.4">
      <c r="A84" s="163"/>
      <c r="B84" s="164">
        <f>DATE(25,9,1)</f>
        <v>9376</v>
      </c>
      <c r="C84" s="225">
        <v>0</v>
      </c>
      <c r="D84" s="225">
        <v>0</v>
      </c>
      <c r="E84" s="225">
        <v>0</v>
      </c>
      <c r="F84" s="165">
        <v>0</v>
      </c>
      <c r="G84" s="240">
        <v>0</v>
      </c>
      <c r="H84" s="288">
        <v>0</v>
      </c>
    </row>
    <row r="85" spans="1:8" x14ac:dyDescent="0.4">
      <c r="A85" s="163"/>
      <c r="B85" s="164">
        <f>DATE(25,10,1)</f>
        <v>9406</v>
      </c>
      <c r="C85" s="225">
        <v>0</v>
      </c>
      <c r="D85" s="225">
        <v>0</v>
      </c>
      <c r="E85" s="225">
        <v>0</v>
      </c>
      <c r="F85" s="165">
        <v>0</v>
      </c>
      <c r="G85" s="240">
        <v>0</v>
      </c>
      <c r="H85" s="288">
        <v>0</v>
      </c>
    </row>
    <row r="86" spans="1:8" x14ac:dyDescent="0.4">
      <c r="A86" s="163"/>
      <c r="B86" s="164">
        <f>DATE(25,11,1)</f>
        <v>9437</v>
      </c>
      <c r="C86" s="225">
        <v>0</v>
      </c>
      <c r="D86" s="225">
        <v>0</v>
      </c>
      <c r="E86" s="225">
        <v>0</v>
      </c>
      <c r="F86" s="165">
        <v>0</v>
      </c>
      <c r="G86" s="240">
        <v>0</v>
      </c>
      <c r="H86" s="288">
        <v>0</v>
      </c>
    </row>
    <row r="87" spans="1:8" x14ac:dyDescent="0.4">
      <c r="A87" s="163"/>
      <c r="B87" s="164">
        <f>DATE(25,12,1)</f>
        <v>9467</v>
      </c>
      <c r="C87" s="225">
        <v>0</v>
      </c>
      <c r="D87" s="225">
        <v>0</v>
      </c>
      <c r="E87" s="225">
        <v>0</v>
      </c>
      <c r="F87" s="165">
        <v>0</v>
      </c>
      <c r="G87" s="240">
        <v>0</v>
      </c>
      <c r="H87" s="288">
        <v>0</v>
      </c>
    </row>
    <row r="88" spans="1:8" ht="15.4" thickBot="1" x14ac:dyDescent="0.45">
      <c r="A88" s="163"/>
      <c r="B88" s="164"/>
      <c r="C88" s="225"/>
      <c r="D88" s="225"/>
      <c r="E88" s="225"/>
      <c r="F88" s="165"/>
      <c r="G88" s="240"/>
      <c r="H88" s="241"/>
    </row>
    <row r="89" spans="1:8" ht="15.75" thickTop="1" thickBot="1" x14ac:dyDescent="0.45">
      <c r="A89" s="173" t="s">
        <v>14</v>
      </c>
      <c r="B89" s="180"/>
      <c r="C89" s="227">
        <f>SUM(C82:C88)</f>
        <v>0</v>
      </c>
      <c r="D89" s="227">
        <f>SUM(D82:D88)</f>
        <v>0</v>
      </c>
      <c r="E89" s="227">
        <f>SUM(E82:E88)</f>
        <v>0</v>
      </c>
      <c r="F89" s="175">
        <v>0</v>
      </c>
      <c r="G89" s="244">
        <v>0</v>
      </c>
      <c r="H89" s="245">
        <v>0</v>
      </c>
    </row>
    <row r="90" spans="1:8" ht="15.4" thickTop="1" x14ac:dyDescent="0.4">
      <c r="A90" s="170"/>
      <c r="B90" s="171"/>
      <c r="C90" s="226"/>
      <c r="D90" s="226"/>
      <c r="E90" s="226"/>
      <c r="F90" s="172"/>
      <c r="G90" s="242"/>
      <c r="H90" s="243"/>
    </row>
    <row r="91" spans="1:8" x14ac:dyDescent="0.4">
      <c r="A91" s="163" t="s">
        <v>53</v>
      </c>
      <c r="B91" s="164">
        <f>DATE(25,7,1)</f>
        <v>9314</v>
      </c>
      <c r="C91" s="225">
        <v>0</v>
      </c>
      <c r="D91" s="225">
        <v>0</v>
      </c>
      <c r="E91" s="225">
        <v>68164.28</v>
      </c>
      <c r="F91" s="165">
        <v>-1</v>
      </c>
      <c r="G91" s="240">
        <v>0</v>
      </c>
      <c r="H91" s="288">
        <v>0</v>
      </c>
    </row>
    <row r="92" spans="1:8" x14ac:dyDescent="0.4">
      <c r="A92" s="163"/>
      <c r="B92" s="164">
        <f>DATE(25,8,1)</f>
        <v>9345</v>
      </c>
      <c r="C92" s="225">
        <v>0</v>
      </c>
      <c r="D92" s="225">
        <v>0</v>
      </c>
      <c r="E92" s="225">
        <v>71751.61</v>
      </c>
      <c r="F92" s="165">
        <v>-1</v>
      </c>
      <c r="G92" s="240">
        <v>0</v>
      </c>
      <c r="H92" s="288">
        <v>0</v>
      </c>
    </row>
    <row r="93" spans="1:8" x14ac:dyDescent="0.4">
      <c r="A93" s="163"/>
      <c r="B93" s="164">
        <f>DATE(25,9,1)</f>
        <v>9376</v>
      </c>
      <c r="C93" s="225">
        <v>0</v>
      </c>
      <c r="D93" s="225">
        <v>0</v>
      </c>
      <c r="E93" s="225">
        <v>43866.52</v>
      </c>
      <c r="F93" s="165">
        <v>-1</v>
      </c>
      <c r="G93" s="240">
        <v>0</v>
      </c>
      <c r="H93" s="288">
        <v>0</v>
      </c>
    </row>
    <row r="94" spans="1:8" x14ac:dyDescent="0.4">
      <c r="A94" s="163"/>
      <c r="B94" s="164">
        <f>DATE(25,10,1)</f>
        <v>9406</v>
      </c>
      <c r="C94" s="225">
        <v>0</v>
      </c>
      <c r="D94" s="225">
        <v>0</v>
      </c>
      <c r="E94" s="225">
        <v>65540.570000000007</v>
      </c>
      <c r="F94" s="165">
        <v>-1</v>
      </c>
      <c r="G94" s="240">
        <v>0</v>
      </c>
      <c r="H94" s="288">
        <v>0</v>
      </c>
    </row>
    <row r="95" spans="1:8" x14ac:dyDescent="0.4">
      <c r="A95" s="163"/>
      <c r="B95" s="164">
        <f>DATE(25,11,1)</f>
        <v>9437</v>
      </c>
      <c r="C95" s="225">
        <v>0</v>
      </c>
      <c r="D95" s="225">
        <v>0</v>
      </c>
      <c r="E95" s="225">
        <v>95014</v>
      </c>
      <c r="F95" s="165">
        <v>-1</v>
      </c>
      <c r="G95" s="240">
        <v>0</v>
      </c>
      <c r="H95" s="288">
        <v>0</v>
      </c>
    </row>
    <row r="96" spans="1:8" x14ac:dyDescent="0.4">
      <c r="A96" s="163"/>
      <c r="B96" s="164">
        <f>DATE(25,12,1)</f>
        <v>9467</v>
      </c>
      <c r="C96" s="225">
        <v>0</v>
      </c>
      <c r="D96" s="225">
        <v>0</v>
      </c>
      <c r="E96" s="225">
        <v>68607.25</v>
      </c>
      <c r="F96" s="165">
        <v>-1</v>
      </c>
      <c r="G96" s="240">
        <v>0</v>
      </c>
      <c r="H96" s="288">
        <v>0</v>
      </c>
    </row>
    <row r="97" spans="1:8" ht="15.4" thickBot="1" x14ac:dyDescent="0.45">
      <c r="A97" s="166"/>
      <c r="B97" s="167"/>
      <c r="C97" s="225"/>
      <c r="D97" s="225"/>
      <c r="E97" s="225"/>
      <c r="F97" s="165"/>
      <c r="G97" s="240"/>
      <c r="H97" s="241"/>
    </row>
    <row r="98" spans="1:8" ht="15.75" thickTop="1" thickBot="1" x14ac:dyDescent="0.45">
      <c r="A98" s="173" t="s">
        <v>14</v>
      </c>
      <c r="B98" s="174"/>
      <c r="C98" s="227">
        <f>SUM(C91:C97)</f>
        <v>0</v>
      </c>
      <c r="D98" s="227">
        <f>SUM(D91:D97)</f>
        <v>0</v>
      </c>
      <c r="E98" s="227">
        <f>SUM(E91:E97)</f>
        <v>412944.23</v>
      </c>
      <c r="F98" s="175">
        <v>-1</v>
      </c>
      <c r="G98" s="291">
        <v>0</v>
      </c>
      <c r="H98" s="292">
        <v>0</v>
      </c>
    </row>
    <row r="99" spans="1:8" ht="15.4" thickTop="1" x14ac:dyDescent="0.4">
      <c r="A99" s="166"/>
      <c r="B99" s="167"/>
      <c r="C99" s="225"/>
      <c r="D99" s="225"/>
      <c r="E99" s="225"/>
      <c r="F99" s="165"/>
      <c r="G99" s="240"/>
      <c r="H99" s="241"/>
    </row>
    <row r="100" spans="1:8" x14ac:dyDescent="0.4">
      <c r="A100" s="163" t="s">
        <v>54</v>
      </c>
      <c r="B100" s="164">
        <f>DATE(25,7,1)</f>
        <v>9314</v>
      </c>
      <c r="C100" s="225">
        <v>0</v>
      </c>
      <c r="D100" s="225">
        <v>0</v>
      </c>
      <c r="E100" s="225">
        <v>0</v>
      </c>
      <c r="F100" s="165">
        <v>0</v>
      </c>
      <c r="G100" s="240">
        <v>0</v>
      </c>
      <c r="H100" s="241">
        <v>0</v>
      </c>
    </row>
    <row r="101" spans="1:8" x14ac:dyDescent="0.4">
      <c r="A101" s="163"/>
      <c r="B101" s="164">
        <f>DATE(25,8,1)</f>
        <v>9345</v>
      </c>
      <c r="C101" s="225">
        <v>0</v>
      </c>
      <c r="D101" s="225">
        <v>0</v>
      </c>
      <c r="E101" s="225">
        <v>0</v>
      </c>
      <c r="F101" s="165">
        <v>0</v>
      </c>
      <c r="G101" s="240">
        <v>0</v>
      </c>
      <c r="H101" s="288">
        <v>0</v>
      </c>
    </row>
    <row r="102" spans="1:8" x14ac:dyDescent="0.4">
      <c r="A102" s="163"/>
      <c r="B102" s="164">
        <f>DATE(25,9,1)</f>
        <v>9376</v>
      </c>
      <c r="C102" s="225">
        <v>0</v>
      </c>
      <c r="D102" s="225">
        <v>0</v>
      </c>
      <c r="E102" s="225">
        <v>0</v>
      </c>
      <c r="F102" s="165">
        <v>0</v>
      </c>
      <c r="G102" s="240">
        <v>0</v>
      </c>
      <c r="H102" s="288">
        <v>0</v>
      </c>
    </row>
    <row r="103" spans="1:8" x14ac:dyDescent="0.4">
      <c r="A103" s="163"/>
      <c r="B103" s="164">
        <f>DATE(25,10,1)</f>
        <v>9406</v>
      </c>
      <c r="C103" s="225">
        <v>0</v>
      </c>
      <c r="D103" s="225">
        <v>0</v>
      </c>
      <c r="E103" s="225">
        <v>0</v>
      </c>
      <c r="F103" s="165">
        <v>0</v>
      </c>
      <c r="G103" s="240">
        <v>0</v>
      </c>
      <c r="H103" s="288">
        <v>0</v>
      </c>
    </row>
    <row r="104" spans="1:8" x14ac:dyDescent="0.4">
      <c r="A104" s="163"/>
      <c r="B104" s="164">
        <f>DATE(25,11,1)</f>
        <v>9437</v>
      </c>
      <c r="C104" s="225">
        <v>0</v>
      </c>
      <c r="D104" s="225">
        <v>0</v>
      </c>
      <c r="E104" s="225">
        <v>0</v>
      </c>
      <c r="F104" s="165">
        <v>0</v>
      </c>
      <c r="G104" s="240">
        <v>0</v>
      </c>
      <c r="H104" s="288">
        <v>0</v>
      </c>
    </row>
    <row r="105" spans="1:8" x14ac:dyDescent="0.4">
      <c r="A105" s="163"/>
      <c r="B105" s="164">
        <f>DATE(25,12,1)</f>
        <v>9467</v>
      </c>
      <c r="C105" s="225">
        <v>0</v>
      </c>
      <c r="D105" s="225">
        <v>0</v>
      </c>
      <c r="E105" s="225">
        <v>0</v>
      </c>
      <c r="F105" s="165">
        <v>0</v>
      </c>
      <c r="G105" s="240">
        <v>0</v>
      </c>
      <c r="H105" s="288">
        <v>0</v>
      </c>
    </row>
    <row r="106" spans="1:8" ht="15.4" thickBot="1" x14ac:dyDescent="0.45">
      <c r="A106" s="166"/>
      <c r="B106" s="167"/>
      <c r="C106" s="225"/>
      <c r="D106" s="225"/>
      <c r="E106" s="225"/>
      <c r="F106" s="165"/>
      <c r="G106" s="240"/>
      <c r="H106" s="241"/>
    </row>
    <row r="107" spans="1:8" ht="15.75" thickTop="1" thickBot="1" x14ac:dyDescent="0.45">
      <c r="A107" s="181" t="s">
        <v>14</v>
      </c>
      <c r="B107" s="182"/>
      <c r="C107" s="229">
        <f>SUM(C100:C106)</f>
        <v>0</v>
      </c>
      <c r="D107" s="229">
        <f>SUM(D100:D106)</f>
        <v>0</v>
      </c>
      <c r="E107" s="229">
        <f>SUM(E100:E106)</f>
        <v>0</v>
      </c>
      <c r="F107" s="175">
        <v>0</v>
      </c>
      <c r="G107" s="244">
        <v>0</v>
      </c>
      <c r="H107" s="245">
        <v>0</v>
      </c>
    </row>
    <row r="108" spans="1:8" ht="15.4" thickTop="1" x14ac:dyDescent="0.4">
      <c r="A108" s="166"/>
      <c r="B108" s="167"/>
      <c r="C108" s="225"/>
      <c r="D108" s="225"/>
      <c r="E108" s="225"/>
      <c r="F108" s="165"/>
      <c r="G108" s="240"/>
      <c r="H108" s="241"/>
    </row>
    <row r="109" spans="1:8" x14ac:dyDescent="0.4">
      <c r="A109" s="163" t="s">
        <v>37</v>
      </c>
      <c r="B109" s="164">
        <f>DATE(25,7,1)</f>
        <v>9314</v>
      </c>
      <c r="C109" s="225">
        <v>0</v>
      </c>
      <c r="D109" s="225">
        <v>0</v>
      </c>
      <c r="E109" s="225">
        <v>0</v>
      </c>
      <c r="F109" s="165">
        <v>0</v>
      </c>
      <c r="G109" s="240">
        <v>0</v>
      </c>
      <c r="H109" s="288">
        <v>0</v>
      </c>
    </row>
    <row r="110" spans="1:8" x14ac:dyDescent="0.4">
      <c r="A110" s="163"/>
      <c r="B110" s="164">
        <f>DATE(25,8,1)</f>
        <v>9345</v>
      </c>
      <c r="C110" s="225">
        <v>0</v>
      </c>
      <c r="D110" s="225">
        <v>0</v>
      </c>
      <c r="E110" s="225">
        <v>0</v>
      </c>
      <c r="F110" s="165">
        <v>0</v>
      </c>
      <c r="G110" s="240">
        <v>0</v>
      </c>
      <c r="H110" s="288">
        <v>0</v>
      </c>
    </row>
    <row r="111" spans="1:8" x14ac:dyDescent="0.4">
      <c r="A111" s="163"/>
      <c r="B111" s="164">
        <f>DATE(25,9,1)</f>
        <v>9376</v>
      </c>
      <c r="C111" s="225">
        <v>0</v>
      </c>
      <c r="D111" s="225">
        <v>0</v>
      </c>
      <c r="E111" s="225">
        <v>0</v>
      </c>
      <c r="F111" s="165">
        <v>0</v>
      </c>
      <c r="G111" s="240">
        <v>0</v>
      </c>
      <c r="H111" s="288">
        <v>0</v>
      </c>
    </row>
    <row r="112" spans="1:8" x14ac:dyDescent="0.4">
      <c r="A112" s="163"/>
      <c r="B112" s="164">
        <f>DATE(25,10,1)</f>
        <v>9406</v>
      </c>
      <c r="C112" s="225">
        <v>0</v>
      </c>
      <c r="D112" s="225">
        <v>0</v>
      </c>
      <c r="E112" s="225">
        <v>0</v>
      </c>
      <c r="F112" s="165">
        <v>0</v>
      </c>
      <c r="G112" s="240">
        <v>0</v>
      </c>
      <c r="H112" s="288">
        <v>0</v>
      </c>
    </row>
    <row r="113" spans="1:8" x14ac:dyDescent="0.4">
      <c r="A113" s="163"/>
      <c r="B113" s="164">
        <f>DATE(25,11,1)</f>
        <v>9437</v>
      </c>
      <c r="C113" s="225">
        <v>0</v>
      </c>
      <c r="D113" s="225">
        <v>0</v>
      </c>
      <c r="E113" s="225">
        <v>0</v>
      </c>
      <c r="F113" s="165">
        <v>0</v>
      </c>
      <c r="G113" s="240">
        <v>0</v>
      </c>
      <c r="H113" s="288">
        <v>0</v>
      </c>
    </row>
    <row r="114" spans="1:8" x14ac:dyDescent="0.4">
      <c r="A114" s="163"/>
      <c r="B114" s="164">
        <f>DATE(25,12,1)</f>
        <v>9467</v>
      </c>
      <c r="C114" s="225">
        <v>0</v>
      </c>
      <c r="D114" s="225">
        <v>0</v>
      </c>
      <c r="E114" s="225">
        <v>0</v>
      </c>
      <c r="F114" s="165">
        <v>0</v>
      </c>
      <c r="G114" s="240">
        <v>0</v>
      </c>
      <c r="H114" s="288">
        <v>0</v>
      </c>
    </row>
    <row r="115" spans="1:8" ht="15.4" thickBot="1" x14ac:dyDescent="0.45">
      <c r="A115" s="166"/>
      <c r="B115" s="167"/>
      <c r="C115" s="225"/>
      <c r="D115" s="225"/>
      <c r="E115" s="225"/>
      <c r="F115" s="165"/>
      <c r="G115" s="240"/>
      <c r="H115" s="241"/>
    </row>
    <row r="116" spans="1:8" ht="15.75" thickTop="1" thickBot="1" x14ac:dyDescent="0.45">
      <c r="A116" s="173" t="s">
        <v>14</v>
      </c>
      <c r="B116" s="174"/>
      <c r="C116" s="227">
        <f>SUM(C109:C115)</f>
        <v>0</v>
      </c>
      <c r="D116" s="227">
        <f>SUM(D109:D115)</f>
        <v>0</v>
      </c>
      <c r="E116" s="227">
        <f>SUM(E109:E115)</f>
        <v>0</v>
      </c>
      <c r="F116" s="175">
        <v>0</v>
      </c>
      <c r="G116" s="244">
        <v>0</v>
      </c>
      <c r="H116" s="245">
        <v>0</v>
      </c>
    </row>
    <row r="117" spans="1:8" ht="15.4" thickTop="1" x14ac:dyDescent="0.4">
      <c r="A117" s="166"/>
      <c r="B117" s="167"/>
      <c r="C117" s="225"/>
      <c r="D117" s="225"/>
      <c r="E117" s="225"/>
      <c r="F117" s="165"/>
      <c r="G117" s="240"/>
      <c r="H117" s="288"/>
    </row>
    <row r="118" spans="1:8" x14ac:dyDescent="0.4">
      <c r="A118" s="163" t="s">
        <v>57</v>
      </c>
      <c r="B118" s="164">
        <f>DATE(25,7,1)</f>
        <v>9314</v>
      </c>
      <c r="C118" s="225">
        <v>747329</v>
      </c>
      <c r="D118" s="225">
        <v>40772.980000000003</v>
      </c>
      <c r="E118" s="225">
        <v>0</v>
      </c>
      <c r="F118" s="165">
        <v>1</v>
      </c>
      <c r="G118" s="240">
        <f t="shared" ref="G118:G123" si="0">+D118/C118</f>
        <v>5.4558273531470081E-2</v>
      </c>
      <c r="H118" s="288">
        <f t="shared" ref="H118:H123" si="1">1-G118</f>
        <v>0.94544172646852997</v>
      </c>
    </row>
    <row r="119" spans="1:8" x14ac:dyDescent="0.4">
      <c r="A119" s="163"/>
      <c r="B119" s="164">
        <f>DATE(25,8,1)</f>
        <v>9345</v>
      </c>
      <c r="C119" s="225">
        <v>591513</v>
      </c>
      <c r="D119" s="225">
        <v>30682.93</v>
      </c>
      <c r="E119" s="225">
        <v>0</v>
      </c>
      <c r="F119" s="165">
        <v>1</v>
      </c>
      <c r="G119" s="240">
        <f t="shared" si="0"/>
        <v>5.1871945333407721E-2</v>
      </c>
      <c r="H119" s="288">
        <f t="shared" si="1"/>
        <v>0.94812805466659222</v>
      </c>
    </row>
    <row r="120" spans="1:8" x14ac:dyDescent="0.4">
      <c r="A120" s="163"/>
      <c r="B120" s="164">
        <f>DATE(25,9,1)</f>
        <v>9376</v>
      </c>
      <c r="C120" s="225">
        <v>640949</v>
      </c>
      <c r="D120" s="225">
        <v>32931.440000000002</v>
      </c>
      <c r="E120" s="225">
        <v>0</v>
      </c>
      <c r="F120" s="165">
        <v>1</v>
      </c>
      <c r="G120" s="240">
        <f t="shared" si="0"/>
        <v>5.1379189295872221E-2</v>
      </c>
      <c r="H120" s="288">
        <f t="shared" si="1"/>
        <v>0.94862081070412774</v>
      </c>
    </row>
    <row r="121" spans="1:8" x14ac:dyDescent="0.4">
      <c r="A121" s="163"/>
      <c r="B121" s="164">
        <f>DATE(25,10,1)</f>
        <v>9406</v>
      </c>
      <c r="C121" s="225">
        <v>484836</v>
      </c>
      <c r="D121" s="225">
        <v>17011.36</v>
      </c>
      <c r="E121" s="225">
        <v>9398.39</v>
      </c>
      <c r="F121" s="165">
        <f>+(D121-E121)/E121</f>
        <v>0.81002916456967644</v>
      </c>
      <c r="G121" s="240">
        <f t="shared" si="0"/>
        <v>3.5086833485962261E-2</v>
      </c>
      <c r="H121" s="288">
        <f t="shared" si="1"/>
        <v>0.96491316651403769</v>
      </c>
    </row>
    <row r="122" spans="1:8" x14ac:dyDescent="0.4">
      <c r="A122" s="163"/>
      <c r="B122" s="164">
        <f>DATE(25,11,1)</f>
        <v>9437</v>
      </c>
      <c r="C122" s="225">
        <v>362276</v>
      </c>
      <c r="D122" s="225">
        <v>6051.92</v>
      </c>
      <c r="E122" s="225">
        <v>46941.19</v>
      </c>
      <c r="F122" s="165">
        <f>+(D122-E122)/E122</f>
        <v>-0.87107442312391314</v>
      </c>
      <c r="G122" s="240">
        <f t="shared" si="0"/>
        <v>1.6705274431648799E-2</v>
      </c>
      <c r="H122" s="288">
        <f t="shared" si="1"/>
        <v>0.98329472556835118</v>
      </c>
    </row>
    <row r="123" spans="1:8" x14ac:dyDescent="0.4">
      <c r="A123" s="163"/>
      <c r="B123" s="164">
        <f>DATE(25,12,1)</f>
        <v>9467</v>
      </c>
      <c r="C123" s="225">
        <v>308244.44</v>
      </c>
      <c r="D123" s="225">
        <v>19183.29</v>
      </c>
      <c r="E123" s="225">
        <v>46730.38</v>
      </c>
      <c r="F123" s="165">
        <f>+(D123-E123)/E123</f>
        <v>-0.58948996348842009</v>
      </c>
      <c r="G123" s="240">
        <f t="shared" si="0"/>
        <v>6.2234017911239538E-2</v>
      </c>
      <c r="H123" s="288">
        <f t="shared" si="1"/>
        <v>0.9377659820887605</v>
      </c>
    </row>
    <row r="124" spans="1:8" ht="15.4" thickBot="1" x14ac:dyDescent="0.45">
      <c r="A124" s="166"/>
      <c r="B124" s="167"/>
      <c r="C124" s="225"/>
      <c r="D124" s="225"/>
      <c r="E124" s="225"/>
      <c r="F124" s="165"/>
      <c r="G124" s="240"/>
      <c r="H124" s="241"/>
    </row>
    <row r="125" spans="1:8" ht="15.75" thickTop="1" thickBot="1" x14ac:dyDescent="0.45">
      <c r="A125" s="168" t="s">
        <v>14</v>
      </c>
      <c r="B125" s="154"/>
      <c r="C125" s="222">
        <f>SUM(C118:C124)</f>
        <v>3135147.44</v>
      </c>
      <c r="D125" s="222">
        <f>SUM(D118:D124)</f>
        <v>146633.92000000001</v>
      </c>
      <c r="E125" s="222">
        <f>SUM(E118:E124)</f>
        <v>103069.95999999999</v>
      </c>
      <c r="F125" s="175">
        <f>+(D125-E125)/E125</f>
        <v>0.4226639847342526</v>
      </c>
      <c r="G125" s="244">
        <f>+D125/C125</f>
        <v>4.6770980569896266E-2</v>
      </c>
      <c r="H125" s="245">
        <f>1-G125</f>
        <v>0.95322901943010374</v>
      </c>
    </row>
    <row r="126" spans="1:8" ht="15.75" thickTop="1" thickBot="1" x14ac:dyDescent="0.45">
      <c r="A126" s="170"/>
      <c r="B126" s="171"/>
      <c r="C126" s="226"/>
      <c r="D126" s="226"/>
      <c r="E126" s="226"/>
      <c r="F126" s="172"/>
      <c r="G126" s="242"/>
      <c r="H126" s="243"/>
    </row>
    <row r="127" spans="1:8" ht="15.75" thickTop="1" thickBot="1" x14ac:dyDescent="0.45">
      <c r="A127" s="183" t="s">
        <v>38</v>
      </c>
      <c r="B127" s="154"/>
      <c r="C127" s="222">
        <f>C125+C116+C89+C71+C53+C35+C17+C44+C107+C26+C80+C98+C62</f>
        <v>3135147.44</v>
      </c>
      <c r="D127" s="222">
        <f>D125+D116+D89+D71+D53+D35+D17+D44+D107+D26+D80+D98+D62</f>
        <v>146633.92000000001</v>
      </c>
      <c r="E127" s="222">
        <f>E125+E116+E89+E71+E53+E35+E17+E44+E107+E26+E80+E98+E62</f>
        <v>516014.18999999994</v>
      </c>
      <c r="F127" s="175">
        <f>+(D127-E127)/E127</f>
        <v>-0.71583355101145563</v>
      </c>
      <c r="G127" s="235">
        <f>D127/C127</f>
        <v>4.6770980569896266E-2</v>
      </c>
      <c r="H127" s="236">
        <f>1-G127</f>
        <v>0.95322901943010374</v>
      </c>
    </row>
    <row r="128" spans="1:8" ht="15.75" thickTop="1" thickBot="1" x14ac:dyDescent="0.45">
      <c r="A128" s="183"/>
      <c r="B128" s="154"/>
      <c r="C128" s="222"/>
      <c r="D128" s="222"/>
      <c r="E128" s="222"/>
      <c r="F128" s="169"/>
      <c r="G128" s="235"/>
      <c r="H128" s="236"/>
    </row>
    <row r="129" spans="1:8" ht="15.75" thickTop="1" thickBot="1" x14ac:dyDescent="0.45">
      <c r="A129" s="183" t="s">
        <v>39</v>
      </c>
      <c r="B129" s="154"/>
      <c r="C129" s="222">
        <f>+C15+C24+C33+C42+C51+C60+C69+C78+C87+C96+C105+C114+C123</f>
        <v>308244.44</v>
      </c>
      <c r="D129" s="222">
        <f>+D15+D24+D33+D42+D51+D60+D69+D78+D87+D96+D105+D114+D123</f>
        <v>19183.29</v>
      </c>
      <c r="E129" s="222">
        <f>+E15+E24+E33+E42+E51+E60+E69+E78+E87+E96+E105+E114+E123</f>
        <v>115337.63</v>
      </c>
      <c r="F129" s="175">
        <f>+(D129-E129)/E129</f>
        <v>-0.83367709220312569</v>
      </c>
      <c r="G129" s="235">
        <f>D129/C129</f>
        <v>6.2234017911239538E-2</v>
      </c>
      <c r="H129" s="245">
        <f>1-G129</f>
        <v>0.9377659820887605</v>
      </c>
    </row>
    <row r="130" spans="1:8" ht="15.4" thickTop="1" x14ac:dyDescent="0.4">
      <c r="A130" s="184"/>
      <c r="B130" s="185"/>
      <c r="C130" s="230"/>
      <c r="D130" s="230"/>
      <c r="E130" s="230"/>
      <c r="F130" s="186"/>
      <c r="G130" s="249"/>
      <c r="H130" s="249"/>
    </row>
    <row r="131" spans="1:8" ht="17.25" x14ac:dyDescent="0.45">
      <c r="A131" s="187" t="s">
        <v>49</v>
      </c>
      <c r="B131" s="188"/>
      <c r="C131" s="231"/>
      <c r="D131" s="231"/>
      <c r="E131" s="231"/>
      <c r="F131" s="189"/>
      <c r="G131" s="250"/>
      <c r="H131" s="250"/>
    </row>
    <row r="132" spans="1:8" x14ac:dyDescent="0.4">
      <c r="A132" s="190"/>
      <c r="B132" s="188"/>
      <c r="C132" s="231"/>
      <c r="D132" s="231"/>
      <c r="E132" s="231"/>
      <c r="F132" s="189"/>
      <c r="G132" s="256"/>
      <c r="H132" s="256"/>
    </row>
  </sheetData>
  <printOptions horizontalCentered="1"/>
  <pageMargins left="0.7" right="0.45" top="0.25" bottom="0.25" header="0.3" footer="0.3"/>
  <pageSetup scale="64" orientation="landscape" r:id="rId1"/>
  <rowBreaks count="2" manualBreakCount="2">
    <brk id="53" max="16383" man="1"/>
    <brk id="9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81B1D-D36D-4167-87E2-AB4A9B258B7D}">
  <sheetPr>
    <pageSetUpPr autoPageBreaks="0"/>
  </sheetPr>
  <dimension ref="A1:I133"/>
  <sheetViews>
    <sheetView showOutlineSymbols="0" zoomScaleNormal="100" workbookViewId="0">
      <selection activeCell="A6" sqref="A6"/>
    </sheetView>
  </sheetViews>
  <sheetFormatPr defaultColWidth="9.6640625" defaultRowHeight="15" x14ac:dyDescent="0.4"/>
  <cols>
    <col min="1" max="1" width="27.6640625" style="151" customWidth="1"/>
    <col min="2" max="2" width="9.6640625" style="151" customWidth="1"/>
    <col min="3" max="3" width="18.33203125" style="232" customWidth="1"/>
    <col min="4" max="4" width="16.44140625" style="232" customWidth="1"/>
    <col min="5" max="5" width="15.5546875" style="232" customWidth="1"/>
    <col min="6" max="6" width="9.6640625" style="151" customWidth="1"/>
    <col min="7" max="7" width="9.6640625" style="251" customWidth="1"/>
    <col min="8" max="8" width="10.88671875" style="251" customWidth="1"/>
    <col min="9" max="9" width="1.6640625" style="151" customWidth="1"/>
    <col min="10" max="16384" width="9.6640625" style="151"/>
  </cols>
  <sheetData>
    <row r="1" spans="1:9" ht="17.649999999999999" x14ac:dyDescent="0.5">
      <c r="A1" s="148" t="s">
        <v>0</v>
      </c>
      <c r="B1" s="149"/>
      <c r="C1" s="221"/>
      <c r="D1" s="221"/>
      <c r="E1" s="221"/>
      <c r="F1" s="149"/>
      <c r="G1" s="233"/>
      <c r="H1" s="233"/>
      <c r="I1" s="150"/>
    </row>
    <row r="2" spans="1:9" ht="17.25" x14ac:dyDescent="0.45">
      <c r="A2" s="152" t="s">
        <v>41</v>
      </c>
      <c r="B2" s="149"/>
      <c r="C2" s="221"/>
      <c r="D2" s="221"/>
      <c r="E2" s="221"/>
      <c r="F2" s="149"/>
      <c r="G2" s="233"/>
      <c r="H2" s="233"/>
      <c r="I2" s="150"/>
    </row>
    <row r="3" spans="1:9" ht="17.649999999999999" x14ac:dyDescent="0.5">
      <c r="A3" s="148" t="s">
        <v>42</v>
      </c>
      <c r="B3" s="149"/>
      <c r="C3" s="221"/>
      <c r="D3" s="221"/>
      <c r="E3" s="221"/>
      <c r="F3" s="149"/>
      <c r="G3" s="233"/>
      <c r="H3" s="233"/>
      <c r="I3" s="150"/>
    </row>
    <row r="4" spans="1:9" ht="17.649999999999999" x14ac:dyDescent="0.5">
      <c r="A4" s="284" t="s">
        <v>78</v>
      </c>
      <c r="B4" s="149"/>
      <c r="C4" s="221"/>
      <c r="D4" s="221"/>
      <c r="E4" s="221"/>
      <c r="F4" s="149"/>
      <c r="G4" s="233"/>
      <c r="H4" s="233"/>
      <c r="I4" s="150"/>
    </row>
    <row r="5" spans="1:9" x14ac:dyDescent="0.4">
      <c r="A5" s="285" t="s">
        <v>73</v>
      </c>
      <c r="B5" s="149"/>
      <c r="C5" s="221"/>
      <c r="D5" s="221"/>
      <c r="E5" s="221"/>
      <c r="F5" s="149"/>
      <c r="G5" s="233"/>
      <c r="H5" s="233"/>
      <c r="I5" s="150"/>
    </row>
    <row r="6" spans="1:9" ht="15.4" thickBot="1" x14ac:dyDescent="0.45">
      <c r="A6" s="149"/>
      <c r="B6" s="149"/>
      <c r="C6" s="221"/>
      <c r="D6" s="221"/>
      <c r="E6" s="221"/>
      <c r="F6" s="149"/>
      <c r="G6" s="234" t="s">
        <v>43</v>
      </c>
      <c r="H6" s="234"/>
      <c r="I6" s="150"/>
    </row>
    <row r="7" spans="1:9" ht="15.4" thickTop="1" x14ac:dyDescent="0.4">
      <c r="A7" s="153"/>
      <c r="B7" s="154" t="s">
        <v>2</v>
      </c>
      <c r="C7" s="222" t="s">
        <v>44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  <c r="I7" s="156"/>
    </row>
    <row r="8" spans="1:9" ht="15.4" thickBot="1" x14ac:dyDescent="0.45">
      <c r="A8" s="157" t="s">
        <v>5</v>
      </c>
      <c r="B8" s="158" t="s">
        <v>6</v>
      </c>
      <c r="C8" s="223" t="s">
        <v>45</v>
      </c>
      <c r="D8" s="223" t="s">
        <v>46</v>
      </c>
      <c r="E8" s="223" t="s">
        <v>46</v>
      </c>
      <c r="F8" s="159" t="s">
        <v>8</v>
      </c>
      <c r="G8" s="237" t="s">
        <v>35</v>
      </c>
      <c r="H8" s="253" t="s">
        <v>47</v>
      </c>
      <c r="I8" s="156"/>
    </row>
    <row r="9" spans="1:9" ht="15.75" customHeight="1" thickTop="1" x14ac:dyDescent="0.4">
      <c r="A9" s="160"/>
      <c r="B9" s="161"/>
      <c r="C9" s="224"/>
      <c r="D9" s="224"/>
      <c r="E9" s="224"/>
      <c r="F9" s="162"/>
      <c r="G9" s="238"/>
      <c r="H9" s="239"/>
      <c r="I9" s="156"/>
    </row>
    <row r="10" spans="1:9" x14ac:dyDescent="0.4">
      <c r="A10" s="163" t="s">
        <v>36</v>
      </c>
      <c r="B10" s="164">
        <f>DATE(25,7,1)</f>
        <v>9314</v>
      </c>
      <c r="C10" s="225">
        <v>118765145.81999999</v>
      </c>
      <c r="D10" s="225">
        <v>11189124.52</v>
      </c>
      <c r="E10" s="225">
        <v>11227961.560000001</v>
      </c>
      <c r="F10" s="165">
        <f t="shared" ref="F10:F15" si="0">(+D10-E10)/E10</f>
        <v>-3.4589573354400554E-3</v>
      </c>
      <c r="G10" s="240">
        <f t="shared" ref="G10:G15" si="1">D10/C10</f>
        <v>9.4212190308410812E-2</v>
      </c>
      <c r="H10" s="241">
        <f t="shared" ref="H10:H15" si="2">1-G10</f>
        <v>0.90578780969158923</v>
      </c>
      <c r="I10" s="156"/>
    </row>
    <row r="11" spans="1:9" x14ac:dyDescent="0.4">
      <c r="A11" s="163"/>
      <c r="B11" s="164">
        <f>DATE(25,8,1)</f>
        <v>9345</v>
      </c>
      <c r="C11" s="225">
        <v>123114683.18000001</v>
      </c>
      <c r="D11" s="225">
        <v>12025915.57</v>
      </c>
      <c r="E11" s="225">
        <v>11755000.6</v>
      </c>
      <c r="F11" s="165">
        <f t="shared" si="0"/>
        <v>2.304678487213354E-2</v>
      </c>
      <c r="G11" s="240">
        <f t="shared" si="1"/>
        <v>9.7680595517737653E-2</v>
      </c>
      <c r="H11" s="241">
        <f t="shared" si="2"/>
        <v>0.90231940448226233</v>
      </c>
      <c r="I11" s="156"/>
    </row>
    <row r="12" spans="1:9" x14ac:dyDescent="0.4">
      <c r="A12" s="163"/>
      <c r="B12" s="164">
        <f>DATE(25,9,1)</f>
        <v>9376</v>
      </c>
      <c r="C12" s="225">
        <v>109442512</v>
      </c>
      <c r="D12" s="225">
        <v>9660904.2300000004</v>
      </c>
      <c r="E12" s="225">
        <v>10612528.25</v>
      </c>
      <c r="F12" s="165">
        <f t="shared" si="0"/>
        <v>-8.9669869194458879E-2</v>
      </c>
      <c r="G12" s="240">
        <f t="shared" si="1"/>
        <v>8.8273780028002291E-2</v>
      </c>
      <c r="H12" s="241">
        <f t="shared" si="2"/>
        <v>0.91172621997199776</v>
      </c>
      <c r="I12" s="156"/>
    </row>
    <row r="13" spans="1:9" x14ac:dyDescent="0.4">
      <c r="A13" s="163"/>
      <c r="B13" s="164">
        <f>DATE(25,10,1)</f>
        <v>9406</v>
      </c>
      <c r="C13" s="225">
        <v>117030493.84</v>
      </c>
      <c r="D13" s="225">
        <v>11102343.91</v>
      </c>
      <c r="E13" s="225">
        <v>10410698.33</v>
      </c>
      <c r="F13" s="165">
        <f t="shared" si="0"/>
        <v>6.6436040895250889E-2</v>
      </c>
      <c r="G13" s="240">
        <f t="shared" si="1"/>
        <v>9.4867102972142764E-2</v>
      </c>
      <c r="H13" s="241">
        <f t="shared" si="2"/>
        <v>0.90513289702785726</v>
      </c>
      <c r="I13" s="156"/>
    </row>
    <row r="14" spans="1:9" x14ac:dyDescent="0.4">
      <c r="A14" s="163"/>
      <c r="B14" s="164">
        <f>DATE(25,11,1)</f>
        <v>9437</v>
      </c>
      <c r="C14" s="225">
        <v>113223158.08</v>
      </c>
      <c r="D14" s="225">
        <v>10890685.060000001</v>
      </c>
      <c r="E14" s="225">
        <v>11351688.85</v>
      </c>
      <c r="F14" s="165">
        <f t="shared" si="0"/>
        <v>-4.0611031194710656E-2</v>
      </c>
      <c r="G14" s="240">
        <f t="shared" si="1"/>
        <v>9.618778741628968E-2</v>
      </c>
      <c r="H14" s="241">
        <f t="shared" si="2"/>
        <v>0.90381221258371036</v>
      </c>
      <c r="I14" s="156"/>
    </row>
    <row r="15" spans="1:9" x14ac:dyDescent="0.4">
      <c r="A15" s="163"/>
      <c r="B15" s="164">
        <f>DATE(25,12,1)</f>
        <v>9467</v>
      </c>
      <c r="C15" s="225">
        <v>126936104.84</v>
      </c>
      <c r="D15" s="225">
        <v>11824774.84</v>
      </c>
      <c r="E15" s="225">
        <v>11726074.779999999</v>
      </c>
      <c r="F15" s="165">
        <f t="shared" si="0"/>
        <v>8.4171440018737907E-3</v>
      </c>
      <c r="G15" s="240">
        <f t="shared" si="1"/>
        <v>9.3155330824944191E-2</v>
      </c>
      <c r="H15" s="241">
        <f t="shared" si="2"/>
        <v>0.9068446691750558</v>
      </c>
      <c r="I15" s="156"/>
    </row>
    <row r="16" spans="1:9" ht="15.4" thickBot="1" x14ac:dyDescent="0.45">
      <c r="A16" s="166"/>
      <c r="B16" s="167"/>
      <c r="C16" s="225"/>
      <c r="D16" s="225"/>
      <c r="E16" s="225"/>
      <c r="F16" s="165"/>
      <c r="G16" s="240"/>
      <c r="H16" s="241"/>
      <c r="I16" s="156"/>
    </row>
    <row r="17" spans="1:9" ht="15.75" thickTop="1" thickBot="1" x14ac:dyDescent="0.45">
      <c r="A17" s="168" t="s">
        <v>14</v>
      </c>
      <c r="B17" s="154"/>
      <c r="C17" s="222">
        <f>SUM(C10:C16)</f>
        <v>708512097.76000011</v>
      </c>
      <c r="D17" s="222">
        <f>SUM(D10:D16)</f>
        <v>66693748.13000001</v>
      </c>
      <c r="E17" s="222">
        <f>SUM(E10:E16)</f>
        <v>67083952.369999997</v>
      </c>
      <c r="F17" s="169">
        <f>(+D17-E17)/E17</f>
        <v>-5.8166554923273555E-3</v>
      </c>
      <c r="G17" s="235">
        <f>D17/C17</f>
        <v>9.4132123277578403E-2</v>
      </c>
      <c r="H17" s="236">
        <f>1-G17</f>
        <v>0.90586787672242164</v>
      </c>
      <c r="I17" s="156"/>
    </row>
    <row r="18" spans="1:9" ht="15.4" thickTop="1" x14ac:dyDescent="0.4">
      <c r="A18" s="170"/>
      <c r="B18" s="171"/>
      <c r="C18" s="226"/>
      <c r="D18" s="226"/>
      <c r="E18" s="226"/>
      <c r="F18" s="172"/>
      <c r="G18" s="242"/>
      <c r="H18" s="243"/>
      <c r="I18" s="156"/>
    </row>
    <row r="19" spans="1:9" x14ac:dyDescent="0.4">
      <c r="A19" s="19" t="s">
        <v>48</v>
      </c>
      <c r="B19" s="164">
        <f>DATE(25,7,1)</f>
        <v>9314</v>
      </c>
      <c r="C19" s="225">
        <v>75801887.219999999</v>
      </c>
      <c r="D19" s="225">
        <v>7699908.8200000003</v>
      </c>
      <c r="E19" s="225">
        <v>6199829.7599999998</v>
      </c>
      <c r="F19" s="165">
        <f t="shared" ref="F19:F24" si="3">(+D19-E19)/E19</f>
        <v>0.24195487909655128</v>
      </c>
      <c r="G19" s="240">
        <f t="shared" ref="G19:G24" si="4">D19/C19</f>
        <v>0.10157938149550995</v>
      </c>
      <c r="H19" s="241">
        <f t="shared" ref="H19:H24" si="5">1-G19</f>
        <v>0.89842061850449006</v>
      </c>
      <c r="I19" s="156"/>
    </row>
    <row r="20" spans="1:9" x14ac:dyDescent="0.4">
      <c r="A20" s="19"/>
      <c r="B20" s="164">
        <f>DATE(25,8,1)</f>
        <v>9345</v>
      </c>
      <c r="C20" s="225">
        <v>76875873.920000002</v>
      </c>
      <c r="D20" s="225">
        <v>7656381.6799999997</v>
      </c>
      <c r="E20" s="225">
        <v>6511097.2999999998</v>
      </c>
      <c r="F20" s="165">
        <f t="shared" si="3"/>
        <v>0.17589729153640507</v>
      </c>
      <c r="G20" s="240">
        <f t="shared" si="4"/>
        <v>9.9594076653587382E-2</v>
      </c>
      <c r="H20" s="241">
        <f t="shared" si="5"/>
        <v>0.90040592334641256</v>
      </c>
      <c r="I20" s="156"/>
    </row>
    <row r="21" spans="1:9" x14ac:dyDescent="0.4">
      <c r="A21" s="19"/>
      <c r="B21" s="164">
        <f>DATE(25,9,1)</f>
        <v>9376</v>
      </c>
      <c r="C21" s="225">
        <v>72882283.359999999</v>
      </c>
      <c r="D21" s="225">
        <v>7340776.8799999999</v>
      </c>
      <c r="E21" s="225">
        <v>6272930.8499999996</v>
      </c>
      <c r="F21" s="165">
        <f t="shared" si="3"/>
        <v>0.17023079889363046</v>
      </c>
      <c r="G21" s="240">
        <f t="shared" si="4"/>
        <v>0.1007210057311245</v>
      </c>
      <c r="H21" s="241">
        <f t="shared" si="5"/>
        <v>0.89927899426887548</v>
      </c>
      <c r="I21" s="156"/>
    </row>
    <row r="22" spans="1:9" x14ac:dyDescent="0.4">
      <c r="A22" s="19"/>
      <c r="B22" s="164">
        <f>DATE(25,10,1)</f>
        <v>9406</v>
      </c>
      <c r="C22" s="225">
        <v>75796379.829999998</v>
      </c>
      <c r="D22" s="225">
        <v>7167736.2999999998</v>
      </c>
      <c r="E22" s="225">
        <v>6043389.6600000001</v>
      </c>
      <c r="F22" s="165">
        <f t="shared" si="3"/>
        <v>0.18604569674562399</v>
      </c>
      <c r="G22" s="240">
        <f t="shared" si="4"/>
        <v>9.456568131718382E-2</v>
      </c>
      <c r="H22" s="241">
        <f t="shared" si="5"/>
        <v>0.90543431868281621</v>
      </c>
      <c r="I22" s="156"/>
    </row>
    <row r="23" spans="1:9" x14ac:dyDescent="0.4">
      <c r="A23" s="19"/>
      <c r="B23" s="164">
        <f>DATE(25,11,1)</f>
        <v>9437</v>
      </c>
      <c r="C23" s="225">
        <v>71183214.349999994</v>
      </c>
      <c r="D23" s="225">
        <v>6796356.0700000003</v>
      </c>
      <c r="E23" s="225">
        <v>6494509.6699999999</v>
      </c>
      <c r="F23" s="165">
        <f t="shared" si="3"/>
        <v>4.6477165380831652E-2</v>
      </c>
      <c r="G23" s="240">
        <f t="shared" si="4"/>
        <v>9.5476948211176152E-2</v>
      </c>
      <c r="H23" s="241">
        <f t="shared" si="5"/>
        <v>0.90452305178882386</v>
      </c>
      <c r="I23" s="156"/>
    </row>
    <row r="24" spans="1:9" x14ac:dyDescent="0.4">
      <c r="A24" s="19"/>
      <c r="B24" s="164">
        <f>DATE(25,12,1)</f>
        <v>9467</v>
      </c>
      <c r="C24" s="225">
        <v>71596448.079999998</v>
      </c>
      <c r="D24" s="225">
        <v>6977951.0300000003</v>
      </c>
      <c r="E24" s="225">
        <v>6626155.0700000003</v>
      </c>
      <c r="F24" s="165">
        <f t="shared" si="3"/>
        <v>5.3092020377361909E-2</v>
      </c>
      <c r="G24" s="240">
        <f t="shared" si="4"/>
        <v>9.7462251510061229E-2</v>
      </c>
      <c r="H24" s="241">
        <f t="shared" si="5"/>
        <v>0.90253774848993873</v>
      </c>
      <c r="I24" s="156"/>
    </row>
    <row r="25" spans="1:9" ht="15.4" thickBot="1" x14ac:dyDescent="0.45">
      <c r="A25" s="166"/>
      <c r="B25" s="164"/>
      <c r="C25" s="225"/>
      <c r="D25" s="225"/>
      <c r="E25" s="225"/>
      <c r="F25" s="165"/>
      <c r="G25" s="240"/>
      <c r="H25" s="241"/>
      <c r="I25" s="156"/>
    </row>
    <row r="26" spans="1:9" ht="15.75" thickTop="1" thickBot="1" x14ac:dyDescent="0.45">
      <c r="A26" s="168" t="s">
        <v>14</v>
      </c>
      <c r="B26" s="154"/>
      <c r="C26" s="222">
        <f>SUM(C19:C25)</f>
        <v>444136086.75999993</v>
      </c>
      <c r="D26" s="222">
        <f>SUM(D19:D25)</f>
        <v>43639110.780000001</v>
      </c>
      <c r="E26" s="222">
        <f>SUM(E19:E25)</f>
        <v>38147912.309999995</v>
      </c>
      <c r="F26" s="169">
        <f>(+D26-E26)/E26</f>
        <v>0.1439449274544064</v>
      </c>
      <c r="G26" s="235">
        <f>D26/C26</f>
        <v>9.8256169856293374E-2</v>
      </c>
      <c r="H26" s="236">
        <f>1-G26</f>
        <v>0.90174383014370663</v>
      </c>
      <c r="I26" s="156"/>
    </row>
    <row r="27" spans="1:9" ht="15.4" thickTop="1" x14ac:dyDescent="0.4">
      <c r="A27" s="170"/>
      <c r="B27" s="171"/>
      <c r="C27" s="226"/>
      <c r="D27" s="226"/>
      <c r="E27" s="226"/>
      <c r="F27" s="172"/>
      <c r="G27" s="242"/>
      <c r="H27" s="243"/>
      <c r="I27" s="156"/>
    </row>
    <row r="28" spans="1:9" x14ac:dyDescent="0.4">
      <c r="A28" s="19" t="s">
        <v>62</v>
      </c>
      <c r="B28" s="164">
        <f>DATE(25,7,1)</f>
        <v>9314</v>
      </c>
      <c r="C28" s="225">
        <v>46035567.140000001</v>
      </c>
      <c r="D28" s="225">
        <v>4754649.79</v>
      </c>
      <c r="E28" s="225">
        <v>3585663.09</v>
      </c>
      <c r="F28" s="165">
        <f t="shared" ref="F28:F33" si="6">(+D28-E28)/E28</f>
        <v>0.32601688185936067</v>
      </c>
      <c r="G28" s="240">
        <f t="shared" ref="G28:G33" si="7">D28/C28</f>
        <v>0.10328209437586609</v>
      </c>
      <c r="H28" s="241">
        <f t="shared" ref="H28:H33" si="8">1-G28</f>
        <v>0.89671790562413389</v>
      </c>
      <c r="I28" s="156"/>
    </row>
    <row r="29" spans="1:9" x14ac:dyDescent="0.4">
      <c r="A29" s="19"/>
      <c r="B29" s="164">
        <f>DATE(25,8,1)</f>
        <v>9345</v>
      </c>
      <c r="C29" s="225">
        <v>46774169.189999998</v>
      </c>
      <c r="D29" s="225">
        <v>5030748.01</v>
      </c>
      <c r="E29" s="225">
        <v>3620973.03</v>
      </c>
      <c r="F29" s="165">
        <f t="shared" si="6"/>
        <v>0.38933595150251643</v>
      </c>
      <c r="G29" s="240">
        <f t="shared" si="7"/>
        <v>0.10755397898281729</v>
      </c>
      <c r="H29" s="241">
        <f t="shared" si="8"/>
        <v>0.89244602101718273</v>
      </c>
      <c r="I29" s="156"/>
    </row>
    <row r="30" spans="1:9" x14ac:dyDescent="0.4">
      <c r="A30" s="19"/>
      <c r="B30" s="164">
        <f>DATE(25,9,1)</f>
        <v>9376</v>
      </c>
      <c r="C30" s="225">
        <v>41389122.100000001</v>
      </c>
      <c r="D30" s="225">
        <v>4397839.1500000004</v>
      </c>
      <c r="E30" s="225">
        <v>3548518.78</v>
      </c>
      <c r="F30" s="165">
        <f t="shared" si="6"/>
        <v>0.2393450401860352</v>
      </c>
      <c r="G30" s="240">
        <f t="shared" si="7"/>
        <v>0.10625591766296488</v>
      </c>
      <c r="H30" s="241">
        <f t="shared" si="8"/>
        <v>0.89374408233703506</v>
      </c>
      <c r="I30" s="156"/>
    </row>
    <row r="31" spans="1:9" x14ac:dyDescent="0.4">
      <c r="A31" s="19"/>
      <c r="B31" s="164">
        <f>DATE(25,10,1)</f>
        <v>9406</v>
      </c>
      <c r="C31" s="225">
        <v>44199870.649999999</v>
      </c>
      <c r="D31" s="225">
        <v>4594857.83</v>
      </c>
      <c r="E31" s="225">
        <v>2824673.89</v>
      </c>
      <c r="F31" s="165">
        <f t="shared" si="6"/>
        <v>0.62668612694260428</v>
      </c>
      <c r="G31" s="240">
        <f t="shared" si="7"/>
        <v>0.10395636372750336</v>
      </c>
      <c r="H31" s="241">
        <f t="shared" si="8"/>
        <v>0.89604363627249661</v>
      </c>
      <c r="I31" s="156"/>
    </row>
    <row r="32" spans="1:9" x14ac:dyDescent="0.4">
      <c r="A32" s="19"/>
      <c r="B32" s="164">
        <f>DATE(25,11,1)</f>
        <v>9437</v>
      </c>
      <c r="C32" s="225">
        <v>45307590.049999997</v>
      </c>
      <c r="D32" s="225">
        <v>4696105.45</v>
      </c>
      <c r="E32" s="225">
        <v>4839169.95</v>
      </c>
      <c r="F32" s="165">
        <f t="shared" si="6"/>
        <v>-2.9563851131122188E-2</v>
      </c>
      <c r="G32" s="240">
        <f t="shared" si="7"/>
        <v>0.1036494204352412</v>
      </c>
      <c r="H32" s="241">
        <f t="shared" si="8"/>
        <v>0.89635057956475883</v>
      </c>
      <c r="I32" s="156"/>
    </row>
    <row r="33" spans="1:9" x14ac:dyDescent="0.4">
      <c r="A33" s="19"/>
      <c r="B33" s="164">
        <f>DATE(25,12,1)</f>
        <v>9467</v>
      </c>
      <c r="C33" s="225">
        <v>47384245.5</v>
      </c>
      <c r="D33" s="225">
        <v>4948826.92</v>
      </c>
      <c r="E33" s="225">
        <v>4407875.1500000004</v>
      </c>
      <c r="F33" s="165">
        <f t="shared" si="6"/>
        <v>0.12272393196073159</v>
      </c>
      <c r="G33" s="240">
        <f t="shared" si="7"/>
        <v>0.10444034441785087</v>
      </c>
      <c r="H33" s="241">
        <f t="shared" si="8"/>
        <v>0.89555965558214912</v>
      </c>
      <c r="I33" s="156"/>
    </row>
    <row r="34" spans="1:9" ht="15.4" thickBot="1" x14ac:dyDescent="0.45">
      <c r="A34" s="166"/>
      <c r="B34" s="164"/>
      <c r="C34" s="225"/>
      <c r="D34" s="225"/>
      <c r="E34" s="225"/>
      <c r="F34" s="165"/>
      <c r="G34" s="240"/>
      <c r="H34" s="241"/>
      <c r="I34" s="156"/>
    </row>
    <row r="35" spans="1:9" ht="15.75" thickTop="1" thickBot="1" x14ac:dyDescent="0.45">
      <c r="A35" s="173" t="s">
        <v>14</v>
      </c>
      <c r="B35" s="174"/>
      <c r="C35" s="227">
        <f>SUM(C28:C34)</f>
        <v>271090564.63</v>
      </c>
      <c r="D35" s="227">
        <f>SUM(D28:D34)</f>
        <v>28423027.149999999</v>
      </c>
      <c r="E35" s="227">
        <f>SUM(E28:E34)</f>
        <v>22826873.890000001</v>
      </c>
      <c r="F35" s="175">
        <f>(+D35-E35)/E35</f>
        <v>0.24515635767592167</v>
      </c>
      <c r="G35" s="244">
        <f>D35/C35</f>
        <v>0.10484698052399345</v>
      </c>
      <c r="H35" s="245">
        <f>1-G35</f>
        <v>0.89515301947600656</v>
      </c>
      <c r="I35" s="156"/>
    </row>
    <row r="36" spans="1:9" ht="15.4" thickTop="1" x14ac:dyDescent="0.4">
      <c r="A36" s="166"/>
      <c r="B36" s="167"/>
      <c r="C36" s="225"/>
      <c r="D36" s="225"/>
      <c r="E36" s="225"/>
      <c r="F36" s="165"/>
      <c r="G36" s="240"/>
      <c r="H36" s="241"/>
      <c r="I36" s="156"/>
    </row>
    <row r="37" spans="1:9" x14ac:dyDescent="0.4">
      <c r="A37" s="176" t="s">
        <v>58</v>
      </c>
      <c r="B37" s="164">
        <f>DATE(25,7,1)</f>
        <v>9314</v>
      </c>
      <c r="C37" s="225">
        <v>204045408.94</v>
      </c>
      <c r="D37" s="225">
        <v>19065951.129999999</v>
      </c>
      <c r="E37" s="225">
        <v>17635163.969999999</v>
      </c>
      <c r="F37" s="165">
        <f t="shared" ref="F37:F42" si="9">(+D37-E37)/E37</f>
        <v>8.1132625839713146E-2</v>
      </c>
      <c r="G37" s="240">
        <f t="shared" ref="G37:G42" si="10">D37/C37</f>
        <v>9.3439745736236507E-2</v>
      </c>
      <c r="H37" s="241">
        <f t="shared" ref="H37:H42" si="11">1-G37</f>
        <v>0.90656025426376352</v>
      </c>
      <c r="I37" s="156"/>
    </row>
    <row r="38" spans="1:9" x14ac:dyDescent="0.4">
      <c r="A38" s="176"/>
      <c r="B38" s="164">
        <f>DATE(25,8,1)</f>
        <v>9345</v>
      </c>
      <c r="C38" s="225">
        <v>213666938.12</v>
      </c>
      <c r="D38" s="225">
        <v>19625709.969999999</v>
      </c>
      <c r="E38" s="225">
        <v>18755463.760000002</v>
      </c>
      <c r="F38" s="165">
        <f t="shared" si="9"/>
        <v>4.6399610328803575E-2</v>
      </c>
      <c r="G38" s="240">
        <f t="shared" si="10"/>
        <v>9.1851880046026457E-2</v>
      </c>
      <c r="H38" s="241">
        <f t="shared" si="11"/>
        <v>0.9081481199539736</v>
      </c>
      <c r="I38" s="156"/>
    </row>
    <row r="39" spans="1:9" x14ac:dyDescent="0.4">
      <c r="A39" s="176"/>
      <c r="B39" s="164">
        <f>DATE(25,9,1)</f>
        <v>9376</v>
      </c>
      <c r="C39" s="225">
        <v>188184296.90000001</v>
      </c>
      <c r="D39" s="225">
        <v>17435872.420000002</v>
      </c>
      <c r="E39" s="225">
        <v>17095090.23</v>
      </c>
      <c r="F39" s="165">
        <f t="shared" si="9"/>
        <v>1.9934506657470933E-2</v>
      </c>
      <c r="G39" s="240">
        <f t="shared" si="10"/>
        <v>9.2653174081072862E-2</v>
      </c>
      <c r="H39" s="241">
        <f t="shared" si="11"/>
        <v>0.90734682591892712</v>
      </c>
      <c r="I39" s="156"/>
    </row>
    <row r="40" spans="1:9" x14ac:dyDescent="0.4">
      <c r="A40" s="176"/>
      <c r="B40" s="164">
        <f>DATE(25,10,1)</f>
        <v>9406</v>
      </c>
      <c r="C40" s="225">
        <v>212140186.43000001</v>
      </c>
      <c r="D40" s="225">
        <v>19759923.719999999</v>
      </c>
      <c r="E40" s="225">
        <v>18243581.699999999</v>
      </c>
      <c r="F40" s="165">
        <f t="shared" si="9"/>
        <v>8.3116465008622714E-2</v>
      </c>
      <c r="G40" s="240">
        <f t="shared" si="10"/>
        <v>9.3145594206028429E-2</v>
      </c>
      <c r="H40" s="241">
        <f t="shared" si="11"/>
        <v>0.90685440579397159</v>
      </c>
      <c r="I40" s="156"/>
    </row>
    <row r="41" spans="1:9" x14ac:dyDescent="0.4">
      <c r="A41" s="176"/>
      <c r="B41" s="164">
        <f>DATE(25,11,1)</f>
        <v>9437</v>
      </c>
      <c r="C41" s="225">
        <v>193879605.52000001</v>
      </c>
      <c r="D41" s="225">
        <v>17891627</v>
      </c>
      <c r="E41" s="225">
        <v>16765785.65</v>
      </c>
      <c r="F41" s="165">
        <f t="shared" si="9"/>
        <v>6.7151123931970327E-2</v>
      </c>
      <c r="G41" s="240">
        <f t="shared" si="10"/>
        <v>9.2282150832797907E-2</v>
      </c>
      <c r="H41" s="241">
        <f t="shared" si="11"/>
        <v>0.90771784916720211</v>
      </c>
      <c r="I41" s="156"/>
    </row>
    <row r="42" spans="1:9" x14ac:dyDescent="0.4">
      <c r="A42" s="176"/>
      <c r="B42" s="164">
        <f>DATE(25,12,1)</f>
        <v>9467</v>
      </c>
      <c r="C42" s="225">
        <v>201203229.47999999</v>
      </c>
      <c r="D42" s="225">
        <v>18798760.43</v>
      </c>
      <c r="E42" s="225">
        <v>18263258.199999999</v>
      </c>
      <c r="F42" s="165">
        <f t="shared" si="9"/>
        <v>2.9321286713232825E-2</v>
      </c>
      <c r="G42" s="240">
        <f t="shared" si="10"/>
        <v>9.3431703251406484E-2</v>
      </c>
      <c r="H42" s="241">
        <f t="shared" si="11"/>
        <v>0.90656829674859352</v>
      </c>
      <c r="I42" s="156"/>
    </row>
    <row r="43" spans="1:9" ht="15.4" thickBot="1" x14ac:dyDescent="0.45">
      <c r="A43" s="166"/>
      <c r="B43" s="167"/>
      <c r="C43" s="225"/>
      <c r="D43" s="225"/>
      <c r="E43" s="225"/>
      <c r="F43" s="165"/>
      <c r="G43" s="240"/>
      <c r="H43" s="241"/>
      <c r="I43" s="156"/>
    </row>
    <row r="44" spans="1:9" ht="15.75" thickTop="1" thickBot="1" x14ac:dyDescent="0.45">
      <c r="A44" s="173" t="s">
        <v>14</v>
      </c>
      <c r="B44" s="177"/>
      <c r="C44" s="227">
        <f>SUM(C37:C43)</f>
        <v>1213119665.3900001</v>
      </c>
      <c r="D44" s="227">
        <f>SUM(D37:D43)</f>
        <v>112577844.66999999</v>
      </c>
      <c r="E44" s="227">
        <f>SUM(E37:E43)</f>
        <v>106758343.51000002</v>
      </c>
      <c r="F44" s="175">
        <f>(+D44-E44)/E44</f>
        <v>5.4510972807056114E-2</v>
      </c>
      <c r="G44" s="244">
        <f>D44/C44</f>
        <v>9.280028003981608E-2</v>
      </c>
      <c r="H44" s="245">
        <f>1-G44</f>
        <v>0.90719971996018389</v>
      </c>
      <c r="I44" s="156"/>
    </row>
    <row r="45" spans="1:9" ht="15.4" thickTop="1" x14ac:dyDescent="0.4">
      <c r="A45" s="166"/>
      <c r="B45" s="167"/>
      <c r="C45" s="225"/>
      <c r="D45" s="225"/>
      <c r="E45" s="225"/>
      <c r="F45" s="165"/>
      <c r="G45" s="240"/>
      <c r="H45" s="241"/>
      <c r="I45" s="156"/>
    </row>
    <row r="46" spans="1:9" x14ac:dyDescent="0.4">
      <c r="A46" s="163" t="s">
        <v>60</v>
      </c>
      <c r="B46" s="164">
        <f>DATE(25,7,1)</f>
        <v>9314</v>
      </c>
      <c r="C46" s="225">
        <v>114584386.17</v>
      </c>
      <c r="D46" s="225">
        <v>11284269.119999999</v>
      </c>
      <c r="E46" s="225">
        <v>9741383.2799999993</v>
      </c>
      <c r="F46" s="165">
        <f t="shared" ref="F46:F51" si="12">(+D46-E46)/E46</f>
        <v>0.15838467655488861</v>
      </c>
      <c r="G46" s="240">
        <f t="shared" ref="G46:G51" si="13">D46/C46</f>
        <v>9.8479989265364665E-2</v>
      </c>
      <c r="H46" s="241">
        <f t="shared" ref="H46:H51" si="14">1-G46</f>
        <v>0.90152001073463528</v>
      </c>
      <c r="I46" s="156"/>
    </row>
    <row r="47" spans="1:9" x14ac:dyDescent="0.4">
      <c r="A47" s="163"/>
      <c r="B47" s="164">
        <f>DATE(25,8,1)</f>
        <v>9345</v>
      </c>
      <c r="C47" s="225">
        <v>124984419.62</v>
      </c>
      <c r="D47" s="225">
        <v>12207537.15</v>
      </c>
      <c r="E47" s="225">
        <v>10213981.68</v>
      </c>
      <c r="F47" s="165">
        <f t="shared" si="12"/>
        <v>0.19517907241830892</v>
      </c>
      <c r="G47" s="240">
        <f t="shared" si="13"/>
        <v>9.7672471393758828E-2</v>
      </c>
      <c r="H47" s="241">
        <f t="shared" si="14"/>
        <v>0.90232752860624121</v>
      </c>
      <c r="I47" s="156"/>
    </row>
    <row r="48" spans="1:9" x14ac:dyDescent="0.4">
      <c r="A48" s="163"/>
      <c r="B48" s="164">
        <f>DATE(25,9,1)</f>
        <v>9376</v>
      </c>
      <c r="C48" s="225">
        <v>114317853.92</v>
      </c>
      <c r="D48" s="225">
        <v>10848927.15</v>
      </c>
      <c r="E48" s="225">
        <v>9094034.0600000005</v>
      </c>
      <c r="F48" s="165">
        <f t="shared" si="12"/>
        <v>0.19297190646325771</v>
      </c>
      <c r="G48" s="240">
        <f t="shared" si="13"/>
        <v>9.490142421316021E-2</v>
      </c>
      <c r="H48" s="241">
        <f t="shared" si="14"/>
        <v>0.90509857578683983</v>
      </c>
      <c r="I48" s="156"/>
    </row>
    <row r="49" spans="1:9" x14ac:dyDescent="0.4">
      <c r="A49" s="163"/>
      <c r="B49" s="164">
        <f>DATE(25,10,1)</f>
        <v>9406</v>
      </c>
      <c r="C49" s="225">
        <v>116558155.48999999</v>
      </c>
      <c r="D49" s="225">
        <v>11596520.18</v>
      </c>
      <c r="E49" s="225">
        <v>9949775.4600000009</v>
      </c>
      <c r="F49" s="165">
        <f t="shared" si="12"/>
        <v>0.16550571684961407</v>
      </c>
      <c r="G49" s="240">
        <f t="shared" si="13"/>
        <v>9.949128082242957E-2</v>
      </c>
      <c r="H49" s="241">
        <f t="shared" si="14"/>
        <v>0.90050871917757047</v>
      </c>
      <c r="I49" s="156"/>
    </row>
    <row r="50" spans="1:9" x14ac:dyDescent="0.4">
      <c r="A50" s="163"/>
      <c r="B50" s="164">
        <f>DATE(25,11,1)</f>
        <v>9437</v>
      </c>
      <c r="C50" s="225">
        <v>116601107.65000001</v>
      </c>
      <c r="D50" s="225">
        <v>11036495.890000001</v>
      </c>
      <c r="E50" s="225">
        <v>9979085.8399999999</v>
      </c>
      <c r="F50" s="165">
        <f t="shared" si="12"/>
        <v>0.10596261691241257</v>
      </c>
      <c r="G50" s="240">
        <f t="shared" si="13"/>
        <v>9.4651724262586792E-2</v>
      </c>
      <c r="H50" s="241">
        <f t="shared" si="14"/>
        <v>0.90534827573741317</v>
      </c>
      <c r="I50" s="156"/>
    </row>
    <row r="51" spans="1:9" x14ac:dyDescent="0.4">
      <c r="A51" s="163"/>
      <c r="B51" s="164">
        <f>DATE(25,12,1)</f>
        <v>9467</v>
      </c>
      <c r="C51" s="225">
        <v>130601366.98</v>
      </c>
      <c r="D51" s="225">
        <v>12894093.449999999</v>
      </c>
      <c r="E51" s="225">
        <v>10902773.140000001</v>
      </c>
      <c r="F51" s="165">
        <f t="shared" si="12"/>
        <v>0.18264346918255683</v>
      </c>
      <c r="G51" s="240">
        <f t="shared" si="13"/>
        <v>9.872862549727042E-2</v>
      </c>
      <c r="H51" s="241">
        <f t="shared" si="14"/>
        <v>0.90127137450272954</v>
      </c>
      <c r="I51" s="156"/>
    </row>
    <row r="52" spans="1:9" ht="15.4" thickBot="1" x14ac:dyDescent="0.45">
      <c r="A52" s="166"/>
      <c r="B52" s="164"/>
      <c r="C52" s="225"/>
      <c r="D52" s="225"/>
      <c r="E52" s="225"/>
      <c r="F52" s="165"/>
      <c r="G52" s="240"/>
      <c r="H52" s="241"/>
      <c r="I52" s="156"/>
    </row>
    <row r="53" spans="1:9" ht="15.75" thickTop="1" thickBot="1" x14ac:dyDescent="0.45">
      <c r="A53" s="173" t="s">
        <v>14</v>
      </c>
      <c r="B53" s="174"/>
      <c r="C53" s="227">
        <f>SUM(C46:C52)</f>
        <v>717647289.83000004</v>
      </c>
      <c r="D53" s="229">
        <f>SUM(D46:D52)</f>
        <v>69867842.939999998</v>
      </c>
      <c r="E53" s="270">
        <f>SUM(E46:E52)</f>
        <v>59881033.460000008</v>
      </c>
      <c r="F53" s="271">
        <f>(+D53-E53)/E53</f>
        <v>0.16677750704939132</v>
      </c>
      <c r="G53" s="248">
        <f>D53/C53</f>
        <v>9.735679898763451E-2</v>
      </c>
      <c r="H53" s="269">
        <f>1-G53</f>
        <v>0.9026432010123655</v>
      </c>
      <c r="I53" s="156"/>
    </row>
    <row r="54" spans="1:9" ht="15.4" thickTop="1" x14ac:dyDescent="0.4">
      <c r="A54" s="166"/>
      <c r="B54" s="167"/>
      <c r="C54" s="225"/>
      <c r="D54" s="225"/>
      <c r="E54" s="225"/>
      <c r="F54" s="165"/>
      <c r="G54" s="240"/>
      <c r="H54" s="241"/>
      <c r="I54" s="156"/>
    </row>
    <row r="55" spans="1:9" x14ac:dyDescent="0.4">
      <c r="A55" s="163" t="s">
        <v>64</v>
      </c>
      <c r="B55" s="164">
        <f>DATE(25,7,1)</f>
        <v>9314</v>
      </c>
      <c r="C55" s="225">
        <v>50473686.939999998</v>
      </c>
      <c r="D55" s="225">
        <v>5133575.21</v>
      </c>
      <c r="E55" s="225">
        <v>5096504.7300000004</v>
      </c>
      <c r="F55" s="165">
        <f t="shared" ref="F55:F60" si="15">(+D55-E55)/E55</f>
        <v>7.2737065820401023E-3</v>
      </c>
      <c r="G55" s="240">
        <f t="shared" ref="G55:G60" si="16">D55/C55</f>
        <v>0.10170794965112173</v>
      </c>
      <c r="H55" s="241">
        <f t="shared" ref="H55:H60" si="17">1-G55</f>
        <v>0.89829205034887827</v>
      </c>
      <c r="I55" s="156"/>
    </row>
    <row r="56" spans="1:9" x14ac:dyDescent="0.4">
      <c r="A56" s="163"/>
      <c r="B56" s="164">
        <f>DATE(25,8,1)</f>
        <v>9345</v>
      </c>
      <c r="C56" s="225">
        <v>54290001.18</v>
      </c>
      <c r="D56" s="225">
        <v>5461912.4800000004</v>
      </c>
      <c r="E56" s="225">
        <v>5390961.3799999999</v>
      </c>
      <c r="F56" s="165">
        <f t="shared" si="15"/>
        <v>1.3161121922190539E-2</v>
      </c>
      <c r="G56" s="240">
        <f t="shared" si="16"/>
        <v>0.10060623247899514</v>
      </c>
      <c r="H56" s="241">
        <f t="shared" si="17"/>
        <v>0.89939376752100486</v>
      </c>
      <c r="I56" s="156"/>
    </row>
    <row r="57" spans="1:9" x14ac:dyDescent="0.4">
      <c r="A57" s="163"/>
      <c r="B57" s="164">
        <f>DATE(25,9,1)</f>
        <v>9376</v>
      </c>
      <c r="C57" s="225">
        <v>46674338.479999997</v>
      </c>
      <c r="D57" s="225">
        <v>4772050.28</v>
      </c>
      <c r="E57" s="225">
        <v>4962842.88</v>
      </c>
      <c r="F57" s="165">
        <f t="shared" si="15"/>
        <v>-3.8444215263973784E-2</v>
      </c>
      <c r="G57" s="240">
        <f t="shared" si="16"/>
        <v>0.1022414122065132</v>
      </c>
      <c r="H57" s="241">
        <f t="shared" si="17"/>
        <v>0.89775858779348683</v>
      </c>
      <c r="I57" s="156"/>
    </row>
    <row r="58" spans="1:9" x14ac:dyDescent="0.4">
      <c r="A58" s="163"/>
      <c r="B58" s="164">
        <f>DATE(25,10,1)</f>
        <v>9406</v>
      </c>
      <c r="C58" s="225">
        <v>46929853.640000001</v>
      </c>
      <c r="D58" s="225">
        <v>4758336.2699999996</v>
      </c>
      <c r="E58" s="225">
        <v>4961723.2699999996</v>
      </c>
      <c r="F58" s="165">
        <f t="shared" si="15"/>
        <v>-4.0991201832987358E-2</v>
      </c>
      <c r="G58" s="240">
        <f t="shared" si="16"/>
        <v>0.1013925231154844</v>
      </c>
      <c r="H58" s="241">
        <f t="shared" si="17"/>
        <v>0.89860747688451559</v>
      </c>
      <c r="I58" s="156"/>
    </row>
    <row r="59" spans="1:9" x14ac:dyDescent="0.4">
      <c r="A59" s="163"/>
      <c r="B59" s="164">
        <f>DATE(25,11,1)</f>
        <v>9437</v>
      </c>
      <c r="C59" s="225">
        <v>50524189.310000002</v>
      </c>
      <c r="D59" s="225">
        <v>5142404.0199999996</v>
      </c>
      <c r="E59" s="225">
        <v>5565441.5499999998</v>
      </c>
      <c r="F59" s="165">
        <f t="shared" si="15"/>
        <v>-7.6011494541704472E-2</v>
      </c>
      <c r="G59" s="240">
        <f t="shared" si="16"/>
        <v>0.10178102984390071</v>
      </c>
      <c r="H59" s="241">
        <f t="shared" si="17"/>
        <v>0.89821897015609931</v>
      </c>
      <c r="I59" s="156"/>
    </row>
    <row r="60" spans="1:9" x14ac:dyDescent="0.4">
      <c r="A60" s="163"/>
      <c r="B60" s="164">
        <f>DATE(25,12,1)</f>
        <v>9467</v>
      </c>
      <c r="C60" s="225">
        <v>53253263.899999999</v>
      </c>
      <c r="D60" s="225">
        <v>5234807.32</v>
      </c>
      <c r="E60" s="225">
        <v>5321819.12</v>
      </c>
      <c r="F60" s="165">
        <f t="shared" si="15"/>
        <v>-1.635001078353069E-2</v>
      </c>
      <c r="G60" s="240">
        <f t="shared" si="16"/>
        <v>9.8300215547915001E-2</v>
      </c>
      <c r="H60" s="241">
        <f t="shared" si="17"/>
        <v>0.90169978445208498</v>
      </c>
      <c r="I60" s="156"/>
    </row>
    <row r="61" spans="1:9" ht="15.4" thickBot="1" x14ac:dyDescent="0.45">
      <c r="A61" s="166"/>
      <c r="B61" s="164"/>
      <c r="C61" s="225"/>
      <c r="D61" s="225"/>
      <c r="E61" s="225"/>
      <c r="F61" s="165"/>
      <c r="G61" s="240"/>
      <c r="H61" s="241"/>
      <c r="I61" s="156"/>
    </row>
    <row r="62" spans="1:9" ht="15.75" thickTop="1" thickBot="1" x14ac:dyDescent="0.45">
      <c r="A62" s="173" t="s">
        <v>14</v>
      </c>
      <c r="B62" s="174"/>
      <c r="C62" s="227">
        <f>SUM(C55:C61)</f>
        <v>302145333.44999999</v>
      </c>
      <c r="D62" s="229">
        <f>SUM(D55:D61)</f>
        <v>30503085.580000002</v>
      </c>
      <c r="E62" s="270">
        <f>SUM(E55:E61)</f>
        <v>31299292.93</v>
      </c>
      <c r="F62" s="271">
        <f>(+D62-E62)/E62</f>
        <v>-2.5438509163152451E-2</v>
      </c>
      <c r="G62" s="248">
        <f>D62/C62</f>
        <v>0.10095501139039685</v>
      </c>
      <c r="H62" s="269">
        <f>1-G62</f>
        <v>0.89904498860960314</v>
      </c>
      <c r="I62" s="156"/>
    </row>
    <row r="63" spans="1:9" ht="15.4" thickTop="1" x14ac:dyDescent="0.4">
      <c r="A63" s="166"/>
      <c r="B63" s="167"/>
      <c r="C63" s="225"/>
      <c r="D63" s="225"/>
      <c r="E63" s="225"/>
      <c r="F63" s="165"/>
      <c r="G63" s="240"/>
      <c r="H63" s="241"/>
      <c r="I63" s="156"/>
    </row>
    <row r="64" spans="1:9" x14ac:dyDescent="0.4">
      <c r="A64" s="289" t="s">
        <v>67</v>
      </c>
      <c r="B64" s="164">
        <f>DATE(25,7,1)</f>
        <v>9314</v>
      </c>
      <c r="C64" s="225">
        <v>93836015.939999998</v>
      </c>
      <c r="D64" s="225">
        <v>10417438.859999999</v>
      </c>
      <c r="E64" s="225">
        <v>10638892.560000001</v>
      </c>
      <c r="F64" s="165">
        <f t="shared" ref="F64:F69" si="18">(+D64-E64)/E64</f>
        <v>-2.0815484201111352E-2</v>
      </c>
      <c r="G64" s="240">
        <f t="shared" ref="G64:G69" si="19">D64/C64</f>
        <v>0.11101748892089632</v>
      </c>
      <c r="H64" s="241">
        <f t="shared" ref="H64:H69" si="20">1-G64</f>
        <v>0.88898251107910364</v>
      </c>
      <c r="I64" s="156"/>
    </row>
    <row r="65" spans="1:9" x14ac:dyDescent="0.4">
      <c r="A65" s="289"/>
      <c r="B65" s="164">
        <f>DATE(25,8,1)</f>
        <v>9345</v>
      </c>
      <c r="C65" s="225">
        <v>96419544.269999996</v>
      </c>
      <c r="D65" s="225">
        <v>10567774.789999999</v>
      </c>
      <c r="E65" s="225">
        <v>11116423.300000001</v>
      </c>
      <c r="F65" s="165">
        <f t="shared" si="18"/>
        <v>-4.9354769532750843E-2</v>
      </c>
      <c r="G65" s="240">
        <f t="shared" si="19"/>
        <v>0.10960199895165922</v>
      </c>
      <c r="H65" s="241">
        <f t="shared" si="20"/>
        <v>0.89039800104834077</v>
      </c>
      <c r="I65" s="156"/>
    </row>
    <row r="66" spans="1:9" x14ac:dyDescent="0.4">
      <c r="A66" s="289"/>
      <c r="B66" s="164">
        <f>DATE(25,9,1)</f>
        <v>9376</v>
      </c>
      <c r="C66" s="225">
        <v>89806945.900000006</v>
      </c>
      <c r="D66" s="225">
        <v>9523944.1500000004</v>
      </c>
      <c r="E66" s="225">
        <v>10219644.369999999</v>
      </c>
      <c r="F66" s="165">
        <f t="shared" si="18"/>
        <v>-6.8074797401193612E-2</v>
      </c>
      <c r="G66" s="240">
        <f t="shared" si="19"/>
        <v>0.10604908177820575</v>
      </c>
      <c r="H66" s="241">
        <f t="shared" si="20"/>
        <v>0.89395091822179429</v>
      </c>
      <c r="I66" s="156"/>
    </row>
    <row r="67" spans="1:9" x14ac:dyDescent="0.4">
      <c r="A67" s="289"/>
      <c r="B67" s="164">
        <f>DATE(25,10,1)</f>
        <v>9406</v>
      </c>
      <c r="C67" s="225">
        <v>101024821.36</v>
      </c>
      <c r="D67" s="225">
        <v>11127480.560000001</v>
      </c>
      <c r="E67" s="225">
        <v>10771197.369999999</v>
      </c>
      <c r="F67" s="165">
        <f t="shared" si="18"/>
        <v>3.3077398710780595E-2</v>
      </c>
      <c r="G67" s="240">
        <f t="shared" si="19"/>
        <v>0.11014600580532025</v>
      </c>
      <c r="H67" s="241">
        <f t="shared" si="20"/>
        <v>0.8898539941946797</v>
      </c>
      <c r="I67" s="156"/>
    </row>
    <row r="68" spans="1:9" x14ac:dyDescent="0.4">
      <c r="A68" s="289"/>
      <c r="B68" s="164">
        <f>DATE(25,11,1)</f>
        <v>9437</v>
      </c>
      <c r="C68" s="225">
        <v>93711488.209999993</v>
      </c>
      <c r="D68" s="225">
        <v>10118381.810000001</v>
      </c>
      <c r="E68" s="225">
        <v>9849647.8100000005</v>
      </c>
      <c r="F68" s="165">
        <f t="shared" si="18"/>
        <v>2.728361512856976E-2</v>
      </c>
      <c r="G68" s="240">
        <f t="shared" si="19"/>
        <v>0.10797376077653907</v>
      </c>
      <c r="H68" s="241">
        <f t="shared" si="20"/>
        <v>0.89202623922346092</v>
      </c>
      <c r="I68" s="156"/>
    </row>
    <row r="69" spans="1:9" x14ac:dyDescent="0.4">
      <c r="A69" s="289"/>
      <c r="B69" s="164">
        <f>DATE(25,12,1)</f>
        <v>9467</v>
      </c>
      <c r="C69" s="225">
        <v>92529247.540000007</v>
      </c>
      <c r="D69" s="225">
        <v>9982993.6799999997</v>
      </c>
      <c r="E69" s="225">
        <v>9955704.7599999998</v>
      </c>
      <c r="F69" s="165">
        <f t="shared" si="18"/>
        <v>2.7410334735559119E-3</v>
      </c>
      <c r="G69" s="240">
        <f t="shared" si="19"/>
        <v>0.10789014225674312</v>
      </c>
      <c r="H69" s="241">
        <f t="shared" si="20"/>
        <v>0.89210985774325691</v>
      </c>
      <c r="I69" s="156"/>
    </row>
    <row r="70" spans="1:9" ht="15.4" thickBot="1" x14ac:dyDescent="0.45">
      <c r="A70" s="166"/>
      <c r="B70" s="164"/>
      <c r="C70" s="225"/>
      <c r="D70" s="225"/>
      <c r="E70" s="225"/>
      <c r="F70" s="165"/>
      <c r="G70" s="240"/>
      <c r="H70" s="241"/>
      <c r="I70" s="156"/>
    </row>
    <row r="71" spans="1:9" ht="15.75" thickTop="1" thickBot="1" x14ac:dyDescent="0.45">
      <c r="A71" s="173" t="s">
        <v>14</v>
      </c>
      <c r="B71" s="174"/>
      <c r="C71" s="227">
        <f>SUM(C64:C70)</f>
        <v>567328063.22000003</v>
      </c>
      <c r="D71" s="229">
        <f>SUM(D64:D70)</f>
        <v>61738013.850000001</v>
      </c>
      <c r="E71" s="270">
        <f>SUM(E64:E70)</f>
        <v>62551510.169999994</v>
      </c>
      <c r="F71" s="271">
        <f>(+D71-E71)/E71</f>
        <v>-1.3005222700285014E-2</v>
      </c>
      <c r="G71" s="248">
        <f>D71/C71</f>
        <v>0.10882242189746757</v>
      </c>
      <c r="H71" s="269">
        <f>1-G71</f>
        <v>0.8911775781025324</v>
      </c>
      <c r="I71" s="156"/>
    </row>
    <row r="72" spans="1:9" ht="15.4" thickTop="1" x14ac:dyDescent="0.4">
      <c r="A72" s="166"/>
      <c r="B72" s="167"/>
      <c r="C72" s="225"/>
      <c r="D72" s="225"/>
      <c r="E72" s="225"/>
      <c r="F72" s="165"/>
      <c r="G72" s="240"/>
      <c r="H72" s="241"/>
      <c r="I72" s="156"/>
    </row>
    <row r="73" spans="1:9" x14ac:dyDescent="0.4">
      <c r="A73" s="163" t="s">
        <v>69</v>
      </c>
      <c r="B73" s="164">
        <f>DATE(25,7,1)</f>
        <v>9314</v>
      </c>
      <c r="C73" s="225">
        <v>127697612.23</v>
      </c>
      <c r="D73" s="225">
        <v>12769442.74</v>
      </c>
      <c r="E73" s="225">
        <v>10449496.5</v>
      </c>
      <c r="F73" s="165">
        <f t="shared" ref="F73:F78" si="21">(+D73-E73)/E73</f>
        <v>0.2220151219726233</v>
      </c>
      <c r="G73" s="240">
        <f t="shared" ref="G73:G78" si="22">D73/C73</f>
        <v>9.9997505959630417E-2</v>
      </c>
      <c r="H73" s="241">
        <f t="shared" ref="H73:H78" si="23">1-G73</f>
        <v>0.90000249404036958</v>
      </c>
      <c r="I73" s="156"/>
    </row>
    <row r="74" spans="1:9" x14ac:dyDescent="0.4">
      <c r="A74" s="163"/>
      <c r="B74" s="164">
        <f>DATE(25,8,1)</f>
        <v>9345</v>
      </c>
      <c r="C74" s="225">
        <v>130749611.66</v>
      </c>
      <c r="D74" s="225">
        <v>13136164.029999999</v>
      </c>
      <c r="E74" s="225">
        <v>10275632.210000001</v>
      </c>
      <c r="F74" s="165">
        <f t="shared" si="21"/>
        <v>0.27838012898283737</v>
      </c>
      <c r="G74" s="240">
        <f t="shared" si="22"/>
        <v>0.10046809212832808</v>
      </c>
      <c r="H74" s="241">
        <f t="shared" si="23"/>
        <v>0.89953190787167192</v>
      </c>
      <c r="I74" s="156"/>
    </row>
    <row r="75" spans="1:9" x14ac:dyDescent="0.4">
      <c r="A75" s="163"/>
      <c r="B75" s="164">
        <f>DATE(25,9,1)</f>
        <v>9376</v>
      </c>
      <c r="C75" s="225">
        <v>111907637.18000001</v>
      </c>
      <c r="D75" s="225">
        <v>11494154.85</v>
      </c>
      <c r="E75" s="225">
        <v>9114774.1799999997</v>
      </c>
      <c r="F75" s="165">
        <f t="shared" si="21"/>
        <v>0.26104658469991848</v>
      </c>
      <c r="G75" s="240">
        <f t="shared" si="22"/>
        <v>0.10271108513811264</v>
      </c>
      <c r="H75" s="241">
        <f t="shared" si="23"/>
        <v>0.89728891486188733</v>
      </c>
      <c r="I75" s="156"/>
    </row>
    <row r="76" spans="1:9" x14ac:dyDescent="0.4">
      <c r="A76" s="163"/>
      <c r="B76" s="164">
        <f>DATE(25,10,1)</f>
        <v>9406</v>
      </c>
      <c r="C76" s="225">
        <v>113584160.47</v>
      </c>
      <c r="D76" s="225">
        <v>11479577.25</v>
      </c>
      <c r="E76" s="225">
        <v>9368778.4199999999</v>
      </c>
      <c r="F76" s="165">
        <f t="shared" si="21"/>
        <v>0.22530139313509351</v>
      </c>
      <c r="G76" s="240">
        <f t="shared" si="22"/>
        <v>0.10106670861939418</v>
      </c>
      <c r="H76" s="241">
        <f t="shared" si="23"/>
        <v>0.89893329138060585</v>
      </c>
      <c r="I76" s="156"/>
    </row>
    <row r="77" spans="1:9" x14ac:dyDescent="0.4">
      <c r="A77" s="163"/>
      <c r="B77" s="164">
        <f>DATE(25,11,1)</f>
        <v>9437</v>
      </c>
      <c r="C77" s="225">
        <v>110159477</v>
      </c>
      <c r="D77" s="225">
        <v>10932278.65</v>
      </c>
      <c r="E77" s="225">
        <v>9909604.9700000007</v>
      </c>
      <c r="F77" s="165">
        <f t="shared" si="21"/>
        <v>0.10320024694183139</v>
      </c>
      <c r="G77" s="240">
        <f t="shared" si="22"/>
        <v>9.9240473427447379E-2</v>
      </c>
      <c r="H77" s="241">
        <f t="shared" si="23"/>
        <v>0.90075952657255265</v>
      </c>
      <c r="I77" s="156"/>
    </row>
    <row r="78" spans="1:9" x14ac:dyDescent="0.4">
      <c r="A78" s="163"/>
      <c r="B78" s="164">
        <f>DATE(25,12,1)</f>
        <v>9467</v>
      </c>
      <c r="C78" s="225">
        <v>122812851.12</v>
      </c>
      <c r="D78" s="225">
        <v>12564588.699999999</v>
      </c>
      <c r="E78" s="225">
        <v>11021433.1</v>
      </c>
      <c r="F78" s="165">
        <f t="shared" si="21"/>
        <v>0.14001406042196088</v>
      </c>
      <c r="G78" s="240">
        <f t="shared" si="22"/>
        <v>0.10230679106800626</v>
      </c>
      <c r="H78" s="241">
        <f t="shared" si="23"/>
        <v>0.89769320893199378</v>
      </c>
      <c r="I78" s="156"/>
    </row>
    <row r="79" spans="1:9" ht="15.4" thickBot="1" x14ac:dyDescent="0.45">
      <c r="A79" s="166"/>
      <c r="B79" s="164"/>
      <c r="C79" s="225"/>
      <c r="D79" s="225"/>
      <c r="E79" s="225"/>
      <c r="F79" s="165"/>
      <c r="G79" s="240"/>
      <c r="H79" s="241"/>
      <c r="I79" s="156"/>
    </row>
    <row r="80" spans="1:9" ht="15.75" thickTop="1" thickBot="1" x14ac:dyDescent="0.45">
      <c r="A80" s="173" t="s">
        <v>14</v>
      </c>
      <c r="B80" s="174"/>
      <c r="C80" s="227">
        <f>SUM(C73:C79)</f>
        <v>716911349.65999997</v>
      </c>
      <c r="D80" s="229">
        <f>SUM(D73:D79)</f>
        <v>72376206.219999999</v>
      </c>
      <c r="E80" s="270">
        <f>SUM(E73:E79)</f>
        <v>60139719.380000003</v>
      </c>
      <c r="F80" s="175">
        <f>(+D80-E80)/E80</f>
        <v>0.20346764112220564</v>
      </c>
      <c r="G80" s="248">
        <f>D80/C80</f>
        <v>0.10095558712290564</v>
      </c>
      <c r="H80" s="269">
        <f>1-G80</f>
        <v>0.89904441287709436</v>
      </c>
      <c r="I80" s="156"/>
    </row>
    <row r="81" spans="1:9" ht="15.4" thickTop="1" x14ac:dyDescent="0.4">
      <c r="A81" s="166"/>
      <c r="B81" s="178"/>
      <c r="C81" s="228"/>
      <c r="D81" s="228"/>
      <c r="E81" s="228"/>
      <c r="F81" s="179"/>
      <c r="G81" s="246"/>
      <c r="H81" s="247"/>
      <c r="I81" s="156"/>
    </row>
    <row r="82" spans="1:9" x14ac:dyDescent="0.4">
      <c r="A82" s="163" t="s">
        <v>16</v>
      </c>
      <c r="B82" s="164">
        <f>DATE(25,7,1)</f>
        <v>9314</v>
      </c>
      <c r="C82" s="225">
        <v>159207103.13999999</v>
      </c>
      <c r="D82" s="225">
        <v>15262289.550000001</v>
      </c>
      <c r="E82" s="225">
        <v>14744546.640000001</v>
      </c>
      <c r="F82" s="165">
        <f t="shared" ref="F82:F87" si="24">(+D82-E82)/E82</f>
        <v>3.5114196634261526E-2</v>
      </c>
      <c r="G82" s="240">
        <f t="shared" ref="G82:G87" si="25">D82/C82</f>
        <v>9.5864375703004837E-2</v>
      </c>
      <c r="H82" s="241">
        <f t="shared" ref="H82:H87" si="26">1-G82</f>
        <v>0.90413562429699512</v>
      </c>
      <c r="I82" s="156"/>
    </row>
    <row r="83" spans="1:9" x14ac:dyDescent="0.4">
      <c r="A83" s="163"/>
      <c r="B83" s="164">
        <f>DATE(25,8,1)</f>
        <v>9345</v>
      </c>
      <c r="C83" s="225">
        <v>162847837.30000001</v>
      </c>
      <c r="D83" s="225">
        <v>15853868.039999999</v>
      </c>
      <c r="E83" s="225">
        <v>15706191.880000001</v>
      </c>
      <c r="F83" s="165">
        <f t="shared" si="24"/>
        <v>9.4024166474144903E-3</v>
      </c>
      <c r="G83" s="240">
        <f t="shared" si="25"/>
        <v>9.7353875266969842E-2</v>
      </c>
      <c r="H83" s="241">
        <f t="shared" si="26"/>
        <v>0.90264612473303019</v>
      </c>
      <c r="I83" s="156"/>
    </row>
    <row r="84" spans="1:9" x14ac:dyDescent="0.4">
      <c r="A84" s="163"/>
      <c r="B84" s="164">
        <f>DATE(25,9,1)</f>
        <v>9376</v>
      </c>
      <c r="C84" s="225">
        <v>144730028.94999999</v>
      </c>
      <c r="D84" s="225">
        <v>13899746.189999999</v>
      </c>
      <c r="E84" s="225">
        <v>14330045.689999999</v>
      </c>
      <c r="F84" s="165">
        <f t="shared" si="24"/>
        <v>-3.0027782835352564E-2</v>
      </c>
      <c r="G84" s="240">
        <f t="shared" si="25"/>
        <v>9.6039130862068417E-2</v>
      </c>
      <c r="H84" s="241">
        <f t="shared" si="26"/>
        <v>0.90396086913793161</v>
      </c>
      <c r="I84" s="156"/>
    </row>
    <row r="85" spans="1:9" x14ac:dyDescent="0.4">
      <c r="A85" s="163"/>
      <c r="B85" s="164">
        <f>DATE(25,10,1)</f>
        <v>9406</v>
      </c>
      <c r="C85" s="225">
        <v>152293476.97999999</v>
      </c>
      <c r="D85" s="225">
        <v>15025688.18</v>
      </c>
      <c r="E85" s="225">
        <v>13581004.15</v>
      </c>
      <c r="F85" s="165">
        <f t="shared" si="24"/>
        <v>0.10637534706886893</v>
      </c>
      <c r="G85" s="240">
        <f t="shared" si="25"/>
        <v>9.8662716735879993E-2</v>
      </c>
      <c r="H85" s="241">
        <f t="shared" si="26"/>
        <v>0.90133728326411999</v>
      </c>
      <c r="I85" s="156"/>
    </row>
    <row r="86" spans="1:9" x14ac:dyDescent="0.4">
      <c r="A86" s="163"/>
      <c r="B86" s="164">
        <f>DATE(25,11,1)</f>
        <v>9437</v>
      </c>
      <c r="C86" s="225">
        <v>147716641.56</v>
      </c>
      <c r="D86" s="225">
        <v>14082731.050000001</v>
      </c>
      <c r="E86" s="225">
        <v>14427428.6</v>
      </c>
      <c r="F86" s="165">
        <f t="shared" si="24"/>
        <v>-2.3891821582121633E-2</v>
      </c>
      <c r="G86" s="240">
        <f t="shared" si="25"/>
        <v>9.5336117185414307E-2</v>
      </c>
      <c r="H86" s="241">
        <f t="shared" si="26"/>
        <v>0.90466388281458565</v>
      </c>
      <c r="I86" s="156"/>
    </row>
    <row r="87" spans="1:9" x14ac:dyDescent="0.4">
      <c r="A87" s="163"/>
      <c r="B87" s="164">
        <f>DATE(25,12,1)</f>
        <v>9467</v>
      </c>
      <c r="C87" s="225">
        <v>159299136.62</v>
      </c>
      <c r="D87" s="225">
        <v>15397165.51</v>
      </c>
      <c r="E87" s="225">
        <v>15257011.199999999</v>
      </c>
      <c r="F87" s="165">
        <f t="shared" si="24"/>
        <v>9.1862231837386687E-3</v>
      </c>
      <c r="G87" s="240">
        <f t="shared" si="25"/>
        <v>9.6655674579889009E-2</v>
      </c>
      <c r="H87" s="241">
        <f t="shared" si="26"/>
        <v>0.90334432542011101</v>
      </c>
      <c r="I87" s="156"/>
    </row>
    <row r="88" spans="1:9" ht="15.75" customHeight="1" thickBot="1" x14ac:dyDescent="0.45">
      <c r="A88" s="163"/>
      <c r="B88" s="164"/>
      <c r="C88" s="225"/>
      <c r="D88" s="225"/>
      <c r="E88" s="225"/>
      <c r="F88" s="165"/>
      <c r="G88" s="240"/>
      <c r="H88" s="241"/>
      <c r="I88" s="156"/>
    </row>
    <row r="89" spans="1:9" ht="15.75" thickTop="1" thickBot="1" x14ac:dyDescent="0.45">
      <c r="A89" s="173" t="s">
        <v>14</v>
      </c>
      <c r="B89" s="180"/>
      <c r="C89" s="227">
        <f>SUM(C82:C88)</f>
        <v>926094224.55000007</v>
      </c>
      <c r="D89" s="227">
        <f>SUM(D82:D88)</f>
        <v>89521488.520000011</v>
      </c>
      <c r="E89" s="227">
        <f>SUM(E82:E88)</f>
        <v>88046228.159999996</v>
      </c>
      <c r="F89" s="175">
        <f>(+D89-E89)/E89</f>
        <v>1.6755520262822971E-2</v>
      </c>
      <c r="G89" s="244">
        <f>D89/C89</f>
        <v>9.6665637412326533E-2</v>
      </c>
      <c r="H89" s="245">
        <f>1-G89</f>
        <v>0.90333436258767352</v>
      </c>
      <c r="I89" s="156"/>
    </row>
    <row r="90" spans="1:9" ht="15.4" thickTop="1" x14ac:dyDescent="0.4">
      <c r="A90" s="170"/>
      <c r="B90" s="171"/>
      <c r="C90" s="226"/>
      <c r="D90" s="226"/>
      <c r="E90" s="226"/>
      <c r="F90" s="172"/>
      <c r="G90" s="242"/>
      <c r="H90" s="243"/>
      <c r="I90" s="156"/>
    </row>
    <row r="91" spans="1:9" x14ac:dyDescent="0.4">
      <c r="A91" s="163" t="s">
        <v>53</v>
      </c>
      <c r="B91" s="164">
        <f>DATE(25,7,1)</f>
        <v>9314</v>
      </c>
      <c r="C91" s="225">
        <v>208655549.31</v>
      </c>
      <c r="D91" s="225">
        <v>20027858.210000001</v>
      </c>
      <c r="E91" s="225">
        <v>17994367.18</v>
      </c>
      <c r="F91" s="165">
        <f t="shared" ref="F91:F96" si="27">(+D91-E91)/E91</f>
        <v>0.11300708769909636</v>
      </c>
      <c r="G91" s="240">
        <f t="shared" ref="G91:G96" si="28">D91/C91</f>
        <v>9.5985265075526793E-2</v>
      </c>
      <c r="H91" s="241">
        <f t="shared" ref="H91:H96" si="29">1-G91</f>
        <v>0.90401473492447315</v>
      </c>
      <c r="I91" s="156"/>
    </row>
    <row r="92" spans="1:9" x14ac:dyDescent="0.4">
      <c r="A92" s="163"/>
      <c r="B92" s="164">
        <f>DATE(25,8,1)</f>
        <v>9345</v>
      </c>
      <c r="C92" s="225">
        <v>214762394.52000001</v>
      </c>
      <c r="D92" s="225">
        <v>20920695.829999998</v>
      </c>
      <c r="E92" s="225">
        <v>18616519.079999998</v>
      </c>
      <c r="F92" s="165">
        <f t="shared" si="27"/>
        <v>0.12377054701248695</v>
      </c>
      <c r="G92" s="240">
        <f t="shared" si="28"/>
        <v>9.7413217415266498E-2</v>
      </c>
      <c r="H92" s="241">
        <f t="shared" si="29"/>
        <v>0.90258678258473346</v>
      </c>
      <c r="I92" s="156"/>
    </row>
    <row r="93" spans="1:9" x14ac:dyDescent="0.4">
      <c r="A93" s="163"/>
      <c r="B93" s="164">
        <f>DATE(25,9,1)</f>
        <v>9376</v>
      </c>
      <c r="C93" s="225">
        <v>194219720.74000001</v>
      </c>
      <c r="D93" s="225">
        <v>18793291.129999999</v>
      </c>
      <c r="E93" s="225">
        <v>17799029.699999999</v>
      </c>
      <c r="F93" s="165">
        <f t="shared" si="27"/>
        <v>5.5860428728876144E-2</v>
      </c>
      <c r="G93" s="240">
        <f t="shared" si="28"/>
        <v>9.6763042694095872E-2</v>
      </c>
      <c r="H93" s="241">
        <f t="shared" si="29"/>
        <v>0.90323695730590414</v>
      </c>
      <c r="I93" s="156"/>
    </row>
    <row r="94" spans="1:9" x14ac:dyDescent="0.4">
      <c r="A94" s="163"/>
      <c r="B94" s="164">
        <f>DATE(25,10,1)</f>
        <v>9406</v>
      </c>
      <c r="C94" s="225">
        <v>208917074.91</v>
      </c>
      <c r="D94" s="225">
        <v>19742925.489999998</v>
      </c>
      <c r="E94" s="225">
        <v>18415945.390000001</v>
      </c>
      <c r="F94" s="165">
        <f t="shared" si="27"/>
        <v>7.2056040127082374E-2</v>
      </c>
      <c r="G94" s="240">
        <f t="shared" si="28"/>
        <v>9.4501253660119022E-2</v>
      </c>
      <c r="H94" s="241">
        <f t="shared" si="29"/>
        <v>0.90549874633988092</v>
      </c>
      <c r="I94" s="156"/>
    </row>
    <row r="95" spans="1:9" x14ac:dyDescent="0.4">
      <c r="A95" s="163"/>
      <c r="B95" s="164">
        <f>DATE(25,11,1)</f>
        <v>9437</v>
      </c>
      <c r="C95" s="225">
        <v>198673388.47</v>
      </c>
      <c r="D95" s="225">
        <v>19260943.609999999</v>
      </c>
      <c r="E95" s="225">
        <v>18255156.379999999</v>
      </c>
      <c r="F95" s="165">
        <f t="shared" si="27"/>
        <v>5.5096062124229281E-2</v>
      </c>
      <c r="G95" s="240">
        <f t="shared" si="28"/>
        <v>9.6947778252186159E-2</v>
      </c>
      <c r="H95" s="241">
        <f t="shared" si="29"/>
        <v>0.90305222174781385</v>
      </c>
      <c r="I95" s="156"/>
    </row>
    <row r="96" spans="1:9" x14ac:dyDescent="0.4">
      <c r="A96" s="163"/>
      <c r="B96" s="164">
        <f>DATE(25,12,1)</f>
        <v>9467</v>
      </c>
      <c r="C96" s="225">
        <v>209080706.34</v>
      </c>
      <c r="D96" s="225">
        <v>20216247.690000001</v>
      </c>
      <c r="E96" s="225">
        <v>18839339.469999999</v>
      </c>
      <c r="F96" s="165">
        <f t="shared" si="27"/>
        <v>7.3086862848488324E-2</v>
      </c>
      <c r="G96" s="240">
        <f t="shared" si="28"/>
        <v>9.6691120112847806E-2</v>
      </c>
      <c r="H96" s="241">
        <f t="shared" si="29"/>
        <v>0.90330887988715225</v>
      </c>
      <c r="I96" s="156"/>
    </row>
    <row r="97" spans="1:9" ht="15.4" thickBot="1" x14ac:dyDescent="0.45">
      <c r="A97" s="166"/>
      <c r="B97" s="167"/>
      <c r="C97" s="225"/>
      <c r="D97" s="225"/>
      <c r="E97" s="225"/>
      <c r="F97" s="165"/>
      <c r="G97" s="240"/>
      <c r="H97" s="241"/>
      <c r="I97" s="156"/>
    </row>
    <row r="98" spans="1:9" ht="15.75" thickTop="1" thickBot="1" x14ac:dyDescent="0.45">
      <c r="A98" s="173" t="s">
        <v>14</v>
      </c>
      <c r="B98" s="174"/>
      <c r="C98" s="227">
        <f>SUM(C91:C97)</f>
        <v>1234308834.29</v>
      </c>
      <c r="D98" s="227">
        <f>SUM(D91:D97)</f>
        <v>118961961.95999999</v>
      </c>
      <c r="E98" s="227">
        <f>SUM(E91:E97)</f>
        <v>109920357.19999999</v>
      </c>
      <c r="F98" s="175">
        <f>(+D98-E98)/E98</f>
        <v>8.2255962319598488E-2</v>
      </c>
      <c r="G98" s="248">
        <f>D98/C98</f>
        <v>9.6379413851015158E-2</v>
      </c>
      <c r="H98" s="269">
        <f>1-G98</f>
        <v>0.90362058614898488</v>
      </c>
      <c r="I98" s="156"/>
    </row>
    <row r="99" spans="1:9" ht="15.4" thickTop="1" x14ac:dyDescent="0.4">
      <c r="A99" s="166"/>
      <c r="B99" s="167"/>
      <c r="C99" s="225"/>
      <c r="D99" s="225"/>
      <c r="E99" s="225"/>
      <c r="F99" s="165"/>
      <c r="G99" s="240"/>
      <c r="H99" s="241"/>
      <c r="I99" s="156"/>
    </row>
    <row r="100" spans="1:9" x14ac:dyDescent="0.4">
      <c r="A100" s="163" t="s">
        <v>54</v>
      </c>
      <c r="B100" s="164">
        <f>DATE(25,7,1)</f>
        <v>9314</v>
      </c>
      <c r="C100" s="225">
        <v>28283296.43</v>
      </c>
      <c r="D100" s="225">
        <v>2945968.77</v>
      </c>
      <c r="E100" s="225">
        <v>2829692.37</v>
      </c>
      <c r="F100" s="165">
        <f t="shared" ref="F100:F105" si="30">(+D100-E100)/E100</f>
        <v>4.1091533918225856E-2</v>
      </c>
      <c r="G100" s="240">
        <f t="shared" ref="G100:G105" si="31">D100/C100</f>
        <v>0.10415931457251286</v>
      </c>
      <c r="H100" s="241">
        <f t="shared" ref="H100:H105" si="32">1-G100</f>
        <v>0.89584068542748718</v>
      </c>
      <c r="I100" s="156"/>
    </row>
    <row r="101" spans="1:9" x14ac:dyDescent="0.4">
      <c r="A101" s="163"/>
      <c r="B101" s="164">
        <f>DATE(25,8,1)</f>
        <v>9345</v>
      </c>
      <c r="C101" s="225">
        <v>27999385.52</v>
      </c>
      <c r="D101" s="225">
        <v>3020485.7</v>
      </c>
      <c r="E101" s="225">
        <v>2718513.58</v>
      </c>
      <c r="F101" s="165">
        <f t="shared" si="30"/>
        <v>0.11107986446034238</v>
      </c>
      <c r="G101" s="240">
        <f t="shared" si="31"/>
        <v>0.10787685672038992</v>
      </c>
      <c r="H101" s="241">
        <f t="shared" si="32"/>
        <v>0.89212314327961006</v>
      </c>
      <c r="I101" s="156"/>
    </row>
    <row r="102" spans="1:9" x14ac:dyDescent="0.4">
      <c r="A102" s="163"/>
      <c r="B102" s="164">
        <f>DATE(25,9,1)</f>
        <v>9376</v>
      </c>
      <c r="C102" s="225">
        <v>26275680.399999999</v>
      </c>
      <c r="D102" s="225">
        <v>2774787.36</v>
      </c>
      <c r="E102" s="225">
        <v>2469404.4700000002</v>
      </c>
      <c r="F102" s="165">
        <f t="shared" si="30"/>
        <v>0.12366661424242083</v>
      </c>
      <c r="G102" s="240">
        <f t="shared" si="31"/>
        <v>0.10560287375089249</v>
      </c>
      <c r="H102" s="241">
        <f t="shared" si="32"/>
        <v>0.8943971262491075</v>
      </c>
      <c r="I102" s="156"/>
    </row>
    <row r="103" spans="1:9" x14ac:dyDescent="0.4">
      <c r="A103" s="163"/>
      <c r="B103" s="164">
        <f>DATE(25,10,1)</f>
        <v>9406</v>
      </c>
      <c r="C103" s="225">
        <v>26708454.559999999</v>
      </c>
      <c r="D103" s="225">
        <v>2914669.86</v>
      </c>
      <c r="E103" s="225">
        <v>2475216.7799999998</v>
      </c>
      <c r="F103" s="165">
        <f t="shared" si="30"/>
        <v>0.1775412495385556</v>
      </c>
      <c r="G103" s="240">
        <f t="shared" si="31"/>
        <v>0.10912910941560672</v>
      </c>
      <c r="H103" s="241">
        <f t="shared" si="32"/>
        <v>0.89087089058439328</v>
      </c>
      <c r="I103" s="156"/>
    </row>
    <row r="104" spans="1:9" x14ac:dyDescent="0.4">
      <c r="A104" s="163"/>
      <c r="B104" s="164">
        <f>DATE(25,11,1)</f>
        <v>9437</v>
      </c>
      <c r="C104" s="225">
        <v>25970895.969999999</v>
      </c>
      <c r="D104" s="225">
        <v>2679585.61</v>
      </c>
      <c r="E104" s="225">
        <v>2520547.39</v>
      </c>
      <c r="F104" s="165">
        <f t="shared" si="30"/>
        <v>6.3096699007115176E-2</v>
      </c>
      <c r="G104" s="240">
        <f t="shared" si="31"/>
        <v>0.10317647928262831</v>
      </c>
      <c r="H104" s="241">
        <f t="shared" si="32"/>
        <v>0.8968235207173717</v>
      </c>
      <c r="I104" s="156"/>
    </row>
    <row r="105" spans="1:9" x14ac:dyDescent="0.4">
      <c r="A105" s="163"/>
      <c r="B105" s="164">
        <f>DATE(25,12,1)</f>
        <v>9467</v>
      </c>
      <c r="C105" s="225">
        <v>26004980.329999998</v>
      </c>
      <c r="D105" s="225">
        <v>2938168.46</v>
      </c>
      <c r="E105" s="225">
        <v>2529744.4500000002</v>
      </c>
      <c r="F105" s="165">
        <f t="shared" si="30"/>
        <v>0.16144872261702156</v>
      </c>
      <c r="G105" s="240">
        <f t="shared" si="31"/>
        <v>0.11298483685490256</v>
      </c>
      <c r="H105" s="241">
        <f t="shared" si="32"/>
        <v>0.88701516314509743</v>
      </c>
      <c r="I105" s="156"/>
    </row>
    <row r="106" spans="1:9" ht="15.4" thickBot="1" x14ac:dyDescent="0.45">
      <c r="A106" s="166"/>
      <c r="B106" s="167"/>
      <c r="C106" s="225"/>
      <c r="D106" s="225"/>
      <c r="E106" s="225"/>
      <c r="F106" s="165"/>
      <c r="G106" s="240"/>
      <c r="H106" s="241"/>
      <c r="I106" s="156"/>
    </row>
    <row r="107" spans="1:9" ht="15.75" thickTop="1" thickBot="1" x14ac:dyDescent="0.45">
      <c r="A107" s="181" t="s">
        <v>14</v>
      </c>
      <c r="B107" s="182"/>
      <c r="C107" s="229">
        <f>SUM(C100:C106)</f>
        <v>161242693.20999998</v>
      </c>
      <c r="D107" s="229">
        <f>SUM(D100:D106)</f>
        <v>17273665.759999998</v>
      </c>
      <c r="E107" s="229">
        <f>SUM(E100:E106)</f>
        <v>15543119.039999999</v>
      </c>
      <c r="F107" s="175">
        <f>(+D107-E107)/E107</f>
        <v>0.11133844600600826</v>
      </c>
      <c r="G107" s="248">
        <f>D107/C107</f>
        <v>0.10712836294233218</v>
      </c>
      <c r="H107" s="245">
        <f>1-G107</f>
        <v>0.89287163705766781</v>
      </c>
      <c r="I107" s="156"/>
    </row>
    <row r="108" spans="1:9" ht="15.4" thickTop="1" x14ac:dyDescent="0.4">
      <c r="A108" s="166"/>
      <c r="B108" s="167"/>
      <c r="C108" s="225"/>
      <c r="D108" s="225"/>
      <c r="E108" s="225"/>
      <c r="F108" s="165"/>
      <c r="G108" s="240"/>
      <c r="H108" s="241"/>
      <c r="I108" s="156"/>
    </row>
    <row r="109" spans="1:9" x14ac:dyDescent="0.4">
      <c r="A109" s="163" t="s">
        <v>37</v>
      </c>
      <c r="B109" s="164">
        <f>DATE(25,7,1)</f>
        <v>9314</v>
      </c>
      <c r="C109" s="225">
        <v>238893036.09999999</v>
      </c>
      <c r="D109" s="225">
        <v>21223682.460000001</v>
      </c>
      <c r="E109" s="225">
        <v>19555438.370000001</v>
      </c>
      <c r="F109" s="165">
        <f t="shared" ref="F109:F114" si="33">(+D109-E109)/E109</f>
        <v>8.5308447626479864E-2</v>
      </c>
      <c r="G109" s="240">
        <f t="shared" ref="G109:G114" si="34">D109/C109</f>
        <v>8.884177959509805E-2</v>
      </c>
      <c r="H109" s="241">
        <f t="shared" ref="H109:H114" si="35">1-G109</f>
        <v>0.91115822040490191</v>
      </c>
      <c r="I109" s="156"/>
    </row>
    <row r="110" spans="1:9" x14ac:dyDescent="0.4">
      <c r="A110" s="163"/>
      <c r="B110" s="164">
        <f>DATE(25,8,1)</f>
        <v>9345</v>
      </c>
      <c r="C110" s="225">
        <v>246476505.31999999</v>
      </c>
      <c r="D110" s="225">
        <v>22321398.02</v>
      </c>
      <c r="E110" s="225">
        <v>20551772.199999999</v>
      </c>
      <c r="F110" s="165">
        <f t="shared" si="33"/>
        <v>8.6105752962754245E-2</v>
      </c>
      <c r="G110" s="240">
        <f t="shared" si="34"/>
        <v>9.0561970565998448E-2</v>
      </c>
      <c r="H110" s="241">
        <f t="shared" si="35"/>
        <v>0.90943802943400154</v>
      </c>
      <c r="I110" s="156"/>
    </row>
    <row r="111" spans="1:9" x14ac:dyDescent="0.4">
      <c r="A111" s="163"/>
      <c r="B111" s="164">
        <f>DATE(25,9,1)</f>
        <v>9376</v>
      </c>
      <c r="C111" s="225">
        <v>215963997.11000001</v>
      </c>
      <c r="D111" s="225">
        <v>19101592.100000001</v>
      </c>
      <c r="E111" s="225">
        <v>19042710.359999999</v>
      </c>
      <c r="F111" s="165">
        <f t="shared" si="33"/>
        <v>3.0920881999909854E-3</v>
      </c>
      <c r="G111" s="240">
        <f t="shared" si="34"/>
        <v>8.8448039282541691E-2</v>
      </c>
      <c r="H111" s="241">
        <f t="shared" si="35"/>
        <v>0.91155196071745825</v>
      </c>
      <c r="I111" s="156"/>
    </row>
    <row r="112" spans="1:9" x14ac:dyDescent="0.4">
      <c r="A112" s="163"/>
      <c r="B112" s="164">
        <f>DATE(25,10,1)</f>
        <v>9406</v>
      </c>
      <c r="C112" s="225">
        <v>226780092.41</v>
      </c>
      <c r="D112" s="225">
        <v>20246911.34</v>
      </c>
      <c r="E112" s="225">
        <v>18868532.739999998</v>
      </c>
      <c r="F112" s="165">
        <f t="shared" si="33"/>
        <v>7.3051710962025854E-2</v>
      </c>
      <c r="G112" s="240">
        <f t="shared" si="34"/>
        <v>8.9279932488056435E-2</v>
      </c>
      <c r="H112" s="241">
        <f t="shared" si="35"/>
        <v>0.91072006751194357</v>
      </c>
      <c r="I112" s="156"/>
    </row>
    <row r="113" spans="1:9" x14ac:dyDescent="0.4">
      <c r="A113" s="163"/>
      <c r="B113" s="164">
        <f>DATE(25,11,1)</f>
        <v>9437</v>
      </c>
      <c r="C113" s="225">
        <v>218129142.97</v>
      </c>
      <c r="D113" s="225">
        <v>19813520.460000001</v>
      </c>
      <c r="E113" s="225">
        <v>19074076.34</v>
      </c>
      <c r="F113" s="165">
        <f t="shared" si="33"/>
        <v>3.8766968676188125E-2</v>
      </c>
      <c r="G113" s="240">
        <f t="shared" si="34"/>
        <v>9.0833898626397749E-2</v>
      </c>
      <c r="H113" s="241">
        <f t="shared" si="35"/>
        <v>0.90916610137360221</v>
      </c>
      <c r="I113" s="156"/>
    </row>
    <row r="114" spans="1:9" x14ac:dyDescent="0.4">
      <c r="A114" s="163"/>
      <c r="B114" s="164">
        <f>DATE(25,12,1)</f>
        <v>9467</v>
      </c>
      <c r="C114" s="225">
        <v>239578685.84999999</v>
      </c>
      <c r="D114" s="225">
        <v>21441652.390000001</v>
      </c>
      <c r="E114" s="225">
        <v>21282038.370000001</v>
      </c>
      <c r="F114" s="165">
        <f t="shared" si="33"/>
        <v>7.4999404298132346E-3</v>
      </c>
      <c r="G114" s="240">
        <f t="shared" si="34"/>
        <v>8.9497328670650605E-2</v>
      </c>
      <c r="H114" s="241">
        <f t="shared" si="35"/>
        <v>0.91050267132934937</v>
      </c>
      <c r="I114" s="156"/>
    </row>
    <row r="115" spans="1:9" ht="15.4" thickBot="1" x14ac:dyDescent="0.45">
      <c r="A115" s="166"/>
      <c r="B115" s="167"/>
      <c r="C115" s="225"/>
      <c r="D115" s="225"/>
      <c r="E115" s="225"/>
      <c r="F115" s="165"/>
      <c r="G115" s="240"/>
      <c r="H115" s="241"/>
      <c r="I115" s="156"/>
    </row>
    <row r="116" spans="1:9" ht="15.75" thickTop="1" thickBot="1" x14ac:dyDescent="0.45">
      <c r="A116" s="173" t="s">
        <v>14</v>
      </c>
      <c r="B116" s="174"/>
      <c r="C116" s="227">
        <f>SUM(C109:C115)</f>
        <v>1385821459.7599998</v>
      </c>
      <c r="D116" s="227">
        <f>SUM(D109:D115)</f>
        <v>124148756.77</v>
      </c>
      <c r="E116" s="227">
        <f>SUM(E109:E115)</f>
        <v>118374568.38000001</v>
      </c>
      <c r="F116" s="175">
        <f>(+D116-E116)/E116</f>
        <v>4.8778960455965338E-2</v>
      </c>
      <c r="G116" s="244">
        <f>D116/C116</f>
        <v>8.9584957640575433E-2</v>
      </c>
      <c r="H116" s="245">
        <f>1-G116</f>
        <v>0.91041504235942461</v>
      </c>
      <c r="I116" s="156"/>
    </row>
    <row r="117" spans="1:9" ht="15.4" thickTop="1" x14ac:dyDescent="0.4">
      <c r="A117" s="166"/>
      <c r="B117" s="167"/>
      <c r="C117" s="225"/>
      <c r="D117" s="225"/>
      <c r="E117" s="225"/>
      <c r="F117" s="165"/>
      <c r="G117" s="240"/>
      <c r="H117" s="241"/>
      <c r="I117" s="156"/>
    </row>
    <row r="118" spans="1:9" x14ac:dyDescent="0.4">
      <c r="A118" s="163" t="s">
        <v>57</v>
      </c>
      <c r="B118" s="164">
        <f>DATE(25,7,1)</f>
        <v>9314</v>
      </c>
      <c r="C118" s="225">
        <v>37790635.450000003</v>
      </c>
      <c r="D118" s="225">
        <v>4106639.16</v>
      </c>
      <c r="E118" s="225">
        <v>3886760.9</v>
      </c>
      <c r="F118" s="165">
        <f t="shared" ref="F118:F123" si="36">(+D118-E118)/E118</f>
        <v>5.6571079533088917E-2</v>
      </c>
      <c r="G118" s="240">
        <f t="shared" ref="G118:G123" si="37">D118/C118</f>
        <v>0.10866816900799163</v>
      </c>
      <c r="H118" s="241">
        <f t="shared" ref="H118:H123" si="38">1-G118</f>
        <v>0.89133183099200841</v>
      </c>
      <c r="I118" s="156"/>
    </row>
    <row r="119" spans="1:9" x14ac:dyDescent="0.4">
      <c r="A119" s="163"/>
      <c r="B119" s="164">
        <f>DATE(25,8,1)</f>
        <v>9345</v>
      </c>
      <c r="C119" s="225">
        <v>38538227.060000002</v>
      </c>
      <c r="D119" s="225">
        <v>3943183.1</v>
      </c>
      <c r="E119" s="225">
        <v>4094103.92</v>
      </c>
      <c r="F119" s="165">
        <f t="shared" si="36"/>
        <v>-3.6862967562386606E-2</v>
      </c>
      <c r="G119" s="240">
        <f t="shared" si="37"/>
        <v>0.10231874688632861</v>
      </c>
      <c r="H119" s="241">
        <f t="shared" si="38"/>
        <v>0.89768125311367142</v>
      </c>
      <c r="I119" s="156"/>
    </row>
    <row r="120" spans="1:9" x14ac:dyDescent="0.4">
      <c r="A120" s="163"/>
      <c r="B120" s="164">
        <f>DATE(25,9,1)</f>
        <v>9376</v>
      </c>
      <c r="C120" s="225">
        <v>33862047.770000003</v>
      </c>
      <c r="D120" s="225">
        <v>3499094.83</v>
      </c>
      <c r="E120" s="225">
        <v>3432175.67</v>
      </c>
      <c r="F120" s="165">
        <f t="shared" si="36"/>
        <v>1.9497591741858642E-2</v>
      </c>
      <c r="G120" s="240">
        <f t="shared" si="37"/>
        <v>0.10333382238920631</v>
      </c>
      <c r="H120" s="241">
        <f t="shared" si="38"/>
        <v>0.8966661776107937</v>
      </c>
      <c r="I120" s="156"/>
    </row>
    <row r="121" spans="1:9" x14ac:dyDescent="0.4">
      <c r="A121" s="163"/>
      <c r="B121" s="164">
        <f>DATE(25,10,1)</f>
        <v>9406</v>
      </c>
      <c r="C121" s="225">
        <v>36666965.979999997</v>
      </c>
      <c r="D121" s="225">
        <v>3970427.37</v>
      </c>
      <c r="E121" s="225">
        <v>3513094.6</v>
      </c>
      <c r="F121" s="165">
        <f t="shared" si="36"/>
        <v>0.1301794634280557</v>
      </c>
      <c r="G121" s="240">
        <f t="shared" si="37"/>
        <v>0.10828349889013644</v>
      </c>
      <c r="H121" s="241">
        <f t="shared" si="38"/>
        <v>0.89171650110986356</v>
      </c>
      <c r="I121" s="156"/>
    </row>
    <row r="122" spans="1:9" x14ac:dyDescent="0.4">
      <c r="A122" s="163"/>
      <c r="B122" s="164">
        <f>DATE(25,11,1)</f>
        <v>9437</v>
      </c>
      <c r="C122" s="225">
        <v>36288482.350000001</v>
      </c>
      <c r="D122" s="225">
        <v>3745211.29</v>
      </c>
      <c r="E122" s="225">
        <v>3625606.94</v>
      </c>
      <c r="F122" s="165">
        <f t="shared" si="36"/>
        <v>3.2988780079949896E-2</v>
      </c>
      <c r="G122" s="240">
        <f t="shared" si="37"/>
        <v>0.10320661122936159</v>
      </c>
      <c r="H122" s="241">
        <f t="shared" si="38"/>
        <v>0.89679338877063841</v>
      </c>
      <c r="I122" s="156"/>
    </row>
    <row r="123" spans="1:9" x14ac:dyDescent="0.4">
      <c r="A123" s="163"/>
      <c r="B123" s="164">
        <f>DATE(25,12,1)</f>
        <v>9467</v>
      </c>
      <c r="C123" s="225">
        <v>37153904.939999998</v>
      </c>
      <c r="D123" s="225">
        <v>3991766.31</v>
      </c>
      <c r="E123" s="225">
        <v>3707970.79</v>
      </c>
      <c r="F123" s="165">
        <f t="shared" si="36"/>
        <v>7.6536611551894132E-2</v>
      </c>
      <c r="G123" s="240">
        <f t="shared" si="37"/>
        <v>0.107438674789267</v>
      </c>
      <c r="H123" s="241">
        <f t="shared" si="38"/>
        <v>0.89256132521073295</v>
      </c>
      <c r="I123" s="156"/>
    </row>
    <row r="124" spans="1:9" ht="15.4" thickBot="1" x14ac:dyDescent="0.45">
      <c r="A124" s="166"/>
      <c r="B124" s="167"/>
      <c r="C124" s="225"/>
      <c r="D124" s="225"/>
      <c r="E124" s="225"/>
      <c r="F124" s="165"/>
      <c r="G124" s="240"/>
      <c r="H124" s="241"/>
      <c r="I124" s="156"/>
    </row>
    <row r="125" spans="1:9" ht="15.75" thickTop="1" thickBot="1" x14ac:dyDescent="0.45">
      <c r="A125" s="168" t="s">
        <v>14</v>
      </c>
      <c r="B125" s="154"/>
      <c r="C125" s="222">
        <f>SUM(C118:C124)</f>
        <v>220300263.54999998</v>
      </c>
      <c r="D125" s="222">
        <f>SUM(D118:D124)</f>
        <v>23256322.059999999</v>
      </c>
      <c r="E125" s="222">
        <f>SUM(E118:E124)</f>
        <v>22259712.82</v>
      </c>
      <c r="F125" s="175">
        <f>(+D125-E125)/E125</f>
        <v>4.4771882191784643E-2</v>
      </c>
      <c r="G125" s="244">
        <f>D125/C125</f>
        <v>0.10556647407151956</v>
      </c>
      <c r="H125" s="245">
        <f>1-G125</f>
        <v>0.89443352592848047</v>
      </c>
      <c r="I125" s="156"/>
    </row>
    <row r="126" spans="1:9" ht="15.75" thickTop="1" thickBot="1" x14ac:dyDescent="0.45">
      <c r="A126" s="170"/>
      <c r="B126" s="171"/>
      <c r="C126" s="226"/>
      <c r="D126" s="226"/>
      <c r="E126" s="226"/>
      <c r="F126" s="172"/>
      <c r="G126" s="242"/>
      <c r="H126" s="243"/>
      <c r="I126" s="156"/>
    </row>
    <row r="127" spans="1:9" ht="15.75" thickTop="1" thickBot="1" x14ac:dyDescent="0.45">
      <c r="A127" s="183" t="s">
        <v>38</v>
      </c>
      <c r="B127" s="154"/>
      <c r="C127" s="222">
        <f>C125+C116+C89+C71+C53+C35+C17+C44+C107+C26+C80+C98+C62</f>
        <v>8868657926.0600014</v>
      </c>
      <c r="D127" s="222">
        <f>D125+D116+D89+D71+D53+D35+D17+D44+D107+D26+D80+D98+D62</f>
        <v>858981074.38999999</v>
      </c>
      <c r="E127" s="222">
        <f>E125+E116+E89+E71+E53+E35+E17+E44+E107+E26+E80+E98+E62</f>
        <v>802832623.61999977</v>
      </c>
      <c r="F127" s="169">
        <f>(+D127-E127)/E127</f>
        <v>6.99379286766212E-2</v>
      </c>
      <c r="G127" s="235">
        <f>D127/C127</f>
        <v>9.6855813083729092E-2</v>
      </c>
      <c r="H127" s="236">
        <f>1-G127</f>
        <v>0.90314418691627085</v>
      </c>
      <c r="I127" s="156"/>
    </row>
    <row r="128" spans="1:9" ht="15.75" thickTop="1" thickBot="1" x14ac:dyDescent="0.45">
      <c r="A128" s="183"/>
      <c r="B128" s="154"/>
      <c r="C128" s="222"/>
      <c r="D128" s="222"/>
      <c r="E128" s="222"/>
      <c r="F128" s="169"/>
      <c r="G128" s="235"/>
      <c r="H128" s="236"/>
      <c r="I128" s="156"/>
    </row>
    <row r="129" spans="1:9" ht="15.75" thickTop="1" thickBot="1" x14ac:dyDescent="0.45">
      <c r="A129" s="183" t="s">
        <v>39</v>
      </c>
      <c r="B129" s="154"/>
      <c r="C129" s="222">
        <f>+C15+C24+C33+C42+C51+C60+C69+C87+C78+C96+C105+C114+C123</f>
        <v>1517434171.5199997</v>
      </c>
      <c r="D129" s="222">
        <f>+D15+D24+D33+D42+D51+D60+D69+D87+D78+D96+D105+D114+D123</f>
        <v>147211796.73000002</v>
      </c>
      <c r="E129" s="222">
        <f>+E15+E24+E33+E42+E51+E60+E69+E87+E78+E96+E105+E114+E123</f>
        <v>139841197.59999999</v>
      </c>
      <c r="F129" s="169">
        <f>(+D129-E129)/E129</f>
        <v>5.270692225536279E-2</v>
      </c>
      <c r="G129" s="235">
        <f>D129/C129</f>
        <v>9.7013629647300828E-2</v>
      </c>
      <c r="H129" s="245">
        <f>1-G129</f>
        <v>0.90298637035269913</v>
      </c>
      <c r="I129" s="156"/>
    </row>
    <row r="130" spans="1:9" ht="15.4" thickTop="1" x14ac:dyDescent="0.4">
      <c r="A130" s="184"/>
      <c r="B130" s="185"/>
      <c r="C130" s="230"/>
      <c r="D130" s="230"/>
      <c r="E130" s="230"/>
      <c r="F130" s="186"/>
      <c r="G130" s="249"/>
      <c r="H130" s="249"/>
      <c r="I130" s="150"/>
    </row>
    <row r="131" spans="1:9" ht="16.5" customHeight="1" x14ac:dyDescent="0.45">
      <c r="A131" s="187" t="s">
        <v>49</v>
      </c>
      <c r="B131" s="188"/>
      <c r="C131" s="231"/>
      <c r="D131" s="231"/>
      <c r="E131" s="231"/>
      <c r="F131" s="189"/>
      <c r="G131" s="250"/>
      <c r="H131" s="250"/>
      <c r="I131" s="150"/>
    </row>
    <row r="132" spans="1:9" x14ac:dyDescent="0.4">
      <c r="A132" s="190"/>
      <c r="B132" s="188"/>
      <c r="C132" s="231"/>
      <c r="D132" s="231"/>
      <c r="E132" s="231"/>
      <c r="F132" s="189"/>
      <c r="G132" s="256"/>
      <c r="H132" s="256"/>
      <c r="I132" s="150"/>
    </row>
    <row r="133" spans="1:9" x14ac:dyDescent="0.4">
      <c r="A133" s="71"/>
      <c r="I133" s="150"/>
    </row>
  </sheetData>
  <phoneticPr fontId="0" type="noConversion"/>
  <printOptions horizontalCentered="1"/>
  <pageMargins left="0.75" right="0.25" top="0.31940000000000002" bottom="0.2" header="0.5" footer="0.5"/>
  <pageSetup scale="64" orientation="landscape" r:id="rId1"/>
  <headerFooter alignWithMargins="0"/>
  <rowBreaks count="2" manualBreakCount="2">
    <brk id="53" max="8" man="1"/>
    <brk id="9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Ryan Myers</cp:lastModifiedBy>
  <cp:lastPrinted>2026-01-08T15:09:29Z</cp:lastPrinted>
  <dcterms:created xsi:type="dcterms:W3CDTF">2003-09-09T14:41:43Z</dcterms:created>
  <dcterms:modified xsi:type="dcterms:W3CDTF">2026-01-08T20:54:58Z</dcterms:modified>
</cp:coreProperties>
</file>