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wwwroot\2017mgcweb\Casino_Gaming\rb_financials\FY26_FinReport\11_Nov\"/>
    </mc:Choice>
  </mc:AlternateContent>
  <bookViews>
    <workbookView xWindow="0" yWindow="0" windowWidth="28800" windowHeight="12915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STATS'!$A$1:$M$117</definedName>
    <definedName name="_xlnm.Print_Area" localSheetId="4">'SLOT STATS'!$A$1:$I$118</definedName>
    <definedName name="_xlnm.Print_Area" localSheetId="2">'TABLE STATS'!$A$1:$H$117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62913"/>
</workbook>
</file>

<file path=xl/calcChain.xml><?xml version="1.0" encoding="utf-8"?>
<calcChain xmlns="http://schemas.openxmlformats.org/spreadsheetml/2006/main">
  <c r="E116" i="5" l="1"/>
  <c r="D116" i="5"/>
  <c r="C116" i="5"/>
  <c r="E116" i="4"/>
  <c r="D116" i="4"/>
  <c r="C116" i="4"/>
  <c r="F110" i="4"/>
  <c r="G110" i="4"/>
  <c r="H110" i="4"/>
  <c r="F102" i="4"/>
  <c r="G102" i="4"/>
  <c r="H102" i="4"/>
  <c r="F94" i="4"/>
  <c r="G94" i="4"/>
  <c r="H94" i="4" s="1"/>
  <c r="F86" i="4"/>
  <c r="G86" i="4"/>
  <c r="H86" i="4"/>
  <c r="F78" i="4"/>
  <c r="G78" i="4"/>
  <c r="H78" i="4"/>
  <c r="F70" i="4"/>
  <c r="G70" i="4"/>
  <c r="H70" i="4"/>
  <c r="F62" i="4"/>
  <c r="G62" i="4"/>
  <c r="H62" i="4" s="1"/>
  <c r="F54" i="4"/>
  <c r="G54" i="4"/>
  <c r="H54" i="4"/>
  <c r="F46" i="4"/>
  <c r="G46" i="4"/>
  <c r="H46" i="4"/>
  <c r="F38" i="4"/>
  <c r="G38" i="4"/>
  <c r="H38" i="4"/>
  <c r="F30" i="4"/>
  <c r="G30" i="4"/>
  <c r="H30" i="4" s="1"/>
  <c r="F22" i="4"/>
  <c r="G22" i="4"/>
  <c r="H22" i="4"/>
  <c r="F14" i="4"/>
  <c r="G14" i="4"/>
  <c r="H14" i="4"/>
  <c r="B110" i="4"/>
  <c r="B102" i="4"/>
  <c r="B94" i="4"/>
  <c r="B86" i="4"/>
  <c r="B78" i="4"/>
  <c r="B70" i="4"/>
  <c r="B62" i="4"/>
  <c r="B54" i="4"/>
  <c r="B46" i="4"/>
  <c r="B38" i="4"/>
  <c r="B30" i="4"/>
  <c r="B22" i="4"/>
  <c r="B14" i="4"/>
  <c r="G110" i="5"/>
  <c r="H110" i="5" s="1"/>
  <c r="B110" i="5"/>
  <c r="B102" i="5"/>
  <c r="B94" i="5"/>
  <c r="B86" i="5"/>
  <c r="B78" i="5"/>
  <c r="B70" i="5"/>
  <c r="B62" i="5"/>
  <c r="B54" i="5"/>
  <c r="B46" i="5"/>
  <c r="B38" i="5"/>
  <c r="B30" i="5"/>
  <c r="B22" i="5"/>
  <c r="B14" i="5"/>
  <c r="E115" i="3"/>
  <c r="D115" i="3"/>
  <c r="F115" i="3" s="1"/>
  <c r="C115" i="3"/>
  <c r="G115" i="3" s="1"/>
  <c r="F109" i="3"/>
  <c r="G109" i="3"/>
  <c r="F101" i="3"/>
  <c r="G101" i="3"/>
  <c r="F85" i="3"/>
  <c r="G85" i="3"/>
  <c r="F77" i="3"/>
  <c r="G77" i="3"/>
  <c r="F69" i="3"/>
  <c r="G69" i="3"/>
  <c r="F61" i="3"/>
  <c r="G61" i="3"/>
  <c r="F53" i="3"/>
  <c r="G53" i="3"/>
  <c r="F45" i="3"/>
  <c r="G45" i="3"/>
  <c r="F37" i="3"/>
  <c r="G37" i="3"/>
  <c r="F29" i="3"/>
  <c r="G29" i="3"/>
  <c r="F21" i="3"/>
  <c r="G21" i="3"/>
  <c r="F13" i="3"/>
  <c r="G13" i="3"/>
  <c r="B109" i="3"/>
  <c r="B101" i="3"/>
  <c r="B93" i="3"/>
  <c r="B85" i="3"/>
  <c r="B77" i="3"/>
  <c r="B69" i="3"/>
  <c r="B61" i="3"/>
  <c r="B53" i="3"/>
  <c r="B45" i="3"/>
  <c r="B37" i="3"/>
  <c r="B29" i="3"/>
  <c r="B21" i="3"/>
  <c r="B13" i="3"/>
  <c r="N35" i="2"/>
  <c r="M35" i="2"/>
  <c r="L35" i="2"/>
  <c r="K35" i="2"/>
  <c r="J35" i="2"/>
  <c r="I35" i="2"/>
  <c r="H35" i="2"/>
  <c r="G35" i="2"/>
  <c r="F35" i="2"/>
  <c r="E35" i="2"/>
  <c r="D35" i="2"/>
  <c r="O35" i="2" s="1"/>
  <c r="C35" i="2"/>
  <c r="B35" i="2"/>
  <c r="A35" i="2"/>
  <c r="N14" i="2"/>
  <c r="M14" i="2"/>
  <c r="L14" i="2"/>
  <c r="K14" i="2"/>
  <c r="J14" i="2"/>
  <c r="I14" i="2"/>
  <c r="H14" i="2"/>
  <c r="G14" i="2"/>
  <c r="F14" i="2"/>
  <c r="O14" i="2" s="1"/>
  <c r="E14" i="2"/>
  <c r="D14" i="2"/>
  <c r="C14" i="2"/>
  <c r="B14" i="2"/>
  <c r="A14" i="2"/>
  <c r="F20" i="1"/>
  <c r="F36" i="1"/>
  <c r="F60" i="1"/>
  <c r="F76" i="1"/>
  <c r="F84" i="1"/>
  <c r="H84" i="1" s="1"/>
  <c r="F108" i="1"/>
  <c r="F111" i="1" s="1"/>
  <c r="L115" i="1"/>
  <c r="K115" i="1"/>
  <c r="D115" i="1"/>
  <c r="C115" i="1"/>
  <c r="M109" i="1"/>
  <c r="I109" i="1"/>
  <c r="G109" i="1"/>
  <c r="G111" i="1" s="1"/>
  <c r="F109" i="1"/>
  <c r="J109" i="1" s="1"/>
  <c r="E109" i="1"/>
  <c r="H101" i="1"/>
  <c r="M101" i="1"/>
  <c r="I101" i="1"/>
  <c r="J101" i="1"/>
  <c r="G101" i="1"/>
  <c r="F101" i="1"/>
  <c r="E101" i="1"/>
  <c r="M93" i="1"/>
  <c r="I93" i="1"/>
  <c r="J93" i="1"/>
  <c r="G93" i="1"/>
  <c r="F93" i="1"/>
  <c r="H93" i="1" s="1"/>
  <c r="E93" i="1"/>
  <c r="M85" i="1"/>
  <c r="I85" i="1"/>
  <c r="J85" i="1"/>
  <c r="G85" i="1"/>
  <c r="F85" i="1"/>
  <c r="H85" i="1" s="1"/>
  <c r="E85" i="1"/>
  <c r="H77" i="1"/>
  <c r="M77" i="1"/>
  <c r="I77" i="1"/>
  <c r="J77" i="1"/>
  <c r="G77" i="1"/>
  <c r="F77" i="1"/>
  <c r="E77" i="1"/>
  <c r="M69" i="1"/>
  <c r="I69" i="1"/>
  <c r="G69" i="1"/>
  <c r="F69" i="1"/>
  <c r="J69" i="1" s="1"/>
  <c r="E69" i="1"/>
  <c r="M61" i="1"/>
  <c r="I61" i="1"/>
  <c r="G61" i="1"/>
  <c r="F61" i="1"/>
  <c r="H61" i="1" s="1"/>
  <c r="E61" i="1"/>
  <c r="M53" i="1"/>
  <c r="I53" i="1"/>
  <c r="J53" i="1"/>
  <c r="G53" i="1"/>
  <c r="G55" i="1" s="1"/>
  <c r="H55" i="1" s="1"/>
  <c r="F53" i="1"/>
  <c r="E53" i="1"/>
  <c r="H45" i="1"/>
  <c r="M45" i="1"/>
  <c r="I45" i="1"/>
  <c r="G45" i="1"/>
  <c r="F45" i="1"/>
  <c r="J45" i="1" s="1"/>
  <c r="E45" i="1"/>
  <c r="M37" i="1"/>
  <c r="H37" i="1"/>
  <c r="I37" i="1"/>
  <c r="G37" i="1"/>
  <c r="F37" i="1"/>
  <c r="J37" i="1" s="1"/>
  <c r="E37" i="1"/>
  <c r="H29" i="1"/>
  <c r="M29" i="1"/>
  <c r="I29" i="1"/>
  <c r="J29" i="1"/>
  <c r="G29" i="1"/>
  <c r="F29" i="1"/>
  <c r="E29" i="1"/>
  <c r="H21" i="1"/>
  <c r="M21" i="1"/>
  <c r="I21" i="1"/>
  <c r="G21" i="1"/>
  <c r="F21" i="1"/>
  <c r="J21" i="1" s="1"/>
  <c r="E21" i="1"/>
  <c r="M13" i="1"/>
  <c r="I13" i="1"/>
  <c r="G13" i="1"/>
  <c r="G115" i="1" s="1"/>
  <c r="F13" i="1"/>
  <c r="J13" i="1" s="1"/>
  <c r="E13" i="1"/>
  <c r="B109" i="1"/>
  <c r="B101" i="1"/>
  <c r="B93" i="1"/>
  <c r="B85" i="1"/>
  <c r="B77" i="1"/>
  <c r="B69" i="1"/>
  <c r="B61" i="1"/>
  <c r="B53" i="1"/>
  <c r="B45" i="1"/>
  <c r="B37" i="1"/>
  <c r="B29" i="1"/>
  <c r="B21" i="1"/>
  <c r="B13" i="1"/>
  <c r="F109" i="4"/>
  <c r="G109" i="4"/>
  <c r="H109" i="4"/>
  <c r="F101" i="4"/>
  <c r="G101" i="4"/>
  <c r="H101" i="4" s="1"/>
  <c r="F93" i="4"/>
  <c r="G93" i="4"/>
  <c r="H93" i="4"/>
  <c r="F85" i="4"/>
  <c r="G85" i="4"/>
  <c r="H85" i="4"/>
  <c r="F77" i="4"/>
  <c r="G77" i="4"/>
  <c r="H77" i="4"/>
  <c r="F69" i="4"/>
  <c r="G69" i="4"/>
  <c r="H69" i="4" s="1"/>
  <c r="F61" i="4"/>
  <c r="G61" i="4"/>
  <c r="H61" i="4"/>
  <c r="F53" i="4"/>
  <c r="G53" i="4"/>
  <c r="H53" i="4"/>
  <c r="F45" i="4"/>
  <c r="G45" i="4"/>
  <c r="H45" i="4"/>
  <c r="F37" i="4"/>
  <c r="G37" i="4"/>
  <c r="H37" i="4" s="1"/>
  <c r="F29" i="4"/>
  <c r="G29" i="4"/>
  <c r="H29" i="4"/>
  <c r="F21" i="4"/>
  <c r="G21" i="4"/>
  <c r="H21" i="4"/>
  <c r="G13" i="4"/>
  <c r="H13" i="4" s="1"/>
  <c r="F13" i="4"/>
  <c r="B109" i="4"/>
  <c r="B101" i="4"/>
  <c r="B93" i="4"/>
  <c r="B85" i="4"/>
  <c r="B77" i="4"/>
  <c r="B69" i="4"/>
  <c r="B61" i="4"/>
  <c r="B53" i="4"/>
  <c r="B45" i="4"/>
  <c r="B37" i="4"/>
  <c r="B29" i="4"/>
  <c r="B21" i="4"/>
  <c r="B13" i="4"/>
  <c r="G109" i="5"/>
  <c r="H109" i="5" s="1"/>
  <c r="F109" i="5"/>
  <c r="B109" i="5"/>
  <c r="B101" i="5"/>
  <c r="B93" i="5"/>
  <c r="B85" i="5"/>
  <c r="B77" i="5"/>
  <c r="B69" i="5"/>
  <c r="B61" i="5"/>
  <c r="B53" i="5"/>
  <c r="B45" i="5"/>
  <c r="B37" i="5"/>
  <c r="B29" i="5"/>
  <c r="B21" i="5"/>
  <c r="B13" i="5"/>
  <c r="F108" i="3"/>
  <c r="G108" i="3"/>
  <c r="G100" i="3"/>
  <c r="F100" i="3"/>
  <c r="F84" i="3"/>
  <c r="G84" i="3"/>
  <c r="F76" i="3"/>
  <c r="G76" i="3"/>
  <c r="F68" i="3"/>
  <c r="G68" i="3"/>
  <c r="F60" i="3"/>
  <c r="G60" i="3"/>
  <c r="F52" i="3"/>
  <c r="G52" i="3"/>
  <c r="F44" i="3"/>
  <c r="G44" i="3"/>
  <c r="F36" i="3"/>
  <c r="G36" i="3"/>
  <c r="F28" i="3"/>
  <c r="G28" i="3"/>
  <c r="F20" i="3"/>
  <c r="G20" i="3"/>
  <c r="G12" i="3"/>
  <c r="F12" i="3"/>
  <c r="B108" i="3"/>
  <c r="B100" i="3"/>
  <c r="B92" i="3"/>
  <c r="B84" i="3"/>
  <c r="B76" i="3"/>
  <c r="B68" i="3"/>
  <c r="B60" i="3"/>
  <c r="B52" i="3"/>
  <c r="B44" i="3"/>
  <c r="B36" i="3"/>
  <c r="B28" i="3"/>
  <c r="B20" i="3"/>
  <c r="B12" i="3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O34" i="2" s="1"/>
  <c r="N13" i="2"/>
  <c r="M13" i="2"/>
  <c r="L13" i="2"/>
  <c r="K13" i="2"/>
  <c r="J13" i="2"/>
  <c r="I13" i="2"/>
  <c r="H13" i="2"/>
  <c r="G13" i="2"/>
  <c r="F13" i="2"/>
  <c r="E13" i="2"/>
  <c r="D13" i="2"/>
  <c r="C13" i="2"/>
  <c r="O13" i="2" s="1"/>
  <c r="B13" i="2"/>
  <c r="A34" i="2"/>
  <c r="A13" i="2"/>
  <c r="F59" i="1"/>
  <c r="J59" i="1"/>
  <c r="F19" i="1"/>
  <c r="J19" i="1"/>
  <c r="F35" i="1"/>
  <c r="J35" i="1"/>
  <c r="L36" i="1"/>
  <c r="M115" i="1"/>
  <c r="E115" i="1"/>
  <c r="M108" i="1"/>
  <c r="I108" i="1"/>
  <c r="G108" i="1"/>
  <c r="E108" i="1"/>
  <c r="M100" i="1"/>
  <c r="I100" i="1"/>
  <c r="G100" i="1"/>
  <c r="F100" i="1"/>
  <c r="J100" i="1"/>
  <c r="E100" i="1"/>
  <c r="G92" i="1"/>
  <c r="H92" i="1" s="1"/>
  <c r="M92" i="1"/>
  <c r="I92" i="1"/>
  <c r="F92" i="1"/>
  <c r="J92" i="1" s="1"/>
  <c r="E92" i="1"/>
  <c r="M84" i="1"/>
  <c r="I84" i="1"/>
  <c r="G84" i="1"/>
  <c r="E84" i="1"/>
  <c r="M76" i="1"/>
  <c r="I76" i="1"/>
  <c r="G76" i="1"/>
  <c r="H76" i="1" s="1"/>
  <c r="E76" i="1"/>
  <c r="M68" i="1"/>
  <c r="I68" i="1"/>
  <c r="G68" i="1"/>
  <c r="F68" i="1"/>
  <c r="J68" i="1" s="1"/>
  <c r="E68" i="1"/>
  <c r="M60" i="1"/>
  <c r="I60" i="1"/>
  <c r="G60" i="1"/>
  <c r="E60" i="1"/>
  <c r="M52" i="1"/>
  <c r="I52" i="1"/>
  <c r="G52" i="1"/>
  <c r="F52" i="1"/>
  <c r="J52" i="1" s="1"/>
  <c r="E52" i="1"/>
  <c r="M44" i="1"/>
  <c r="I44" i="1"/>
  <c r="G44" i="1"/>
  <c r="F44" i="1"/>
  <c r="E44" i="1"/>
  <c r="I36" i="1"/>
  <c r="G36" i="1"/>
  <c r="H36" i="1" s="1"/>
  <c r="E36" i="1"/>
  <c r="M28" i="1"/>
  <c r="I28" i="1"/>
  <c r="G28" i="1"/>
  <c r="F28" i="1"/>
  <c r="J28" i="1" s="1"/>
  <c r="E28" i="1"/>
  <c r="M20" i="1"/>
  <c r="I20" i="1"/>
  <c r="G20" i="1"/>
  <c r="J20" i="1"/>
  <c r="E20" i="1"/>
  <c r="M12" i="1"/>
  <c r="I12" i="1"/>
  <c r="E12" i="1"/>
  <c r="G12" i="1"/>
  <c r="F12" i="1"/>
  <c r="F15" i="1" s="1"/>
  <c r="B108" i="1"/>
  <c r="B100" i="1"/>
  <c r="B92" i="1"/>
  <c r="B84" i="1"/>
  <c r="B76" i="1"/>
  <c r="B68" i="1"/>
  <c r="B60" i="1"/>
  <c r="B52" i="1"/>
  <c r="B44" i="1"/>
  <c r="B36" i="1"/>
  <c r="B28" i="1"/>
  <c r="B20" i="1"/>
  <c r="B12" i="1"/>
  <c r="G12" i="4"/>
  <c r="H12" i="4" s="1"/>
  <c r="F12" i="4"/>
  <c r="G20" i="4"/>
  <c r="H20" i="4"/>
  <c r="F20" i="4"/>
  <c r="G28" i="4"/>
  <c r="H28" i="4"/>
  <c r="F28" i="4"/>
  <c r="G36" i="4"/>
  <c r="H36" i="4"/>
  <c r="F36" i="4"/>
  <c r="G44" i="4"/>
  <c r="H44" i="4" s="1"/>
  <c r="F44" i="4"/>
  <c r="G52" i="4"/>
  <c r="H52" i="4"/>
  <c r="F52" i="4"/>
  <c r="G60" i="4"/>
  <c r="H60" i="4"/>
  <c r="F60" i="4"/>
  <c r="G68" i="4"/>
  <c r="H68" i="4"/>
  <c r="F68" i="4"/>
  <c r="G76" i="4"/>
  <c r="H76" i="4" s="1"/>
  <c r="F76" i="4"/>
  <c r="G84" i="4"/>
  <c r="H84" i="4"/>
  <c r="F84" i="4"/>
  <c r="G92" i="4"/>
  <c r="H92" i="4"/>
  <c r="F92" i="4"/>
  <c r="G100" i="4"/>
  <c r="H100" i="4"/>
  <c r="F100" i="4"/>
  <c r="G108" i="4"/>
  <c r="H108" i="4" s="1"/>
  <c r="F108" i="4"/>
  <c r="B108" i="4"/>
  <c r="B100" i="4"/>
  <c r="B92" i="4"/>
  <c r="B84" i="4"/>
  <c r="B76" i="4"/>
  <c r="B68" i="4"/>
  <c r="B60" i="4"/>
  <c r="B52" i="4"/>
  <c r="B44" i="4"/>
  <c r="B36" i="4"/>
  <c r="B28" i="4"/>
  <c r="B20" i="4"/>
  <c r="B12" i="4"/>
  <c r="G108" i="5"/>
  <c r="H108" i="5"/>
  <c r="B108" i="5"/>
  <c r="B100" i="5"/>
  <c r="B92" i="5"/>
  <c r="B84" i="5"/>
  <c r="B76" i="5"/>
  <c r="B68" i="5"/>
  <c r="B60" i="5"/>
  <c r="B52" i="5"/>
  <c r="B44" i="5"/>
  <c r="B36" i="5"/>
  <c r="B28" i="5"/>
  <c r="B20" i="5"/>
  <c r="B12" i="5"/>
  <c r="G11" i="3"/>
  <c r="F11" i="3"/>
  <c r="G19" i="3"/>
  <c r="F19" i="3"/>
  <c r="G27" i="3"/>
  <c r="F27" i="3"/>
  <c r="G35" i="3"/>
  <c r="F35" i="3"/>
  <c r="G43" i="3"/>
  <c r="F43" i="3"/>
  <c r="G51" i="3"/>
  <c r="F51" i="3"/>
  <c r="G59" i="3"/>
  <c r="F59" i="3"/>
  <c r="G67" i="3"/>
  <c r="F67" i="3"/>
  <c r="G75" i="3"/>
  <c r="F75" i="3"/>
  <c r="G83" i="3"/>
  <c r="F83" i="3"/>
  <c r="G99" i="3"/>
  <c r="F99" i="3"/>
  <c r="G107" i="3"/>
  <c r="F107" i="3"/>
  <c r="D79" i="3"/>
  <c r="F79" i="3" s="1"/>
  <c r="B107" i="3"/>
  <c r="B99" i="3"/>
  <c r="B91" i="3"/>
  <c r="B83" i="3"/>
  <c r="B75" i="3"/>
  <c r="B67" i="3"/>
  <c r="B59" i="3"/>
  <c r="B51" i="3"/>
  <c r="B43" i="3"/>
  <c r="B35" i="3"/>
  <c r="B27" i="3"/>
  <c r="B19" i="3"/>
  <c r="B11" i="3"/>
  <c r="N33" i="2"/>
  <c r="M33" i="2"/>
  <c r="L33" i="2"/>
  <c r="K33" i="2"/>
  <c r="J33" i="2"/>
  <c r="I33" i="2"/>
  <c r="H33" i="2"/>
  <c r="G33" i="2"/>
  <c r="G44" i="2" s="1"/>
  <c r="F33" i="2"/>
  <c r="E33" i="2"/>
  <c r="D33" i="2"/>
  <c r="C33" i="2"/>
  <c r="B33" i="2"/>
  <c r="B44" i="2" s="1"/>
  <c r="N12" i="2"/>
  <c r="M12" i="2"/>
  <c r="L12" i="2"/>
  <c r="K12" i="2"/>
  <c r="J12" i="2"/>
  <c r="I12" i="2"/>
  <c r="H12" i="2"/>
  <c r="H23" i="2" s="1"/>
  <c r="G12" i="2"/>
  <c r="F12" i="2"/>
  <c r="E12" i="2"/>
  <c r="D12" i="2"/>
  <c r="C12" i="2"/>
  <c r="B12" i="2"/>
  <c r="A33" i="2"/>
  <c r="A12" i="2"/>
  <c r="F58" i="1"/>
  <c r="J58" i="1"/>
  <c r="F98" i="1"/>
  <c r="J98" i="1" s="1"/>
  <c r="M107" i="1"/>
  <c r="I107" i="1"/>
  <c r="E107" i="1"/>
  <c r="M99" i="1"/>
  <c r="I99" i="1"/>
  <c r="E99" i="1"/>
  <c r="G99" i="1"/>
  <c r="F99" i="1"/>
  <c r="H99" i="1" s="1"/>
  <c r="G107" i="1"/>
  <c r="F107" i="1"/>
  <c r="J107" i="1"/>
  <c r="M91" i="1"/>
  <c r="I91" i="1"/>
  <c r="E91" i="1"/>
  <c r="G91" i="1"/>
  <c r="F91" i="1"/>
  <c r="J91" i="1"/>
  <c r="M83" i="1"/>
  <c r="I83" i="1"/>
  <c r="E83" i="1"/>
  <c r="G83" i="1"/>
  <c r="F83" i="1"/>
  <c r="J83" i="1"/>
  <c r="M75" i="1"/>
  <c r="I75" i="1"/>
  <c r="E75" i="1"/>
  <c r="G75" i="1"/>
  <c r="F75" i="1"/>
  <c r="J75" i="1"/>
  <c r="M67" i="1"/>
  <c r="I67" i="1"/>
  <c r="E67" i="1"/>
  <c r="G67" i="1"/>
  <c r="F67" i="1"/>
  <c r="M59" i="1"/>
  <c r="I59" i="1"/>
  <c r="E59" i="1"/>
  <c r="G59" i="1"/>
  <c r="M51" i="1"/>
  <c r="I51" i="1"/>
  <c r="E51" i="1"/>
  <c r="G51" i="1"/>
  <c r="F51" i="1"/>
  <c r="J51" i="1" s="1"/>
  <c r="M43" i="1"/>
  <c r="I43" i="1"/>
  <c r="E43" i="1"/>
  <c r="G43" i="1"/>
  <c r="H43" i="1" s="1"/>
  <c r="F43" i="1"/>
  <c r="J43" i="1"/>
  <c r="I35" i="1"/>
  <c r="E35" i="1"/>
  <c r="L35" i="1"/>
  <c r="M35" i="1" s="1"/>
  <c r="G35" i="1"/>
  <c r="M27" i="1"/>
  <c r="I27" i="1"/>
  <c r="E27" i="1"/>
  <c r="G27" i="1"/>
  <c r="G31" i="1" s="1"/>
  <c r="F27" i="1"/>
  <c r="J27" i="1" s="1"/>
  <c r="M19" i="1"/>
  <c r="I19" i="1"/>
  <c r="E19" i="1"/>
  <c r="G19" i="1"/>
  <c r="H19" i="1" s="1"/>
  <c r="M11" i="1"/>
  <c r="I11" i="1"/>
  <c r="E11" i="1"/>
  <c r="G11" i="1"/>
  <c r="F11" i="1"/>
  <c r="J11" i="1"/>
  <c r="B107" i="1"/>
  <c r="B99" i="1"/>
  <c r="B91" i="1"/>
  <c r="B83" i="1"/>
  <c r="B75" i="1"/>
  <c r="B67" i="1"/>
  <c r="B59" i="1"/>
  <c r="B51" i="1"/>
  <c r="B43" i="1"/>
  <c r="B35" i="1"/>
  <c r="B27" i="1"/>
  <c r="B19" i="1"/>
  <c r="B11" i="1"/>
  <c r="G107" i="4"/>
  <c r="H107" i="4"/>
  <c r="F107" i="4"/>
  <c r="G99" i="4"/>
  <c r="H99" i="4"/>
  <c r="F99" i="4"/>
  <c r="G91" i="4"/>
  <c r="H91" i="4" s="1"/>
  <c r="F91" i="4"/>
  <c r="G83" i="4"/>
  <c r="H83" i="4"/>
  <c r="F83" i="4"/>
  <c r="G75" i="4"/>
  <c r="H75" i="4"/>
  <c r="F75" i="4"/>
  <c r="G67" i="4"/>
  <c r="H67" i="4"/>
  <c r="F67" i="4"/>
  <c r="G59" i="4"/>
  <c r="H59" i="4" s="1"/>
  <c r="F59" i="4"/>
  <c r="G51" i="4"/>
  <c r="H51" i="4"/>
  <c r="F51" i="4"/>
  <c r="G43" i="4"/>
  <c r="H43" i="4"/>
  <c r="F43" i="4"/>
  <c r="G35" i="4"/>
  <c r="H35" i="4"/>
  <c r="F35" i="4"/>
  <c r="G27" i="4"/>
  <c r="H27" i="4" s="1"/>
  <c r="F27" i="4"/>
  <c r="G19" i="4"/>
  <c r="H19" i="4"/>
  <c r="F19" i="4"/>
  <c r="G11" i="4"/>
  <c r="H11" i="4"/>
  <c r="F11" i="4"/>
  <c r="B107" i="4"/>
  <c r="B99" i="4"/>
  <c r="B91" i="4"/>
  <c r="B83" i="4"/>
  <c r="B75" i="4"/>
  <c r="B67" i="4"/>
  <c r="B59" i="4"/>
  <c r="B51" i="4"/>
  <c r="B43" i="4"/>
  <c r="B35" i="4"/>
  <c r="B27" i="4"/>
  <c r="B19" i="4"/>
  <c r="B11" i="4"/>
  <c r="G107" i="5"/>
  <c r="H107" i="5" s="1"/>
  <c r="B107" i="5"/>
  <c r="B99" i="5"/>
  <c r="B91" i="5"/>
  <c r="B83" i="5"/>
  <c r="B75" i="5"/>
  <c r="B67" i="5"/>
  <c r="B59" i="5"/>
  <c r="B51" i="5"/>
  <c r="B43" i="5"/>
  <c r="B35" i="5"/>
  <c r="B27" i="5"/>
  <c r="B19" i="5"/>
  <c r="B11" i="5"/>
  <c r="G106" i="3"/>
  <c r="F106" i="3"/>
  <c r="G98" i="3"/>
  <c r="F98" i="3"/>
  <c r="G82" i="3"/>
  <c r="F82" i="3"/>
  <c r="G74" i="3"/>
  <c r="F74" i="3"/>
  <c r="G66" i="3"/>
  <c r="F66" i="3"/>
  <c r="G58" i="3"/>
  <c r="F58" i="3"/>
  <c r="G50" i="3"/>
  <c r="F50" i="3"/>
  <c r="G42" i="3"/>
  <c r="F42" i="3"/>
  <c r="G34" i="3"/>
  <c r="F34" i="3"/>
  <c r="G26" i="3"/>
  <c r="F26" i="3"/>
  <c r="G18" i="3"/>
  <c r="F18" i="3"/>
  <c r="G10" i="3"/>
  <c r="F10" i="3"/>
  <c r="B106" i="3"/>
  <c r="B98" i="3"/>
  <c r="B90" i="3"/>
  <c r="B82" i="3"/>
  <c r="B74" i="3"/>
  <c r="B66" i="3"/>
  <c r="B58" i="3"/>
  <c r="B50" i="3"/>
  <c r="B42" i="3"/>
  <c r="B34" i="3"/>
  <c r="B26" i="3"/>
  <c r="B18" i="3"/>
  <c r="B10" i="3"/>
  <c r="N32" i="2"/>
  <c r="M32" i="2"/>
  <c r="L32" i="2"/>
  <c r="L44" i="2" s="1"/>
  <c r="K32" i="2"/>
  <c r="K44" i="2" s="1"/>
  <c r="J32" i="2"/>
  <c r="I32" i="2"/>
  <c r="H32" i="2"/>
  <c r="G32" i="2"/>
  <c r="F32" i="2"/>
  <c r="O32" i="2" s="1"/>
  <c r="E32" i="2"/>
  <c r="D32" i="2"/>
  <c r="C32" i="2"/>
  <c r="B32" i="2"/>
  <c r="N11" i="2"/>
  <c r="M11" i="2"/>
  <c r="L11" i="2"/>
  <c r="K11" i="2"/>
  <c r="J11" i="2"/>
  <c r="I11" i="2"/>
  <c r="H11" i="2"/>
  <c r="G11" i="2"/>
  <c r="G23" i="2" s="1"/>
  <c r="F11" i="2"/>
  <c r="E11" i="2"/>
  <c r="D11" i="2"/>
  <c r="C11" i="2"/>
  <c r="B11" i="2"/>
  <c r="A32" i="2"/>
  <c r="A11" i="2"/>
  <c r="F97" i="1"/>
  <c r="J97" i="1"/>
  <c r="F41" i="1"/>
  <c r="J41" i="1" s="1"/>
  <c r="F25" i="1"/>
  <c r="J25" i="1" s="1"/>
  <c r="M106" i="1"/>
  <c r="I106" i="1"/>
  <c r="E106" i="1"/>
  <c r="G106" i="1"/>
  <c r="F106" i="1"/>
  <c r="J106" i="1"/>
  <c r="M98" i="1"/>
  <c r="I98" i="1"/>
  <c r="E98" i="1"/>
  <c r="G98" i="1"/>
  <c r="G103" i="1" s="1"/>
  <c r="M90" i="1"/>
  <c r="I90" i="1"/>
  <c r="E90" i="1"/>
  <c r="G90" i="1"/>
  <c r="G95" i="1" s="1"/>
  <c r="F90" i="1"/>
  <c r="J90" i="1"/>
  <c r="M82" i="1"/>
  <c r="I82" i="1"/>
  <c r="E82" i="1"/>
  <c r="G82" i="1"/>
  <c r="F82" i="1"/>
  <c r="F87" i="1" s="1"/>
  <c r="M74" i="1"/>
  <c r="I74" i="1"/>
  <c r="E74" i="1"/>
  <c r="G74" i="1"/>
  <c r="F74" i="1"/>
  <c r="H74" i="1" s="1"/>
  <c r="M66" i="1"/>
  <c r="M65" i="1"/>
  <c r="I66" i="1"/>
  <c r="E66" i="1"/>
  <c r="G66" i="1"/>
  <c r="H66" i="1" s="1"/>
  <c r="F66" i="1"/>
  <c r="M58" i="1"/>
  <c r="I58" i="1"/>
  <c r="E58" i="1"/>
  <c r="G58" i="1"/>
  <c r="M50" i="1"/>
  <c r="I50" i="1"/>
  <c r="E50" i="1"/>
  <c r="G50" i="1"/>
  <c r="F50" i="1"/>
  <c r="J50" i="1"/>
  <c r="M42" i="1"/>
  <c r="I42" i="1"/>
  <c r="E42" i="1"/>
  <c r="G42" i="1"/>
  <c r="F42" i="1"/>
  <c r="J42" i="1"/>
  <c r="M34" i="1"/>
  <c r="I34" i="1"/>
  <c r="E34" i="1"/>
  <c r="G34" i="1"/>
  <c r="F34" i="1"/>
  <c r="J34" i="1"/>
  <c r="M26" i="1"/>
  <c r="I26" i="1"/>
  <c r="E26" i="1"/>
  <c r="G26" i="1"/>
  <c r="H26" i="1" s="1"/>
  <c r="F26" i="1"/>
  <c r="J26" i="1"/>
  <c r="M18" i="1"/>
  <c r="I18" i="1"/>
  <c r="E18" i="1"/>
  <c r="G18" i="1"/>
  <c r="F18" i="1"/>
  <c r="J18" i="1"/>
  <c r="M10" i="1"/>
  <c r="I10" i="1"/>
  <c r="E10" i="1"/>
  <c r="G10" i="1"/>
  <c r="F10" i="1"/>
  <c r="J10" i="1"/>
  <c r="B106" i="1"/>
  <c r="B98" i="1"/>
  <c r="B90" i="1"/>
  <c r="B82" i="1"/>
  <c r="B74" i="1"/>
  <c r="B66" i="1"/>
  <c r="B58" i="1"/>
  <c r="B50" i="1"/>
  <c r="B42" i="1"/>
  <c r="B34" i="1"/>
  <c r="B26" i="1"/>
  <c r="B18" i="1"/>
  <c r="B10" i="1"/>
  <c r="B106" i="4"/>
  <c r="B98" i="4"/>
  <c r="B90" i="4"/>
  <c r="B82" i="4"/>
  <c r="B74" i="4"/>
  <c r="B66" i="4"/>
  <c r="B58" i="4"/>
  <c r="B50" i="4"/>
  <c r="B42" i="4"/>
  <c r="B34" i="4"/>
  <c r="B26" i="4"/>
  <c r="B18" i="4"/>
  <c r="B10" i="4"/>
  <c r="G106" i="5"/>
  <c r="H106" i="5"/>
  <c r="B106" i="5"/>
  <c r="B98" i="5"/>
  <c r="B90" i="5"/>
  <c r="B82" i="5"/>
  <c r="B74" i="5"/>
  <c r="B66" i="5"/>
  <c r="B58" i="5"/>
  <c r="B50" i="5"/>
  <c r="B42" i="5"/>
  <c r="B34" i="5"/>
  <c r="B26" i="5"/>
  <c r="B18" i="5"/>
  <c r="B10" i="5"/>
  <c r="B105" i="3"/>
  <c r="B97" i="3"/>
  <c r="B89" i="3"/>
  <c r="B81" i="3"/>
  <c r="B73" i="3"/>
  <c r="B65" i="3"/>
  <c r="B57" i="3"/>
  <c r="B49" i="3"/>
  <c r="B41" i="3"/>
  <c r="B33" i="3"/>
  <c r="B25" i="3"/>
  <c r="B17" i="3"/>
  <c r="B9" i="3"/>
  <c r="A31" i="2"/>
  <c r="A10" i="2"/>
  <c r="G105" i="1"/>
  <c r="F105" i="1"/>
  <c r="H105" i="1" s="1"/>
  <c r="G97" i="1"/>
  <c r="E97" i="1"/>
  <c r="G89" i="1"/>
  <c r="F89" i="1"/>
  <c r="J89" i="1" s="1"/>
  <c r="G81" i="1"/>
  <c r="F81" i="1"/>
  <c r="G73" i="1"/>
  <c r="F73" i="1"/>
  <c r="J73" i="1" s="1"/>
  <c r="G65" i="1"/>
  <c r="F65" i="1"/>
  <c r="J65" i="1" s="1"/>
  <c r="G57" i="1"/>
  <c r="G63" i="1" s="1"/>
  <c r="H63" i="1" s="1"/>
  <c r="F57" i="1"/>
  <c r="J57" i="1"/>
  <c r="G49" i="1"/>
  <c r="F49" i="1"/>
  <c r="J49" i="1"/>
  <c r="G41" i="1"/>
  <c r="H41" i="1" s="1"/>
  <c r="G33" i="1"/>
  <c r="H33" i="1" s="1"/>
  <c r="F33" i="1"/>
  <c r="J33" i="1"/>
  <c r="G25" i="1"/>
  <c r="G17" i="1"/>
  <c r="F17" i="1"/>
  <c r="H17" i="1" s="1"/>
  <c r="G9" i="1"/>
  <c r="F9" i="1"/>
  <c r="J9" i="1" s="1"/>
  <c r="B105" i="1"/>
  <c r="B97" i="1"/>
  <c r="B89" i="1"/>
  <c r="B81" i="1"/>
  <c r="B73" i="1"/>
  <c r="B65" i="1"/>
  <c r="B57" i="1"/>
  <c r="B49" i="1"/>
  <c r="B41" i="1"/>
  <c r="B33" i="1"/>
  <c r="B25" i="1"/>
  <c r="B17" i="1"/>
  <c r="B9" i="1"/>
  <c r="B10" i="2"/>
  <c r="B23" i="2" s="1"/>
  <c r="E112" i="5"/>
  <c r="E114" i="5" s="1"/>
  <c r="D112" i="5"/>
  <c r="D114" i="5" s="1"/>
  <c r="C112" i="5"/>
  <c r="E104" i="5"/>
  <c r="D104" i="5"/>
  <c r="C104" i="5"/>
  <c r="E96" i="5"/>
  <c r="D96" i="5"/>
  <c r="C96" i="5"/>
  <c r="E88" i="5"/>
  <c r="D88" i="5"/>
  <c r="C88" i="5"/>
  <c r="E80" i="5"/>
  <c r="D80" i="5"/>
  <c r="C80" i="5"/>
  <c r="E72" i="5"/>
  <c r="D72" i="5"/>
  <c r="C72" i="5"/>
  <c r="E64" i="5"/>
  <c r="D64" i="5"/>
  <c r="C64" i="5"/>
  <c r="E56" i="5"/>
  <c r="D56" i="5"/>
  <c r="C56" i="5"/>
  <c r="E48" i="5"/>
  <c r="D48" i="5"/>
  <c r="C48" i="5"/>
  <c r="E40" i="5"/>
  <c r="D40" i="5"/>
  <c r="C40" i="5"/>
  <c r="E32" i="5"/>
  <c r="D32" i="5"/>
  <c r="C32" i="5"/>
  <c r="E24" i="5"/>
  <c r="D24" i="5"/>
  <c r="C24" i="5"/>
  <c r="E16" i="5"/>
  <c r="D16" i="5"/>
  <c r="C16" i="5"/>
  <c r="F50" i="4"/>
  <c r="F49" i="3"/>
  <c r="M49" i="1"/>
  <c r="E49" i="1"/>
  <c r="F106" i="4"/>
  <c r="F105" i="3"/>
  <c r="G31" i="2"/>
  <c r="G10" i="2"/>
  <c r="M105" i="1"/>
  <c r="E105" i="1"/>
  <c r="E56" i="4"/>
  <c r="D56" i="4"/>
  <c r="F56" i="4" s="1"/>
  <c r="C56" i="4"/>
  <c r="G50" i="4"/>
  <c r="H50" i="4"/>
  <c r="E55" i="3"/>
  <c r="D55" i="3"/>
  <c r="G55" i="3" s="1"/>
  <c r="C55" i="3"/>
  <c r="G49" i="3"/>
  <c r="L55" i="1"/>
  <c r="D55" i="1"/>
  <c r="C55" i="1"/>
  <c r="E55" i="1" s="1"/>
  <c r="I49" i="1"/>
  <c r="G106" i="4"/>
  <c r="H106" i="4"/>
  <c r="G105" i="3"/>
  <c r="I105" i="1"/>
  <c r="D15" i="1"/>
  <c r="D23" i="1"/>
  <c r="D31" i="1"/>
  <c r="D39" i="1"/>
  <c r="D47" i="1"/>
  <c r="E47" i="1" s="1"/>
  <c r="D63" i="1"/>
  <c r="D71" i="1"/>
  <c r="E71" i="1" s="1"/>
  <c r="D79" i="1"/>
  <c r="D87" i="1"/>
  <c r="D95" i="1"/>
  <c r="D103" i="1"/>
  <c r="D111" i="1"/>
  <c r="D113" i="1" s="1"/>
  <c r="C111" i="1"/>
  <c r="C112" i="4"/>
  <c r="D112" i="4"/>
  <c r="C111" i="3"/>
  <c r="C113" i="3" s="1"/>
  <c r="D111" i="3"/>
  <c r="G111" i="3" s="1"/>
  <c r="E16" i="4"/>
  <c r="E24" i="4"/>
  <c r="E32" i="4"/>
  <c r="E40" i="4"/>
  <c r="E48" i="4"/>
  <c r="E114" i="4" s="1"/>
  <c r="E64" i="4"/>
  <c r="E72" i="4"/>
  <c r="E80" i="4"/>
  <c r="E88" i="4"/>
  <c r="E96" i="4"/>
  <c r="E104" i="4"/>
  <c r="E112" i="4"/>
  <c r="F112" i="4" s="1"/>
  <c r="D16" i="4"/>
  <c r="G16" i="4" s="1"/>
  <c r="H16" i="4" s="1"/>
  <c r="D24" i="4"/>
  <c r="G24" i="4" s="1"/>
  <c r="H24" i="4" s="1"/>
  <c r="D32" i="4"/>
  <c r="D40" i="4"/>
  <c r="F40" i="4" s="1"/>
  <c r="D48" i="4"/>
  <c r="D114" i="4" s="1"/>
  <c r="D64" i="4"/>
  <c r="D72" i="4"/>
  <c r="G72" i="4" s="1"/>
  <c r="H72" i="4" s="1"/>
  <c r="D80" i="4"/>
  <c r="D88" i="4"/>
  <c r="G88" i="4" s="1"/>
  <c r="H88" i="4" s="1"/>
  <c r="D96" i="4"/>
  <c r="D104" i="4"/>
  <c r="C16" i="4"/>
  <c r="C24" i="4"/>
  <c r="C32" i="4"/>
  <c r="G32" i="4" s="1"/>
  <c r="H32" i="4" s="1"/>
  <c r="C40" i="4"/>
  <c r="C48" i="4"/>
  <c r="C64" i="4"/>
  <c r="C72" i="4"/>
  <c r="C80" i="4"/>
  <c r="C114" i="4" s="1"/>
  <c r="C88" i="4"/>
  <c r="C96" i="4"/>
  <c r="C104" i="4"/>
  <c r="F82" i="4"/>
  <c r="E15" i="3"/>
  <c r="E23" i="3"/>
  <c r="E31" i="3"/>
  <c r="E39" i="3"/>
  <c r="E47" i="3"/>
  <c r="E63" i="3"/>
  <c r="E71" i="3"/>
  <c r="E79" i="3"/>
  <c r="E113" i="3" s="1"/>
  <c r="E87" i="3"/>
  <c r="E95" i="3"/>
  <c r="E103" i="3"/>
  <c r="E111" i="3"/>
  <c r="D15" i="3"/>
  <c r="D23" i="3"/>
  <c r="F23" i="3" s="1"/>
  <c r="D31" i="3"/>
  <c r="G31" i="3" s="1"/>
  <c r="D39" i="3"/>
  <c r="G39" i="3" s="1"/>
  <c r="D47" i="3"/>
  <c r="F47" i="3" s="1"/>
  <c r="D63" i="3"/>
  <c r="F63" i="3"/>
  <c r="D71" i="3"/>
  <c r="D87" i="3"/>
  <c r="G87" i="3" s="1"/>
  <c r="D95" i="3"/>
  <c r="D103" i="3"/>
  <c r="C15" i="3"/>
  <c r="C23" i="3"/>
  <c r="C31" i="3"/>
  <c r="C39" i="3"/>
  <c r="C47" i="3"/>
  <c r="C63" i="3"/>
  <c r="C71" i="3"/>
  <c r="C79" i="3"/>
  <c r="G79" i="3" s="1"/>
  <c r="C87" i="3"/>
  <c r="C95" i="3"/>
  <c r="C103" i="3"/>
  <c r="F81" i="3"/>
  <c r="M81" i="1"/>
  <c r="E81" i="1"/>
  <c r="L15" i="1"/>
  <c r="M15" i="1" s="1"/>
  <c r="L23" i="1"/>
  <c r="L31" i="1"/>
  <c r="M31" i="1" s="1"/>
  <c r="L47" i="1"/>
  <c r="L63" i="1"/>
  <c r="L71" i="1"/>
  <c r="M71" i="1" s="1"/>
  <c r="L79" i="1"/>
  <c r="L87" i="1"/>
  <c r="L95" i="1"/>
  <c r="L103" i="1"/>
  <c r="K15" i="1"/>
  <c r="K23" i="1"/>
  <c r="J23" i="1" s="1"/>
  <c r="C15" i="1"/>
  <c r="I15" i="1" s="1"/>
  <c r="C23" i="1"/>
  <c r="C31" i="1"/>
  <c r="C39" i="1"/>
  <c r="E39" i="1" s="1"/>
  <c r="C47" i="1"/>
  <c r="C63" i="1"/>
  <c r="E63" i="1" s="1"/>
  <c r="C71" i="1"/>
  <c r="C79" i="1"/>
  <c r="C87" i="1"/>
  <c r="C95" i="1"/>
  <c r="E95" i="1" s="1"/>
  <c r="C103" i="1"/>
  <c r="C113" i="1" s="1"/>
  <c r="E113" i="1" s="1"/>
  <c r="E89" i="1"/>
  <c r="I89" i="1"/>
  <c r="M89" i="1"/>
  <c r="K87" i="1"/>
  <c r="F98" i="4"/>
  <c r="K31" i="2"/>
  <c r="K10" i="2"/>
  <c r="K23" i="2" s="1"/>
  <c r="K39" i="1"/>
  <c r="K47" i="1"/>
  <c r="M47" i="1" s="1"/>
  <c r="K63" i="1"/>
  <c r="K71" i="1"/>
  <c r="J71" i="1" s="1"/>
  <c r="K79" i="1"/>
  <c r="K103" i="1"/>
  <c r="M103" i="1" s="1"/>
  <c r="I81" i="1"/>
  <c r="G82" i="4"/>
  <c r="H82" i="4"/>
  <c r="G81" i="3"/>
  <c r="F66" i="4"/>
  <c r="F65" i="3"/>
  <c r="N31" i="2"/>
  <c r="N44" i="2" s="1"/>
  <c r="M31" i="2"/>
  <c r="L31" i="2"/>
  <c r="J31" i="2"/>
  <c r="I31" i="2"/>
  <c r="I44" i="2" s="1"/>
  <c r="H31" i="2"/>
  <c r="H44" i="2" s="1"/>
  <c r="F31" i="2"/>
  <c r="E31" i="2"/>
  <c r="E44" i="2" s="1"/>
  <c r="C31" i="2"/>
  <c r="B31" i="2"/>
  <c r="E65" i="1"/>
  <c r="I10" i="2"/>
  <c r="G66" i="4"/>
  <c r="H66" i="4" s="1"/>
  <c r="G74" i="4"/>
  <c r="H74" i="4"/>
  <c r="F74" i="4"/>
  <c r="G65" i="3"/>
  <c r="I65" i="1"/>
  <c r="F10" i="4"/>
  <c r="G10" i="4"/>
  <c r="H10" i="4" s="1"/>
  <c r="I9" i="1"/>
  <c r="I17" i="1"/>
  <c r="I33" i="1"/>
  <c r="I41" i="1"/>
  <c r="I57" i="1"/>
  <c r="I73" i="1"/>
  <c r="I97" i="1"/>
  <c r="E9" i="1"/>
  <c r="M9" i="1"/>
  <c r="E17" i="1"/>
  <c r="M17" i="1"/>
  <c r="E25" i="1"/>
  <c r="E33" i="1"/>
  <c r="M33" i="1"/>
  <c r="E41" i="1"/>
  <c r="M41" i="1"/>
  <c r="E57" i="1"/>
  <c r="M57" i="1"/>
  <c r="E73" i="1"/>
  <c r="M73" i="1"/>
  <c r="M97" i="1"/>
  <c r="F18" i="4"/>
  <c r="G18" i="4"/>
  <c r="H18" i="4" s="1"/>
  <c r="F26" i="4"/>
  <c r="G26" i="4"/>
  <c r="H26" i="4"/>
  <c r="F34" i="4"/>
  <c r="G34" i="4"/>
  <c r="H34" i="4"/>
  <c r="F42" i="4"/>
  <c r="G42" i="4"/>
  <c r="H42" i="4" s="1"/>
  <c r="F58" i="4"/>
  <c r="G58" i="4"/>
  <c r="H58" i="4" s="1"/>
  <c r="F90" i="4"/>
  <c r="G90" i="4"/>
  <c r="H90" i="4"/>
  <c r="G98" i="4"/>
  <c r="H98" i="4"/>
  <c r="F9" i="3"/>
  <c r="F17" i="3"/>
  <c r="G17" i="3"/>
  <c r="F25" i="3"/>
  <c r="G25" i="3"/>
  <c r="F33" i="3"/>
  <c r="G33" i="3"/>
  <c r="F41" i="3"/>
  <c r="G41" i="3"/>
  <c r="F57" i="3"/>
  <c r="G57" i="3"/>
  <c r="F73" i="3"/>
  <c r="G73" i="3"/>
  <c r="F97" i="3"/>
  <c r="G97" i="3"/>
  <c r="G9" i="3"/>
  <c r="C10" i="2"/>
  <c r="C23" i="2" s="1"/>
  <c r="D10" i="2"/>
  <c r="D23" i="2" s="1"/>
  <c r="E10" i="2"/>
  <c r="F10" i="2"/>
  <c r="F23" i="2" s="1"/>
  <c r="H10" i="2"/>
  <c r="J10" i="2"/>
  <c r="L10" i="2"/>
  <c r="M10" i="2"/>
  <c r="M23" i="2" s="1"/>
  <c r="N10" i="2"/>
  <c r="I25" i="1"/>
  <c r="M25" i="1"/>
  <c r="K31" i="1"/>
  <c r="D31" i="2"/>
  <c r="L111" i="1"/>
  <c r="K111" i="1"/>
  <c r="K55" i="1"/>
  <c r="I55" i="1" s="1"/>
  <c r="K95" i="1"/>
  <c r="G104" i="4"/>
  <c r="H104" i="4" s="1"/>
  <c r="G48" i="4"/>
  <c r="H48" i="4"/>
  <c r="F96" i="4"/>
  <c r="G112" i="4"/>
  <c r="H112" i="4" s="1"/>
  <c r="G116" i="4"/>
  <c r="H116" i="4" s="1"/>
  <c r="F116" i="4"/>
  <c r="G56" i="4"/>
  <c r="H56" i="4" s="1"/>
  <c r="F88" i="4"/>
  <c r="G96" i="4"/>
  <c r="H96" i="4" s="1"/>
  <c r="G40" i="4"/>
  <c r="H40" i="4" s="1"/>
  <c r="F104" i="4"/>
  <c r="F24" i="4"/>
  <c r="F64" i="4"/>
  <c r="G64" i="4"/>
  <c r="H64" i="4" s="1"/>
  <c r="F32" i="4"/>
  <c r="F80" i="4"/>
  <c r="F116" i="5"/>
  <c r="G116" i="5"/>
  <c r="H116" i="5" s="1"/>
  <c r="C114" i="5"/>
  <c r="F111" i="3"/>
  <c r="G15" i="3"/>
  <c r="G71" i="3"/>
  <c r="G103" i="3"/>
  <c r="F71" i="3"/>
  <c r="F103" i="3"/>
  <c r="F39" i="3"/>
  <c r="G63" i="3"/>
  <c r="G47" i="3"/>
  <c r="F87" i="3"/>
  <c r="F15" i="3"/>
  <c r="H59" i="1"/>
  <c r="E103" i="1"/>
  <c r="E79" i="1"/>
  <c r="H12" i="1"/>
  <c r="H67" i="1"/>
  <c r="E87" i="1"/>
  <c r="C44" i="2"/>
  <c r="N23" i="2"/>
  <c r="H97" i="1"/>
  <c r="H25" i="1"/>
  <c r="H60" i="1"/>
  <c r="H34" i="1"/>
  <c r="H58" i="1"/>
  <c r="H75" i="1"/>
  <c r="H10" i="1"/>
  <c r="H51" i="1"/>
  <c r="M95" i="1"/>
  <c r="E31" i="1"/>
  <c r="J44" i="2"/>
  <c r="L23" i="2"/>
  <c r="M87" i="1"/>
  <c r="M36" i="1"/>
  <c r="I23" i="2"/>
  <c r="H107" i="1"/>
  <c r="H11" i="1"/>
  <c r="I95" i="1"/>
  <c r="F47" i="1"/>
  <c r="M44" i="2"/>
  <c r="H81" i="1"/>
  <c r="F39" i="1"/>
  <c r="J39" i="1"/>
  <c r="H44" i="1"/>
  <c r="J76" i="1"/>
  <c r="J60" i="1"/>
  <c r="I87" i="1"/>
  <c r="E23" i="1"/>
  <c r="G15" i="1"/>
  <c r="G71" i="1"/>
  <c r="J44" i="1"/>
  <c r="I111" i="1"/>
  <c r="O10" i="2"/>
  <c r="H50" i="1"/>
  <c r="J67" i="1"/>
  <c r="H100" i="1"/>
  <c r="I31" i="1"/>
  <c r="H35" i="1"/>
  <c r="H68" i="1"/>
  <c r="F23" i="1"/>
  <c r="M63" i="1"/>
  <c r="F55" i="1"/>
  <c r="H52" i="1"/>
  <c r="H91" i="1"/>
  <c r="H18" i="1"/>
  <c r="H82" i="1"/>
  <c r="F63" i="1"/>
  <c r="J63" i="1"/>
  <c r="I115" i="1"/>
  <c r="G87" i="1"/>
  <c r="H106" i="1"/>
  <c r="G79" i="1"/>
  <c r="H20" i="1"/>
  <c r="J36" i="1"/>
  <c r="J23" i="2"/>
  <c r="H83" i="1"/>
  <c r="F103" i="1"/>
  <c r="H49" i="1"/>
  <c r="J66" i="1"/>
  <c r="E23" i="2"/>
  <c r="F44" i="2"/>
  <c r="I47" i="1"/>
  <c r="J74" i="1"/>
  <c r="J99" i="1"/>
  <c r="H9" i="1"/>
  <c r="O31" i="2"/>
  <c r="I71" i="1"/>
  <c r="I63" i="1"/>
  <c r="J81" i="1"/>
  <c r="I39" i="1"/>
  <c r="H42" i="1"/>
  <c r="F71" i="1"/>
  <c r="H71" i="1" s="1"/>
  <c r="F95" i="1"/>
  <c r="H90" i="1"/>
  <c r="J82" i="1"/>
  <c r="M111" i="1"/>
  <c r="J47" i="1"/>
  <c r="G114" i="5" l="1"/>
  <c r="H114" i="5" s="1"/>
  <c r="F114" i="5"/>
  <c r="H103" i="1"/>
  <c r="J111" i="1"/>
  <c r="F113" i="1"/>
  <c r="H111" i="1"/>
  <c r="J87" i="1"/>
  <c r="H87" i="1"/>
  <c r="J79" i="1"/>
  <c r="O44" i="2"/>
  <c r="H95" i="1"/>
  <c r="G114" i="4"/>
  <c r="H114" i="4" s="1"/>
  <c r="F114" i="4"/>
  <c r="J15" i="1"/>
  <c r="H15" i="1"/>
  <c r="J17" i="1"/>
  <c r="M23" i="1"/>
  <c r="I79" i="1"/>
  <c r="G80" i="4"/>
  <c r="H80" i="4" s="1"/>
  <c r="J105" i="1"/>
  <c r="H65" i="1"/>
  <c r="H57" i="1"/>
  <c r="J12" i="1"/>
  <c r="L39" i="1"/>
  <c r="M39" i="1" s="1"/>
  <c r="F31" i="1"/>
  <c r="H89" i="1"/>
  <c r="I23" i="1"/>
  <c r="D113" i="3"/>
  <c r="J84" i="1"/>
  <c r="H53" i="1"/>
  <c r="E111" i="1"/>
  <c r="G39" i="1"/>
  <c r="H39" i="1" s="1"/>
  <c r="E15" i="1"/>
  <c r="H13" i="1"/>
  <c r="H109" i="1"/>
  <c r="H27" i="1"/>
  <c r="F31" i="3"/>
  <c r="G23" i="3"/>
  <c r="F16" i="4"/>
  <c r="H98" i="1"/>
  <c r="J103" i="1"/>
  <c r="G47" i="1"/>
  <c r="H47" i="1" s="1"/>
  <c r="H28" i="1"/>
  <c r="H69" i="1"/>
  <c r="K113" i="1"/>
  <c r="O11" i="2"/>
  <c r="G112" i="5"/>
  <c r="H112" i="5" s="1"/>
  <c r="J61" i="1"/>
  <c r="F115" i="1"/>
  <c r="D44" i="2"/>
  <c r="O33" i="2"/>
  <c r="F79" i="1"/>
  <c r="H79" i="1" s="1"/>
  <c r="H73" i="1"/>
  <c r="F72" i="4"/>
  <c r="O12" i="2"/>
  <c r="I103" i="1"/>
  <c r="M55" i="1"/>
  <c r="J55" i="1"/>
  <c r="J95" i="1"/>
  <c r="J108" i="1"/>
  <c r="M79" i="1"/>
  <c r="G23" i="1"/>
  <c r="H23" i="1" s="1"/>
  <c r="H108" i="1"/>
  <c r="F55" i="3"/>
  <c r="F48" i="4"/>
  <c r="F112" i="5"/>
  <c r="G113" i="3" l="1"/>
  <c r="F113" i="3"/>
  <c r="J115" i="1"/>
  <c r="H115" i="1"/>
  <c r="H31" i="1"/>
  <c r="J31" i="1"/>
  <c r="O23" i="2"/>
  <c r="G113" i="1"/>
  <c r="H113" i="1" s="1"/>
  <c r="I113" i="1"/>
  <c r="J113" i="1"/>
  <c r="L113" i="1"/>
  <c r="M113" i="1" s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<sst xmlns="http://schemas.openxmlformats.org/spreadsheetml/2006/main" count="241" uniqueCount="79">
  <si>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</si>
  <si>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</si>
  <si>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</si>
  <si>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</si>
  <si>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</si>
  <si>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</si>
  <si>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</si>
  <si>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</si>
  <si>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</si>
  <si>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</si>
  <si>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</si>
  <si>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</si>
  <si>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</si>
  <si>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</si>
  <si>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</si>
  <si>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</si>
  <si>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</si>
  <si>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</si>
  <si>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</si>
  <si>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</si>
  <si>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</si>
  <si>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</si>
  <si>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</si>
  <si>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</si>
  <si>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</si>
  <si>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</si>
  <si>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</si>
  <si>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</si>
  <si>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</si>
  <si>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</si>
  <si>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</si>
  <si>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</si>
  <si>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</si>
  <si>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</si>
  <si>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</si>
  <si>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</si>
  <si>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</si>
  <si>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</si>
  <si>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</si>
  <si>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</si>
  <si>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</si>
  <si>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</si>
  <si>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</si>
  <si>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</si>
  <si>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</si>
  <si>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</si>
  <si>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</si>
  <si>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</si>
  <si>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</si>
  <si>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</si>
  <si>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</si>
  <si>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</si>
  <si>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</si>
  <si>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</si>
  <si>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</si>
  <si>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</si>
  <si>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</si>
  <si>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</si>
  <si>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</si>
  <si>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</si>
  <si>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</si>
  <si>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</si>
  <si>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</si>
  <si>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</si>
  <si>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</si>
  <si>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</si>
  <si>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</si>
  <si>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</si>
  <si>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</si>
  <si>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</si>
  <si>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</si>
  <si>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2026 YTD ADMISSIONS, PATRONS AND AGR SUMMARY </t>
  </si>
  <si>
    <t>MONTH ENDED:  NOVEMBER 30, 2025</t>
  </si>
  <si>
    <t>(as reported on the tax remittal database dtd 12/9/25)</t>
  </si>
  <si>
    <t>THRU MONTH ENDED:   NOVEMBER 30, 2025</t>
  </si>
  <si>
    <t>(as reported on the tax remittal database as of 12/9/25)</t>
  </si>
  <si>
    <t>THRU MONTH ENDED:    NOVEMBER 30, 2025</t>
  </si>
  <si>
    <t>THRU MONTH ENDED:     NOVEMBER 30, 2025</t>
  </si>
  <si>
    <t>FOR THE MONTH ENDED:   NOVEMBER 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</si>
</sst>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3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4" fontId="0" fillId="0" borderId="10" xfId="0" applyNumberFormat="1" applyFont="1" applyBorder="1" applyAlignment="1">
      <alignment horizontal="center"/>
    </xf>
    <xf numFmtId="167" fontId="2" fillId="0" borderId="10" xfId="1" applyNumberFormat="1" applyFont="1" applyBorder="1" applyAlignment="1">
      <alignment horizontal="center"/>
    </xf>
    <xf numFmtId="167" fontId="0" fillId="0" borderId="9" xfId="1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87"/>
  <sheetViews>
    <sheetView tabSelected="1" showOutlineSymbols="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8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1"/>
      <c r="L1" s="191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1"/>
      <c r="L2" s="191"/>
      <c r="M2" s="2"/>
      <c r="N2" s="2"/>
      <c r="O2" s="2"/>
      <c r="P2" s="2"/>
      <c r="Q2" s="2"/>
      <c r="R2" s="2"/>
    </row>
    <row r="3" spans="1:18" ht="18" x14ac:dyDescent="0.25">
      <c r="A3" s="276" t="s">
        <v>72</v>
      </c>
      <c r="B3" s="2"/>
      <c r="C3" s="2"/>
      <c r="D3" s="2"/>
      <c r="E3" s="2"/>
      <c r="F3" s="2"/>
      <c r="G3" s="2"/>
      <c r="H3" s="2"/>
      <c r="I3" s="2"/>
      <c r="J3" s="2"/>
      <c r="K3" s="191"/>
      <c r="L3" s="191"/>
      <c r="M3" s="2"/>
      <c r="N3" s="2"/>
      <c r="O3" s="2"/>
      <c r="P3" s="2"/>
      <c r="Q3" s="2"/>
      <c r="R3" s="2"/>
    </row>
    <row r="4" spans="1:18" x14ac:dyDescent="0.2">
      <c r="A4" s="277" t="s">
        <v>73</v>
      </c>
      <c r="B4" s="2"/>
      <c r="C4" s="2"/>
      <c r="D4" s="2"/>
      <c r="E4" s="2"/>
      <c r="F4" s="2"/>
      <c r="G4" s="2"/>
      <c r="H4" s="2"/>
      <c r="I4" s="2"/>
      <c r="J4" s="2"/>
      <c r="K4" s="191"/>
      <c r="L4" s="191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1"/>
      <c r="L5" s="191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2" t="s">
        <v>1</v>
      </c>
      <c r="L6" s="192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3" t="s">
        <v>12</v>
      </c>
      <c r="L7" s="193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4"/>
      <c r="L8" s="194"/>
      <c r="M8" s="18"/>
      <c r="N8" s="10"/>
      <c r="R8" s="2"/>
    </row>
    <row r="9" spans="1:18" ht="15.75" x14ac:dyDescent="0.25">
      <c r="A9" s="19" t="s">
        <v>13</v>
      </c>
      <c r="B9" s="20">
        <f>DATE(2025,7,1)</f>
        <v>45839</v>
      </c>
      <c r="C9" s="21">
        <v>180280</v>
      </c>
      <c r="D9" s="21">
        <v>182873</v>
      </c>
      <c r="E9" s="22">
        <f>(+C9-D9)/D9</f>
        <v>-1.4179239144105472E-2</v>
      </c>
      <c r="F9" s="21">
        <f>+C9-86141</f>
        <v>94139</v>
      </c>
      <c r="G9" s="21">
        <f>+D9-86094</f>
        <v>96779</v>
      </c>
      <c r="H9" s="22">
        <f>(+F9-G9)/G9</f>
        <v>-2.7278645160623689E-2</v>
      </c>
      <c r="I9" s="23">
        <f>K9/C9</f>
        <v>75.772670401597509</v>
      </c>
      <c r="J9" s="23">
        <f>K9/F9</f>
        <v>145.10773452023071</v>
      </c>
      <c r="K9" s="21">
        <v>13660297.02</v>
      </c>
      <c r="L9" s="21">
        <v>13370133.560000001</v>
      </c>
      <c r="M9" s="24">
        <f>(+K9-L9)/L9</f>
        <v>2.1702360615760297E-2</v>
      </c>
      <c r="N9" s="10"/>
      <c r="R9" s="2"/>
    </row>
    <row r="10" spans="1:18" ht="15.75" x14ac:dyDescent="0.25">
      <c r="A10" s="19"/>
      <c r="B10" s="20">
        <f>DATE(2025,8,1)</f>
        <v>45870</v>
      </c>
      <c r="C10" s="21">
        <v>189582</v>
      </c>
      <c r="D10" s="21">
        <v>193595</v>
      </c>
      <c r="E10" s="22">
        <f>(+C10-D10)/D10</f>
        <v>-2.0728841137426068E-2</v>
      </c>
      <c r="F10" s="21">
        <f>+C10-90399</f>
        <v>99183</v>
      </c>
      <c r="G10" s="21">
        <f>+D10-91892</f>
        <v>101703</v>
      </c>
      <c r="H10" s="22">
        <f>(+F10-G10)/G10</f>
        <v>-2.4778030146603344E-2</v>
      </c>
      <c r="I10" s="23">
        <f>K10/C10</f>
        <v>78.115140519669595</v>
      </c>
      <c r="J10" s="23">
        <f>K10/F10</f>
        <v>149.31212576752066</v>
      </c>
      <c r="K10" s="21">
        <v>14809224.57</v>
      </c>
      <c r="L10" s="21">
        <v>13993160.5</v>
      </c>
      <c r="M10" s="24">
        <f>(+K10-L10)/L10</f>
        <v>5.8318781521872795E-2</v>
      </c>
      <c r="N10" s="10"/>
      <c r="R10" s="2"/>
    </row>
    <row r="11" spans="1:18" ht="15.75" x14ac:dyDescent="0.25">
      <c r="A11" s="19"/>
      <c r="B11" s="20">
        <f>DATE(2025,9,1)</f>
        <v>45901</v>
      </c>
      <c r="C11" s="21">
        <v>160329</v>
      </c>
      <c r="D11" s="21">
        <v>175693</v>
      </c>
      <c r="E11" s="22">
        <f>(+C11-D11)/D11</f>
        <v>-8.7447991667283273E-2</v>
      </c>
      <c r="F11" s="21">
        <f>+C11-75298</f>
        <v>85031</v>
      </c>
      <c r="G11" s="21">
        <f>+D11-81570</f>
        <v>94123</v>
      </c>
      <c r="H11" s="22">
        <f>(+F11-G11)/G11</f>
        <v>-9.6597006045281181E-2</v>
      </c>
      <c r="I11" s="23">
        <f>K11/C11</f>
        <v>75.439092303950005</v>
      </c>
      <c r="J11" s="23">
        <f>K11/F11</f>
        <v>142.24311404076161</v>
      </c>
      <c r="K11" s="21">
        <v>12095074.23</v>
      </c>
      <c r="L11" s="21">
        <v>12504940.25</v>
      </c>
      <c r="M11" s="24">
        <f>(+K11-L11)/L11</f>
        <v>-3.2776327739750657E-2</v>
      </c>
      <c r="N11" s="10"/>
      <c r="R11" s="2"/>
    </row>
    <row r="12" spans="1:18" ht="15.75" x14ac:dyDescent="0.25">
      <c r="A12" s="19"/>
      <c r="B12" s="20">
        <f>DATE(2025,10,1)</f>
        <v>45931</v>
      </c>
      <c r="C12" s="21">
        <v>170956</v>
      </c>
      <c r="D12" s="21">
        <v>169905</v>
      </c>
      <c r="E12" s="22">
        <f>(+C12-D12)/D12</f>
        <v>6.1858097171949029E-3</v>
      </c>
      <c r="F12" s="21">
        <f>+C12-81592</f>
        <v>89364</v>
      </c>
      <c r="G12" s="21">
        <f>+D12-79197</f>
        <v>90708</v>
      </c>
      <c r="H12" s="22">
        <f>(+F12-G12)/G12</f>
        <v>-1.4816774705648895E-2</v>
      </c>
      <c r="I12" s="23">
        <f>K12/C12</f>
        <v>77.714595626944941</v>
      </c>
      <c r="J12" s="23">
        <f>K12/F12</f>
        <v>148.67034163645317</v>
      </c>
      <c r="K12" s="21">
        <v>13285776.41</v>
      </c>
      <c r="L12" s="21">
        <v>12397438.83</v>
      </c>
      <c r="M12" s="24">
        <f>(+K12-L12)/L12</f>
        <v>7.165492745568966E-2</v>
      </c>
      <c r="N12" s="10"/>
      <c r="R12" s="2"/>
    </row>
    <row r="13" spans="1:18" ht="15.75" x14ac:dyDescent="0.25">
      <c r="A13" s="19"/>
      <c r="B13" s="20">
        <f>DATE(2025,11,1)</f>
        <v>45962</v>
      </c>
      <c r="C13" s="21">
        <v>168263</v>
      </c>
      <c r="D13" s="21">
        <v>184234</v>
      </c>
      <c r="E13" s="22">
        <f>(+C13-D13)/D13</f>
        <v>-8.668866767263371E-2</v>
      </c>
      <c r="F13" s="21">
        <f>+C13-79739</f>
        <v>88524</v>
      </c>
      <c r="G13" s="21">
        <f>+D13-88163</f>
        <v>96071</v>
      </c>
      <c r="H13" s="22">
        <f>(+F13-G13)/G13</f>
        <v>-7.8556484266844306E-2</v>
      </c>
      <c r="I13" s="23">
        <f>K13/C13</f>
        <v>78.699185560699618</v>
      </c>
      <c r="J13" s="23">
        <f>K13/F13</f>
        <v>149.58837219285166</v>
      </c>
      <c r="K13" s="21">
        <v>13242161.060000001</v>
      </c>
      <c r="L13" s="21">
        <v>13614631.85</v>
      </c>
      <c r="M13" s="24">
        <f>(+K13-L13)/L13</f>
        <v>-2.735812426687095E-2</v>
      </c>
      <c r="N13" s="10"/>
      <c r="R13" s="2"/>
    </row>
    <row r="14" spans="1:18" ht="15.75" customHeight="1" thickBot="1" x14ac:dyDescent="0.3">
      <c r="A14" s="19"/>
      <c r="B14" s="20"/>
      <c r="C14" s="21"/>
      <c r="D14" s="21"/>
      <c r="E14" s="22"/>
      <c r="F14" s="21"/>
      <c r="G14" s="21"/>
      <c r="H14" s="22"/>
      <c r="I14" s="23"/>
      <c r="J14" s="23"/>
      <c r="K14" s="21"/>
      <c r="L14" s="21"/>
      <c r="M14" s="24"/>
      <c r="N14" s="10"/>
      <c r="R14" s="2"/>
    </row>
    <row r="15" spans="1:18" ht="17.25" thickTop="1" thickBot="1" x14ac:dyDescent="0.3">
      <c r="A15" s="25" t="s">
        <v>14</v>
      </c>
      <c r="B15" s="26"/>
      <c r="C15" s="27">
        <f>SUM(C9:C14)</f>
        <v>869410</v>
      </c>
      <c r="D15" s="27">
        <f>SUM(D9:D14)</f>
        <v>906300</v>
      </c>
      <c r="E15" s="278">
        <f>(+C15-D15)/D15</f>
        <v>-4.0703961160763545E-2</v>
      </c>
      <c r="F15" s="27">
        <f>SUM(F9:F14)</f>
        <v>456241</v>
      </c>
      <c r="G15" s="27">
        <f>SUM(G9:G14)</f>
        <v>479384</v>
      </c>
      <c r="H15" s="29">
        <f>(+F15-G15)/G15</f>
        <v>-4.82765382240542E-2</v>
      </c>
      <c r="I15" s="30">
        <f>K15/C15</f>
        <v>77.170188162086944</v>
      </c>
      <c r="J15" s="30">
        <f>K15/F15</f>
        <v>147.0550285704266</v>
      </c>
      <c r="K15" s="27">
        <f>SUM(K9:K14)</f>
        <v>67092533.290000007</v>
      </c>
      <c r="L15" s="27">
        <f>SUM(L9:L14)</f>
        <v>65880304.990000002</v>
      </c>
      <c r="M15" s="31">
        <f>(+K15-L15)/L15</f>
        <v>1.8400465817272841E-2</v>
      </c>
      <c r="N15" s="10"/>
      <c r="R15" s="2"/>
    </row>
    <row r="16" spans="1:18" ht="15.75" customHeight="1" thickTop="1" x14ac:dyDescent="0.25">
      <c r="A16" s="15"/>
      <c r="B16" s="16"/>
      <c r="C16" s="16"/>
      <c r="D16" s="16"/>
      <c r="E16" s="17"/>
      <c r="F16" s="16"/>
      <c r="G16" s="16"/>
      <c r="H16" s="17"/>
      <c r="I16" s="16"/>
      <c r="J16" s="16"/>
      <c r="K16" s="194"/>
      <c r="L16" s="194"/>
      <c r="M16" s="18"/>
      <c r="N16" s="10"/>
      <c r="R16" s="2"/>
    </row>
    <row r="17" spans="1:18" ht="15.75" x14ac:dyDescent="0.25">
      <c r="A17" s="19" t="s">
        <v>15</v>
      </c>
      <c r="B17" s="20">
        <f>DATE(2025,7,1)</f>
        <v>45839</v>
      </c>
      <c r="C17" s="21">
        <v>107305</v>
      </c>
      <c r="D17" s="21">
        <v>94277</v>
      </c>
      <c r="E17" s="22">
        <f>(+C17-D17)/D17</f>
        <v>0.13818852954591257</v>
      </c>
      <c r="F17" s="21">
        <f>+C17-51168</f>
        <v>56137</v>
      </c>
      <c r="G17" s="21">
        <f>+D17-44772</f>
        <v>49505</v>
      </c>
      <c r="H17" s="22">
        <f>(+F17-G17)/G17</f>
        <v>0.13396626603373396</v>
      </c>
      <c r="I17" s="23">
        <f>K17/C17</f>
        <v>77.914331298634735</v>
      </c>
      <c r="J17" s="23">
        <f>K17/F17</f>
        <v>148.93202914298948</v>
      </c>
      <c r="K17" s="21">
        <v>8360597.3200000003</v>
      </c>
      <c r="L17" s="21">
        <v>6681618.7599999998</v>
      </c>
      <c r="M17" s="24">
        <f>(+K17-L17)/L17</f>
        <v>0.25128320251543362</v>
      </c>
      <c r="N17" s="10"/>
      <c r="R17" s="2"/>
    </row>
    <row r="18" spans="1:18" ht="15.75" x14ac:dyDescent="0.25">
      <c r="A18" s="19"/>
      <c r="B18" s="20">
        <f>DATE(2025,8,1)</f>
        <v>45870</v>
      </c>
      <c r="C18" s="21">
        <v>110037</v>
      </c>
      <c r="D18" s="21">
        <v>95698</v>
      </c>
      <c r="E18" s="22">
        <f>(+C18-D18)/D18</f>
        <v>0.14983594223494745</v>
      </c>
      <c r="F18" s="21">
        <f>+C18-52170</f>
        <v>57867</v>
      </c>
      <c r="G18" s="21">
        <f>+D18-45591</f>
        <v>50107</v>
      </c>
      <c r="H18" s="22">
        <f>(+F18-G18)/G18</f>
        <v>0.15486858123615463</v>
      </c>
      <c r="I18" s="23">
        <f>K18/C18</f>
        <v>75.953694484582456</v>
      </c>
      <c r="J18" s="23">
        <f>K18/F18</f>
        <v>144.42975581937893</v>
      </c>
      <c r="K18" s="21">
        <v>8357716.6799999997</v>
      </c>
      <c r="L18" s="21">
        <v>7224866.7999999998</v>
      </c>
      <c r="M18" s="24">
        <f>(+K18-L18)/L18</f>
        <v>0.15679872188093488</v>
      </c>
      <c r="N18" s="10"/>
      <c r="R18" s="2"/>
    </row>
    <row r="19" spans="1:18" ht="15.75" x14ac:dyDescent="0.25">
      <c r="A19" s="19"/>
      <c r="B19" s="20">
        <f>DATE(2025,9,1)</f>
        <v>45901</v>
      </c>
      <c r="C19" s="21">
        <v>100100</v>
      </c>
      <c r="D19" s="21">
        <v>91160</v>
      </c>
      <c r="E19" s="22">
        <f>(+C19-D19)/D19</f>
        <v>9.8069328652917953E-2</v>
      </c>
      <c r="F19" s="21">
        <f>+C19-46239</f>
        <v>53861</v>
      </c>
      <c r="G19" s="21">
        <f>+D19-43108</f>
        <v>48052</v>
      </c>
      <c r="H19" s="22">
        <f>(+F19-G19)/G19</f>
        <v>0.1208898693082494</v>
      </c>
      <c r="I19" s="23">
        <f>K19/C19</f>
        <v>79.124169630369636</v>
      </c>
      <c r="J19" s="23">
        <f>K19/F19</f>
        <v>147.0512872022428</v>
      </c>
      <c r="K19" s="21">
        <v>7920329.3799999999</v>
      </c>
      <c r="L19" s="21">
        <v>6820970.8499999996</v>
      </c>
      <c r="M19" s="24">
        <f>(+K19-L19)/L19</f>
        <v>0.16117332182998559</v>
      </c>
      <c r="N19" s="10"/>
      <c r="R19" s="2"/>
    </row>
    <row r="20" spans="1:18" ht="15.75" x14ac:dyDescent="0.25">
      <c r="A20" s="19"/>
      <c r="B20" s="20">
        <f>DATE(2025,10,1)</f>
        <v>45931</v>
      </c>
      <c r="C20" s="21">
        <v>104165</v>
      </c>
      <c r="D20" s="21">
        <v>92138</v>
      </c>
      <c r="E20" s="22">
        <f>(+C20-D20)/D20</f>
        <v>0.13053246217630077</v>
      </c>
      <c r="F20" s="21">
        <f>+C20-49066</f>
        <v>55099</v>
      </c>
      <c r="G20" s="21">
        <f>+D20-42815</f>
        <v>49323</v>
      </c>
      <c r="H20" s="22">
        <f>(+F20-G20)/G20</f>
        <v>0.11710560995884273</v>
      </c>
      <c r="I20" s="23">
        <f>K20/C20</f>
        <v>75.934553832861326</v>
      </c>
      <c r="J20" s="23">
        <f>K20/F20</f>
        <v>143.55474328027731</v>
      </c>
      <c r="K20" s="21">
        <v>7909722.7999999998</v>
      </c>
      <c r="L20" s="21">
        <v>6568817.1600000001</v>
      </c>
      <c r="M20" s="24">
        <f>(+K20-L20)/L20</f>
        <v>0.20413197800134836</v>
      </c>
      <c r="N20" s="10"/>
      <c r="R20" s="2"/>
    </row>
    <row r="21" spans="1:18" ht="15.75" x14ac:dyDescent="0.25">
      <c r="A21" s="19"/>
      <c r="B21" s="20">
        <f>DATE(2025,11,1)</f>
        <v>45962</v>
      </c>
      <c r="C21" s="21">
        <v>98258</v>
      </c>
      <c r="D21" s="21">
        <v>92599</v>
      </c>
      <c r="E21" s="22">
        <f>(+C21-D21)/D21</f>
        <v>6.1112970982408019E-2</v>
      </c>
      <c r="F21" s="21">
        <f>+C21-46713</f>
        <v>51545</v>
      </c>
      <c r="G21" s="21">
        <f>+D21-45193</f>
        <v>47406</v>
      </c>
      <c r="H21" s="22">
        <f>(+F21-G21)/G21</f>
        <v>8.7309623254440361E-2</v>
      </c>
      <c r="I21" s="23">
        <f>K21/C21</f>
        <v>77.214821388589229</v>
      </c>
      <c r="J21" s="23">
        <f>K21/F21</f>
        <v>147.19126821224174</v>
      </c>
      <c r="K21" s="21">
        <v>7586973.9199999999</v>
      </c>
      <c r="L21" s="21">
        <v>7336177.1699999999</v>
      </c>
      <c r="M21" s="24">
        <f>(+K21-L21)/L21</f>
        <v>3.4186299511084463E-2</v>
      </c>
      <c r="N21" s="10"/>
      <c r="R21" s="2"/>
    </row>
    <row r="22" spans="1:18" ht="15.75" customHeight="1" thickBot="1" x14ac:dyDescent="0.3">
      <c r="A22" s="19"/>
      <c r="B22" s="20"/>
      <c r="C22" s="21"/>
      <c r="D22" s="21"/>
      <c r="E22" s="22"/>
      <c r="F22" s="21"/>
      <c r="G22" s="21"/>
      <c r="H22" s="22"/>
      <c r="I22" s="23"/>
      <c r="J22" s="23"/>
      <c r="K22" s="21"/>
      <c r="L22" s="21"/>
      <c r="M22" s="24"/>
      <c r="N22" s="10"/>
      <c r="R22" s="2"/>
    </row>
    <row r="23" spans="1:18" ht="17.25" customHeight="1" thickTop="1" thickBot="1" x14ac:dyDescent="0.3">
      <c r="A23" s="25" t="s">
        <v>14</v>
      </c>
      <c r="B23" s="26"/>
      <c r="C23" s="27">
        <f>SUM(C17:C22)</f>
        <v>519865</v>
      </c>
      <c r="D23" s="27">
        <f>SUM(D17:D22)</f>
        <v>465872</v>
      </c>
      <c r="E23" s="278">
        <f>(+C23-D23)/D23</f>
        <v>0.11589664113747983</v>
      </c>
      <c r="F23" s="27">
        <f>SUM(F17:F22)</f>
        <v>274509</v>
      </c>
      <c r="G23" s="27">
        <f>SUM(G17:G22)</f>
        <v>244393</v>
      </c>
      <c r="H23" s="29">
        <f>(+F23-G23)/G23</f>
        <v>0.12322775202235743</v>
      </c>
      <c r="I23" s="30">
        <f>K23/C23</f>
        <v>77.20338953382128</v>
      </c>
      <c r="J23" s="30">
        <f>K23/F23</f>
        <v>146.20773854409146</v>
      </c>
      <c r="K23" s="27">
        <f>SUM(K17:K22)</f>
        <v>40135340.100000001</v>
      </c>
      <c r="L23" s="27">
        <f>SUM(L17:L22)</f>
        <v>34632450.739999995</v>
      </c>
      <c r="M23" s="31">
        <f>(+K23-L23)/L23</f>
        <v>0.15889402113966619</v>
      </c>
      <c r="N23" s="10"/>
      <c r="R23" s="2"/>
    </row>
    <row r="24" spans="1:18" ht="15.75" customHeight="1" thickTop="1" x14ac:dyDescent="0.25">
      <c r="A24" s="32"/>
      <c r="B24" s="33"/>
      <c r="C24" s="34"/>
      <c r="D24" s="34"/>
      <c r="E24" s="28"/>
      <c r="F24" s="34"/>
      <c r="G24" s="34"/>
      <c r="H24" s="28"/>
      <c r="I24" s="35"/>
      <c r="J24" s="35"/>
      <c r="K24" s="34"/>
      <c r="L24" s="34"/>
      <c r="M24" s="36"/>
      <c r="N24" s="10"/>
      <c r="R24" s="2"/>
    </row>
    <row r="25" spans="1:18" ht="15.75" customHeight="1" x14ac:dyDescent="0.25">
      <c r="A25" s="19" t="s">
        <v>62</v>
      </c>
      <c r="B25" s="20">
        <f>DATE(2025,7,1)</f>
        <v>45839</v>
      </c>
      <c r="C25" s="21">
        <v>72536</v>
      </c>
      <c r="D25" s="21">
        <v>53756</v>
      </c>
      <c r="E25" s="22">
        <f>(+C25-D25)/D25</f>
        <v>0.34935635091896716</v>
      </c>
      <c r="F25" s="21">
        <f>+C25-42110</f>
        <v>30426</v>
      </c>
      <c r="G25" s="21">
        <f>+D25-27520</f>
        <v>26236</v>
      </c>
      <c r="H25" s="22">
        <f>(+F25-G25)/G25</f>
        <v>0.15970422320475683</v>
      </c>
      <c r="I25" s="23">
        <f>K25/C25</f>
        <v>70.35019562699901</v>
      </c>
      <c r="J25" s="23">
        <f>K25/F25</f>
        <v>167.7158282390061</v>
      </c>
      <c r="K25" s="21">
        <v>5102921.79</v>
      </c>
      <c r="L25" s="21">
        <v>3867138.09</v>
      </c>
      <c r="M25" s="24">
        <f>(+K25-L25)/L25</f>
        <v>0.31956027202535203</v>
      </c>
      <c r="N25" s="10"/>
      <c r="R25" s="2"/>
    </row>
    <row r="26" spans="1:18" ht="15.75" customHeight="1" x14ac:dyDescent="0.25">
      <c r="A26" s="19"/>
      <c r="B26" s="20">
        <f>DATE(2025,8,1)</f>
        <v>45870</v>
      </c>
      <c r="C26" s="21">
        <v>77461</v>
      </c>
      <c r="D26" s="21">
        <v>54520</v>
      </c>
      <c r="E26" s="22">
        <f>(+C26-D26)/D26</f>
        <v>0.42078136463683052</v>
      </c>
      <c r="F26" s="21">
        <f>+C26-45920</f>
        <v>31541</v>
      </c>
      <c r="G26" s="21">
        <f>+D26-28215</f>
        <v>26305</v>
      </c>
      <c r="H26" s="22">
        <f>(+F26-G26)/G26</f>
        <v>0.19904961034023949</v>
      </c>
      <c r="I26" s="23">
        <f>K26/C26</f>
        <v>69.311892565290918</v>
      </c>
      <c r="J26" s="23">
        <f>K26/F26</f>
        <v>170.22188611648329</v>
      </c>
      <c r="K26" s="21">
        <v>5368968.5099999998</v>
      </c>
      <c r="L26" s="21">
        <v>3925251.53</v>
      </c>
      <c r="M26" s="24">
        <f>(+K26-L26)/L26</f>
        <v>0.36780241188772939</v>
      </c>
      <c r="N26" s="10"/>
      <c r="R26" s="2"/>
    </row>
    <row r="27" spans="1:18" ht="15.75" customHeight="1" x14ac:dyDescent="0.25">
      <c r="A27" s="19"/>
      <c r="B27" s="20">
        <f>DATE(2025,9,1)</f>
        <v>45901</v>
      </c>
      <c r="C27" s="21">
        <v>67800</v>
      </c>
      <c r="D27" s="21">
        <v>50120</v>
      </c>
      <c r="E27" s="22">
        <f>(+C27-D27)/D27</f>
        <v>0.35275339185953714</v>
      </c>
      <c r="F27" s="21">
        <f>+C27-40027</f>
        <v>27773</v>
      </c>
      <c r="G27" s="21">
        <f>+D27-26015</f>
        <v>24105</v>
      </c>
      <c r="H27" s="22">
        <f>(+F27-G27)/G27</f>
        <v>0.15216760008297034</v>
      </c>
      <c r="I27" s="23">
        <f>K27/C27</f>
        <v>68.181462389380542</v>
      </c>
      <c r="J27" s="23">
        <f>K27/F27</f>
        <v>166.44594210204156</v>
      </c>
      <c r="K27" s="21">
        <v>4622703.1500000004</v>
      </c>
      <c r="L27" s="21">
        <v>3808834.78</v>
      </c>
      <c r="M27" s="24">
        <f>(+K27-L27)/L27</f>
        <v>0.21367909531638982</v>
      </c>
      <c r="N27" s="10"/>
      <c r="R27" s="2"/>
    </row>
    <row r="28" spans="1:18" ht="15.75" customHeight="1" x14ac:dyDescent="0.25">
      <c r="A28" s="19"/>
      <c r="B28" s="20">
        <f>DATE(2025,10,1)</f>
        <v>45931</v>
      </c>
      <c r="C28" s="21">
        <v>70043</v>
      </c>
      <c r="D28" s="21">
        <v>42557</v>
      </c>
      <c r="E28" s="22">
        <f>(+C28-D28)/D28</f>
        <v>0.64586319524402569</v>
      </c>
      <c r="F28" s="21">
        <f>+C28-40944</f>
        <v>29099</v>
      </c>
      <c r="G28" s="21">
        <f>+D28-21743</f>
        <v>20814</v>
      </c>
      <c r="H28" s="22">
        <f>(+F28-G28)/G28</f>
        <v>0.39804938983376575</v>
      </c>
      <c r="I28" s="23">
        <f>K28/C28</f>
        <v>69.614976942735183</v>
      </c>
      <c r="J28" s="23">
        <f>K28/F28</f>
        <v>167.56733324169215</v>
      </c>
      <c r="K28" s="21">
        <v>4876041.83</v>
      </c>
      <c r="L28" s="21">
        <v>3023362.89</v>
      </c>
      <c r="M28" s="24">
        <f>(+K28-L28)/L28</f>
        <v>0.61278748446899134</v>
      </c>
      <c r="N28" s="10"/>
      <c r="R28" s="2"/>
    </row>
    <row r="29" spans="1:18" ht="15.75" customHeight="1" x14ac:dyDescent="0.25">
      <c r="A29" s="19"/>
      <c r="B29" s="20">
        <f>DATE(2025,11,1)</f>
        <v>45962</v>
      </c>
      <c r="C29" s="21">
        <v>71638</v>
      </c>
      <c r="D29" s="21">
        <v>78482</v>
      </c>
      <c r="E29" s="22">
        <f>(+C29-D29)/D29</f>
        <v>-8.7204709360108046E-2</v>
      </c>
      <c r="F29" s="21">
        <f>+C29-42438</f>
        <v>29200</v>
      </c>
      <c r="G29" s="21">
        <f>+D29-44771</f>
        <v>33711</v>
      </c>
      <c r="H29" s="22">
        <f>(+F29-G29)/G29</f>
        <v>-0.13381388864168967</v>
      </c>
      <c r="I29" s="23">
        <f>K29/C29</f>
        <v>69.910493732376679</v>
      </c>
      <c r="J29" s="23">
        <f>K29/F29</f>
        <v>171.51534075342465</v>
      </c>
      <c r="K29" s="21">
        <v>5008247.95</v>
      </c>
      <c r="L29" s="21">
        <v>5253938.45</v>
      </c>
      <c r="M29" s="24">
        <f>(+K29-L29)/L29</f>
        <v>-4.6763109682032913E-2</v>
      </c>
      <c r="N29" s="10"/>
      <c r="R29" s="2"/>
    </row>
    <row r="30" spans="1:18" ht="15.75" customHeight="1" thickBot="1" x14ac:dyDescent="0.25">
      <c r="A30" s="37"/>
      <c r="B30" s="20"/>
      <c r="C30" s="21"/>
      <c r="D30" s="21"/>
      <c r="E30" s="22"/>
      <c r="F30" s="21"/>
      <c r="G30" s="21"/>
      <c r="H30" s="22"/>
      <c r="I30" s="23"/>
      <c r="J30" s="23"/>
      <c r="K30" s="21"/>
      <c r="L30" s="21"/>
      <c r="M30" s="24"/>
      <c r="N30" s="10"/>
      <c r="R30" s="2"/>
    </row>
    <row r="31" spans="1:18" ht="17.25" customHeight="1" thickTop="1" thickBot="1" x14ac:dyDescent="0.3">
      <c r="A31" s="38" t="s">
        <v>14</v>
      </c>
      <c r="B31" s="39"/>
      <c r="C31" s="40">
        <f>SUM(C25:C30)</f>
        <v>359478</v>
      </c>
      <c r="D31" s="40">
        <f>SUM(D25:D30)</f>
        <v>279435</v>
      </c>
      <c r="E31" s="279">
        <f>(+C31-D31)/D31</f>
        <v>0.28644586397552202</v>
      </c>
      <c r="F31" s="40">
        <f>SUM(F25:F30)</f>
        <v>148039</v>
      </c>
      <c r="G31" s="40">
        <f>SUM(G25:G30)</f>
        <v>131171</v>
      </c>
      <c r="H31" s="41">
        <f>(+F31-G31)/G31</f>
        <v>0.1285954974803882</v>
      </c>
      <c r="I31" s="42">
        <f>K31/C31</f>
        <v>69.486542236242556</v>
      </c>
      <c r="J31" s="42">
        <f>K31/F31</f>
        <v>168.73177493768534</v>
      </c>
      <c r="K31" s="40">
        <f>SUM(K25:K30)</f>
        <v>24978883.23</v>
      </c>
      <c r="L31" s="40">
        <f>SUM(L25:L30)</f>
        <v>19878525.739999998</v>
      </c>
      <c r="M31" s="43">
        <f>(+K31-L31)/L31</f>
        <v>0.25657624497459353</v>
      </c>
      <c r="N31" s="10"/>
      <c r="R31" s="2"/>
    </row>
    <row r="32" spans="1:18" ht="15.75" customHeight="1" thickTop="1" x14ac:dyDescent="0.2">
      <c r="A32" s="37"/>
      <c r="B32" s="44"/>
      <c r="C32" s="21"/>
      <c r="D32" s="21"/>
      <c r="E32" s="22"/>
      <c r="F32" s="21"/>
      <c r="G32" s="21"/>
      <c r="H32" s="22"/>
      <c r="I32" s="23"/>
      <c r="J32" s="23"/>
      <c r="K32" s="21"/>
      <c r="L32" s="21"/>
      <c r="M32" s="24"/>
      <c r="N32" s="10"/>
      <c r="R32" s="2"/>
    </row>
    <row r="33" spans="1:18" ht="15.75" customHeight="1" x14ac:dyDescent="0.25">
      <c r="A33" s="176" t="s">
        <v>58</v>
      </c>
      <c r="B33" s="20">
        <f>DATE(2025,7,1)</f>
        <v>45839</v>
      </c>
      <c r="C33" s="21">
        <v>313256</v>
      </c>
      <c r="D33" s="21">
        <v>318097</v>
      </c>
      <c r="E33" s="22">
        <f>(+C33-D33)/D33</f>
        <v>-1.5218628280052941E-2</v>
      </c>
      <c r="F33" s="21">
        <f>+C33-156640</f>
        <v>156616</v>
      </c>
      <c r="G33" s="21">
        <f>+D33-155689</f>
        <v>162408</v>
      </c>
      <c r="H33" s="22">
        <f>(+F33-G33)/G33</f>
        <v>-3.5663267819319243E-2</v>
      </c>
      <c r="I33" s="23">
        <f>K33/C33</f>
        <v>70.419114494215592</v>
      </c>
      <c r="J33" s="23">
        <f>K33/F33</f>
        <v>140.84902008734738</v>
      </c>
      <c r="K33" s="21">
        <v>22059210.129999999</v>
      </c>
      <c r="L33" s="21">
        <v>20559621.309999999</v>
      </c>
      <c r="M33" s="24">
        <f>(+K33-L33)/L33</f>
        <v>7.2938542854902436E-2</v>
      </c>
      <c r="N33" s="10"/>
      <c r="R33" s="2"/>
    </row>
    <row r="34" spans="1:18" ht="15.75" customHeight="1" x14ac:dyDescent="0.25">
      <c r="A34" s="176"/>
      <c r="B34" s="20">
        <f>DATE(2025,8,1)</f>
        <v>45870</v>
      </c>
      <c r="C34" s="21">
        <v>334817</v>
      </c>
      <c r="D34" s="21">
        <v>340265</v>
      </c>
      <c r="E34" s="22">
        <f>(+C34-D34)/D34</f>
        <v>-1.601105021086506E-2</v>
      </c>
      <c r="F34" s="21">
        <f>+C34-170142</f>
        <v>164675</v>
      </c>
      <c r="G34" s="21">
        <f>+D34-163301</f>
        <v>176964</v>
      </c>
      <c r="H34" s="22">
        <f>(+F34-G34)/G34</f>
        <v>-6.9443502633303955E-2</v>
      </c>
      <c r="I34" s="23">
        <f>K34/C34</f>
        <v>70.872690514519874</v>
      </c>
      <c r="J34" s="23">
        <f>K34/F34</f>
        <v>144.09826397449521</v>
      </c>
      <c r="K34" s="21">
        <v>23729381.620000001</v>
      </c>
      <c r="L34" s="21">
        <v>22930250.41</v>
      </c>
      <c r="M34" s="24">
        <f>(+K34-L34)/L34</f>
        <v>3.485052259400951E-2</v>
      </c>
      <c r="N34" s="10"/>
      <c r="R34" s="2"/>
    </row>
    <row r="35" spans="1:18" ht="15.75" customHeight="1" x14ac:dyDescent="0.25">
      <c r="A35" s="176"/>
      <c r="B35" s="20">
        <f>DATE(2025,9,1)</f>
        <v>45901</v>
      </c>
      <c r="C35" s="21">
        <v>295737</v>
      </c>
      <c r="D35" s="21">
        <v>306427</v>
      </c>
      <c r="E35" s="22">
        <f>(+C35-D35)/D35</f>
        <v>-3.4885959788138771E-2</v>
      </c>
      <c r="F35" s="21">
        <f>+C35-155395</f>
        <v>140342</v>
      </c>
      <c r="G35" s="21">
        <f>+D35-149563</f>
        <v>156864</v>
      </c>
      <c r="H35" s="22">
        <f>(+F35-G35)/G35</f>
        <v>-0.10532690738474092</v>
      </c>
      <c r="I35" s="23">
        <f>K35/C35</f>
        <v>71.137868477735282</v>
      </c>
      <c r="J35" s="23">
        <f>K35/F35</f>
        <v>149.9059426971256</v>
      </c>
      <c r="K35" s="21">
        <v>21038099.809999999</v>
      </c>
      <c r="L35" s="21">
        <f>20248455.39+180818.97</f>
        <v>20429274.359999999</v>
      </c>
      <c r="M35" s="24">
        <f>(+K35-L35)/L35</f>
        <v>2.9801618954810458E-2</v>
      </c>
      <c r="N35" s="10"/>
      <c r="R35" s="2"/>
    </row>
    <row r="36" spans="1:18" ht="15.75" customHeight="1" x14ac:dyDescent="0.25">
      <c r="A36" s="176"/>
      <c r="B36" s="20">
        <f>DATE(2025,10,1)</f>
        <v>45931</v>
      </c>
      <c r="C36" s="21">
        <v>308251</v>
      </c>
      <c r="D36" s="21">
        <v>285141</v>
      </c>
      <c r="E36" s="22">
        <f>(+C36-D36)/D36</f>
        <v>8.1047622053650653E-2</v>
      </c>
      <c r="F36" s="21">
        <f>+C36-162296</f>
        <v>145955</v>
      </c>
      <c r="G36" s="21">
        <f>+D36-140161</f>
        <v>144980</v>
      </c>
      <c r="H36" s="22">
        <f>(+F36-G36)/G36</f>
        <v>6.7250655262794867E-3</v>
      </c>
      <c r="I36" s="23">
        <f>K36/C36</f>
        <v>74.708120395392072</v>
      </c>
      <c r="J36" s="23">
        <f>K36/F36</f>
        <v>157.78049960604295</v>
      </c>
      <c r="K36" s="21">
        <v>23028852.82</v>
      </c>
      <c r="L36" s="21">
        <f>21581148.8-180818.97</f>
        <v>21400329.830000002</v>
      </c>
      <c r="M36" s="24">
        <f>(+K36-L36)/L36</f>
        <v>7.609803227037451E-2</v>
      </c>
      <c r="N36" s="10"/>
      <c r="R36" s="2"/>
    </row>
    <row r="37" spans="1:18" ht="15.75" customHeight="1" x14ac:dyDescent="0.25">
      <c r="A37" s="176"/>
      <c r="B37" s="20">
        <f>DATE(2025,11,1)</f>
        <v>45962</v>
      </c>
      <c r="C37" s="21">
        <v>298694</v>
      </c>
      <c r="D37" s="21">
        <v>289423</v>
      </c>
      <c r="E37" s="22">
        <f>(+C37-D37)/D37</f>
        <v>3.2032699543574628E-2</v>
      </c>
      <c r="F37" s="21">
        <f>+C37-161448</f>
        <v>137246</v>
      </c>
      <c r="G37" s="21">
        <f>+D37-144427</f>
        <v>144996</v>
      </c>
      <c r="H37" s="22">
        <f>(+F37-G37)/G37</f>
        <v>-5.3449750337940354E-2</v>
      </c>
      <c r="I37" s="23">
        <f>K37/C37</f>
        <v>70.113389622824698</v>
      </c>
      <c r="J37" s="23">
        <f>K37/F37</f>
        <v>152.59059499001793</v>
      </c>
      <c r="K37" s="21">
        <v>20942448.800000001</v>
      </c>
      <c r="L37" s="21">
        <v>19374975.079999998</v>
      </c>
      <c r="M37" s="24">
        <f>(+K37-L37)/L37</f>
        <v>8.0901973474951316E-2</v>
      </c>
      <c r="N37" s="10"/>
      <c r="R37" s="2"/>
    </row>
    <row r="38" spans="1:18" ht="15.75" thickBot="1" x14ac:dyDescent="0.25">
      <c r="A38" s="37"/>
      <c r="B38" s="44"/>
      <c r="C38" s="21"/>
      <c r="D38" s="21"/>
      <c r="E38" s="22"/>
      <c r="F38" s="21"/>
      <c r="G38" s="21"/>
      <c r="H38" s="22"/>
      <c r="I38" s="23"/>
      <c r="J38" s="23"/>
      <c r="K38" s="21"/>
      <c r="L38" s="21"/>
      <c r="M38" s="24"/>
      <c r="N38" s="10"/>
      <c r="R38" s="2"/>
    </row>
    <row r="39" spans="1:18" ht="17.25" thickTop="1" thickBot="1" x14ac:dyDescent="0.3">
      <c r="A39" s="38" t="s">
        <v>14</v>
      </c>
      <c r="B39" s="39"/>
      <c r="C39" s="40">
        <f>SUM(C33:C38)</f>
        <v>1550755</v>
      </c>
      <c r="D39" s="40">
        <f>SUM(D33:D38)</f>
        <v>1539353</v>
      </c>
      <c r="E39" s="279">
        <f>(+C39-D39)/D39</f>
        <v>7.4070080092090637E-3</v>
      </c>
      <c r="F39" s="40">
        <f>SUM(F33:F38)</f>
        <v>744834</v>
      </c>
      <c r="G39" s="40">
        <f>SUM(G33:G38)</f>
        <v>786212</v>
      </c>
      <c r="H39" s="41">
        <f>(+F39-G39)/G39</f>
        <v>-5.262957065015543E-2</v>
      </c>
      <c r="I39" s="42">
        <f>K39/C39</f>
        <v>71.447774264793594</v>
      </c>
      <c r="J39" s="42">
        <f>K39/F39</f>
        <v>148.75528396931395</v>
      </c>
      <c r="K39" s="40">
        <f>SUM(K33:K38)</f>
        <v>110797993.17999999</v>
      </c>
      <c r="L39" s="40">
        <f>SUM(L33:L38)</f>
        <v>104694450.98999999</v>
      </c>
      <c r="M39" s="43">
        <f>(+K39-L39)/L39</f>
        <v>5.8298621677504034E-2</v>
      </c>
      <c r="N39" s="10"/>
      <c r="R39" s="2"/>
    </row>
    <row r="40" spans="1:18" ht="15.75" thickTop="1" x14ac:dyDescent="0.2">
      <c r="A40" s="37"/>
      <c r="B40" s="44"/>
      <c r="C40" s="21"/>
      <c r="D40" s="21"/>
      <c r="E40" s="22"/>
      <c r="F40" s="21"/>
      <c r="G40" s="21"/>
      <c r="H40" s="22"/>
      <c r="I40" s="23"/>
      <c r="J40" s="23"/>
      <c r="K40" s="21"/>
      <c r="L40" s="21"/>
      <c r="M40" s="24"/>
      <c r="N40" s="10"/>
      <c r="R40" s="2"/>
    </row>
    <row r="41" spans="1:18" ht="15.75" x14ac:dyDescent="0.25">
      <c r="A41" s="19" t="s">
        <v>60</v>
      </c>
      <c r="B41" s="20">
        <f>DATE(2025,7,1)</f>
        <v>45839</v>
      </c>
      <c r="C41" s="21">
        <v>189028</v>
      </c>
      <c r="D41" s="21">
        <v>164838</v>
      </c>
      <c r="E41" s="22">
        <f>(+C41-D41)/D41</f>
        <v>0.14675014256421456</v>
      </c>
      <c r="F41" s="21">
        <f>+C41-89606</f>
        <v>99422</v>
      </c>
      <c r="G41" s="21">
        <f>+D41-73814</f>
        <v>91024</v>
      </c>
      <c r="H41" s="22">
        <f>(+F41-G41)/G41</f>
        <v>9.2261381613640364E-2</v>
      </c>
      <c r="I41" s="23">
        <f>K41/C41</f>
        <v>76.743073089700999</v>
      </c>
      <c r="J41" s="23">
        <f>K41/F41</f>
        <v>145.90925167467964</v>
      </c>
      <c r="K41" s="21">
        <v>14506589.619999999</v>
      </c>
      <c r="L41" s="21">
        <v>12724515.279999999</v>
      </c>
      <c r="M41" s="24">
        <f>(+K41-L41)/L41</f>
        <v>0.14005046956884945</v>
      </c>
      <c r="N41" s="10"/>
      <c r="R41" s="2"/>
    </row>
    <row r="42" spans="1:18" ht="15.75" x14ac:dyDescent="0.25">
      <c r="A42" s="19"/>
      <c r="B42" s="20">
        <f>DATE(2025,8,1)</f>
        <v>45870</v>
      </c>
      <c r="C42" s="21">
        <v>194053</v>
      </c>
      <c r="D42" s="21">
        <v>175348</v>
      </c>
      <c r="E42" s="22">
        <f>(+C42-D42)/D42</f>
        <v>0.1066735862399343</v>
      </c>
      <c r="F42" s="21">
        <f>+C42-90254</f>
        <v>103799</v>
      </c>
      <c r="G42" s="21">
        <f>+D42-80823</f>
        <v>94525</v>
      </c>
      <c r="H42" s="22">
        <f>(+F42-G42)/G42</f>
        <v>9.8111610685003972E-2</v>
      </c>
      <c r="I42" s="23">
        <f>K42/C42</f>
        <v>83.202486691780081</v>
      </c>
      <c r="J42" s="23">
        <f>K42/F42</f>
        <v>155.54766568078691</v>
      </c>
      <c r="K42" s="21">
        <v>16145692.15</v>
      </c>
      <c r="L42" s="21">
        <v>13808966.68</v>
      </c>
      <c r="M42" s="24">
        <f>(+K42-L42)/L42</f>
        <v>0.16921798163104851</v>
      </c>
      <c r="N42" s="10"/>
      <c r="R42" s="2"/>
    </row>
    <row r="43" spans="1:18" ht="15.75" x14ac:dyDescent="0.25">
      <c r="A43" s="19"/>
      <c r="B43" s="20">
        <f>DATE(2025,9,1)</f>
        <v>45901</v>
      </c>
      <c r="C43" s="21">
        <v>174429</v>
      </c>
      <c r="D43" s="21">
        <v>160883</v>
      </c>
      <c r="E43" s="22">
        <f>(+C43-D43)/D43</f>
        <v>8.4197833207983436E-2</v>
      </c>
      <c r="F43" s="21">
        <f>+C43-83114</f>
        <v>91315</v>
      </c>
      <c r="G43" s="21">
        <f>+D43-72644</f>
        <v>88239</v>
      </c>
      <c r="H43" s="22">
        <f>(+F43-G43)/G43</f>
        <v>3.4859869218826139E-2</v>
      </c>
      <c r="I43" s="23">
        <f>K43/C43</f>
        <v>86.026088838438568</v>
      </c>
      <c r="J43" s="23">
        <f>K43/F43</f>
        <v>164.32617477960906</v>
      </c>
      <c r="K43" s="21">
        <v>15005444.65</v>
      </c>
      <c r="L43" s="21">
        <v>12533263.369999999</v>
      </c>
      <c r="M43" s="24">
        <f>(+K43-L43)/L43</f>
        <v>0.19724960746596051</v>
      </c>
      <c r="N43" s="10"/>
      <c r="R43" s="2"/>
    </row>
    <row r="44" spans="1:18" ht="15.75" x14ac:dyDescent="0.25">
      <c r="A44" s="19"/>
      <c r="B44" s="20">
        <f>DATE(2025,10,1)</f>
        <v>45931</v>
      </c>
      <c r="C44" s="21">
        <v>181056</v>
      </c>
      <c r="D44" s="21">
        <v>173754</v>
      </c>
      <c r="E44" s="22">
        <f>(+C44-D44)/D44</f>
        <v>4.202493180013122E-2</v>
      </c>
      <c r="F44" s="21">
        <f>+C44-85844</f>
        <v>95212</v>
      </c>
      <c r="G44" s="21">
        <f>+D44-80828</f>
        <v>92926</v>
      </c>
      <c r="H44" s="22">
        <f>(+F44-G44)/G44</f>
        <v>2.4600219529518109E-2</v>
      </c>
      <c r="I44" s="23">
        <f>K44/C44</f>
        <v>76.66527858784022</v>
      </c>
      <c r="J44" s="23">
        <f>K44/F44</f>
        <v>145.78738688400622</v>
      </c>
      <c r="K44" s="21">
        <v>13880708.68</v>
      </c>
      <c r="L44" s="21">
        <v>13312238.460000001</v>
      </c>
      <c r="M44" s="24">
        <f>(+K44-L44)/L44</f>
        <v>4.2702827304972928E-2</v>
      </c>
      <c r="N44" s="10"/>
      <c r="R44" s="2"/>
    </row>
    <row r="45" spans="1:18" ht="15.75" x14ac:dyDescent="0.25">
      <c r="A45" s="19"/>
      <c r="B45" s="20">
        <f>DATE(2025,11,1)</f>
        <v>45962</v>
      </c>
      <c r="C45" s="21">
        <v>177694</v>
      </c>
      <c r="D45" s="21">
        <v>170154</v>
      </c>
      <c r="E45" s="22">
        <f>(+C45-D45)/D45</f>
        <v>4.4312798993852626E-2</v>
      </c>
      <c r="F45" s="21">
        <f>+C45-86343</f>
        <v>91351</v>
      </c>
      <c r="G45" s="21">
        <f>+D45-77441</f>
        <v>92713</v>
      </c>
      <c r="H45" s="22">
        <f>(+F45-G45)/G45</f>
        <v>-1.4690496478379516E-2</v>
      </c>
      <c r="I45" s="23">
        <f>K45/C45</f>
        <v>77.862690299053426</v>
      </c>
      <c r="J45" s="23">
        <f>K45/F45</f>
        <v>151.45683013869581</v>
      </c>
      <c r="K45" s="21">
        <v>13835732.890000001</v>
      </c>
      <c r="L45" s="21">
        <v>13348990.84</v>
      </c>
      <c r="M45" s="24">
        <f>(+K45-L45)/L45</f>
        <v>3.6462834968879247E-2</v>
      </c>
      <c r="N45" s="10"/>
      <c r="R45" s="2"/>
    </row>
    <row r="46" spans="1:18" ht="15.75" thickBot="1" x14ac:dyDescent="0.25">
      <c r="A46" s="37"/>
      <c r="B46" s="20"/>
      <c r="C46" s="21"/>
      <c r="D46" s="21"/>
      <c r="E46" s="22"/>
      <c r="F46" s="21"/>
      <c r="G46" s="21"/>
      <c r="H46" s="22"/>
      <c r="I46" s="23"/>
      <c r="J46" s="23"/>
      <c r="K46" s="21"/>
      <c r="L46" s="21"/>
      <c r="M46" s="24"/>
      <c r="N46" s="10"/>
      <c r="R46" s="2"/>
    </row>
    <row r="47" spans="1:18" ht="17.25" thickTop="1" thickBot="1" x14ac:dyDescent="0.3">
      <c r="A47" s="38" t="s">
        <v>14</v>
      </c>
      <c r="B47" s="39"/>
      <c r="C47" s="40">
        <f>SUM(C41:C46)</f>
        <v>916260</v>
      </c>
      <c r="D47" s="40">
        <f>SUM(D41:D46)</f>
        <v>844977</v>
      </c>
      <c r="E47" s="280">
        <f>(+C47-D47)/D47</f>
        <v>8.436087609485228E-2</v>
      </c>
      <c r="F47" s="46">
        <f>SUM(F41:F46)</f>
        <v>481099</v>
      </c>
      <c r="G47" s="47">
        <f>SUM(G41:G46)</f>
        <v>459427</v>
      </c>
      <c r="H47" s="48">
        <f>(+F47-G47)/G47</f>
        <v>4.7171803137386351E-2</v>
      </c>
      <c r="I47" s="49">
        <f>K47/C47</f>
        <v>80.080073330714001</v>
      </c>
      <c r="J47" s="50">
        <f>K47/F47</f>
        <v>152.51365725141812</v>
      </c>
      <c r="K47" s="47">
        <f>SUM(K41:K46)</f>
        <v>73374167.99000001</v>
      </c>
      <c r="L47" s="46">
        <f>SUM(L41:L46)</f>
        <v>65727974.629999995</v>
      </c>
      <c r="M47" s="43">
        <f>(+K47-L47)/L47</f>
        <v>0.11633088350953215</v>
      </c>
      <c r="N47" s="10"/>
      <c r="R47" s="2"/>
    </row>
    <row r="48" spans="1:18" ht="15.75" customHeight="1" thickTop="1" x14ac:dyDescent="0.25">
      <c r="A48" s="272"/>
      <c r="B48" s="44"/>
      <c r="C48" s="21"/>
      <c r="D48" s="21"/>
      <c r="E48" s="22"/>
      <c r="F48" s="21"/>
      <c r="G48" s="21"/>
      <c r="H48" s="22"/>
      <c r="I48" s="23"/>
      <c r="J48" s="23"/>
      <c r="K48" s="21"/>
      <c r="L48" s="21"/>
      <c r="M48" s="24"/>
      <c r="N48" s="10"/>
      <c r="R48" s="2"/>
    </row>
    <row r="49" spans="1:18" ht="15.75" x14ac:dyDescent="0.25">
      <c r="A49" s="273" t="s">
        <v>61</v>
      </c>
      <c r="B49" s="20">
        <f>DATE(2025,7,1)</f>
        <v>45839</v>
      </c>
      <c r="C49" s="21">
        <v>94878</v>
      </c>
      <c r="D49" s="21">
        <v>92648</v>
      </c>
      <c r="E49" s="22">
        <f>(+C49-D49)/D49</f>
        <v>2.4069596753302825E-2</v>
      </c>
      <c r="F49" s="21">
        <f>+C49-48029</f>
        <v>46849</v>
      </c>
      <c r="G49" s="21">
        <f>+D49-46627</f>
        <v>46021</v>
      </c>
      <c r="H49" s="22">
        <f>(+F49-G49)/G49</f>
        <v>1.7991786358401599E-2</v>
      </c>
      <c r="I49" s="23">
        <f>K49/C49</f>
        <v>61.843469613609052</v>
      </c>
      <c r="J49" s="23">
        <f>K49/F49</f>
        <v>125.24460949006382</v>
      </c>
      <c r="K49" s="21">
        <v>5867584.71</v>
      </c>
      <c r="L49" s="21">
        <v>5846003.7300000004</v>
      </c>
      <c r="M49" s="24">
        <f>(+K49-L49)/L49</f>
        <v>3.6915782125235687E-3</v>
      </c>
      <c r="N49" s="10"/>
      <c r="R49" s="2"/>
    </row>
    <row r="50" spans="1:18" ht="15.75" x14ac:dyDescent="0.25">
      <c r="A50" s="273"/>
      <c r="B50" s="20">
        <f>DATE(2025,8,1)</f>
        <v>45870</v>
      </c>
      <c r="C50" s="21">
        <v>97250</v>
      </c>
      <c r="D50" s="21">
        <v>95306</v>
      </c>
      <c r="E50" s="22">
        <f>(+C50-D50)/D50</f>
        <v>2.039745661343462E-2</v>
      </c>
      <c r="F50" s="21">
        <f>+C50-49642</f>
        <v>47608</v>
      </c>
      <c r="G50" s="21">
        <f>+D50-47322</f>
        <v>47984</v>
      </c>
      <c r="H50" s="22">
        <f>(+F50-G50)/G50</f>
        <v>-7.8359453151050345E-3</v>
      </c>
      <c r="I50" s="23">
        <f>K50/C50</f>
        <v>62.609686169665814</v>
      </c>
      <c r="J50" s="23">
        <f>K50/F50</f>
        <v>127.89430305830953</v>
      </c>
      <c r="K50" s="21">
        <v>6088791.9800000004</v>
      </c>
      <c r="L50" s="21">
        <v>6105616.8799999999</v>
      </c>
      <c r="M50" s="24">
        <f>(+K50-L50)/L50</f>
        <v>-2.7556429318571071E-3</v>
      </c>
      <c r="N50" s="10"/>
      <c r="R50" s="2"/>
    </row>
    <row r="51" spans="1:18" ht="15.75" x14ac:dyDescent="0.25">
      <c r="A51" s="273"/>
      <c r="B51" s="20">
        <f>DATE(2025,9,1)</f>
        <v>45901</v>
      </c>
      <c r="C51" s="21">
        <v>89768</v>
      </c>
      <c r="D51" s="21">
        <v>91616</v>
      </c>
      <c r="E51" s="22">
        <f>(+C51-D51)/D51</f>
        <v>-2.0171149144254278E-2</v>
      </c>
      <c r="F51" s="21">
        <f>+C51-44178</f>
        <v>45590</v>
      </c>
      <c r="G51" s="21">
        <f>+D51-47055</f>
        <v>44561</v>
      </c>
      <c r="H51" s="22">
        <f>(+F51-G51)/G51</f>
        <v>2.3091941383721191E-2</v>
      </c>
      <c r="I51" s="23">
        <f>K51/C51</f>
        <v>62.32700717404866</v>
      </c>
      <c r="J51" s="23">
        <f>K51/F51</f>
        <v>122.72364071068218</v>
      </c>
      <c r="K51" s="21">
        <v>5594970.7800000003</v>
      </c>
      <c r="L51" s="21">
        <v>5893817.8799999999</v>
      </c>
      <c r="M51" s="24">
        <f>(+K51-L51)/L51</f>
        <v>-5.0705180595094948E-2</v>
      </c>
      <c r="N51" s="10"/>
      <c r="R51" s="2"/>
    </row>
    <row r="52" spans="1:18" ht="15.75" x14ac:dyDescent="0.25">
      <c r="A52" s="273"/>
      <c r="B52" s="20">
        <f>DATE(2025,10,1)</f>
        <v>45931</v>
      </c>
      <c r="C52" s="21">
        <v>86661</v>
      </c>
      <c r="D52" s="21">
        <v>87502</v>
      </c>
      <c r="E52" s="22">
        <f>(+C52-D52)/D52</f>
        <v>-9.6112088866540189E-3</v>
      </c>
      <c r="F52" s="21">
        <f>+C52-42878</f>
        <v>43783</v>
      </c>
      <c r="G52" s="21">
        <f>+D52-43980</f>
        <v>43522</v>
      </c>
      <c r="H52" s="22">
        <f>(+F52-G52)/G52</f>
        <v>5.9969670511465468E-3</v>
      </c>
      <c r="I52" s="23">
        <f>K52/C52</f>
        <v>61.934212275418005</v>
      </c>
      <c r="J52" s="23">
        <f>K52/F52</f>
        <v>122.58823675855925</v>
      </c>
      <c r="K52" s="21">
        <v>5367280.7699999996</v>
      </c>
      <c r="L52" s="21">
        <v>5684741.7699999996</v>
      </c>
      <c r="M52" s="24">
        <f>(+K52-L52)/L52</f>
        <v>-5.584440117849012E-2</v>
      </c>
      <c r="N52" s="10"/>
      <c r="R52" s="2"/>
    </row>
    <row r="53" spans="1:18" ht="15.75" x14ac:dyDescent="0.25">
      <c r="A53" s="273"/>
      <c r="B53" s="20">
        <f>DATE(2025,11,1)</f>
        <v>45962</v>
      </c>
      <c r="C53" s="21">
        <v>91740</v>
      </c>
      <c r="D53" s="21">
        <v>90838</v>
      </c>
      <c r="E53" s="22">
        <f>(+C53-D53)/D53</f>
        <v>9.9297650762896587E-3</v>
      </c>
      <c r="F53" s="21">
        <f>+C53-46432</f>
        <v>45308</v>
      </c>
      <c r="G53" s="21">
        <f>+D53-45664</f>
        <v>45174</v>
      </c>
      <c r="H53" s="22">
        <f>(+F53-G53)/G53</f>
        <v>2.9663080533049984E-3</v>
      </c>
      <c r="I53" s="23">
        <f>K53/C53</f>
        <v>63.801842380640934</v>
      </c>
      <c r="J53" s="23">
        <f>K53/F53</f>
        <v>129.18647965039287</v>
      </c>
      <c r="K53" s="21">
        <v>5853181.0199999996</v>
      </c>
      <c r="L53" s="21">
        <v>6221115.5499999998</v>
      </c>
      <c r="M53" s="24">
        <f>(+K53-L53)/L53</f>
        <v>-5.9142854210447876E-2</v>
      </c>
      <c r="N53" s="10"/>
      <c r="R53" s="2"/>
    </row>
    <row r="54" spans="1:18" ht="15.75" customHeight="1" thickBot="1" x14ac:dyDescent="0.3">
      <c r="A54" s="19"/>
      <c r="B54" s="20"/>
      <c r="C54" s="21"/>
      <c r="D54" s="21"/>
      <c r="E54" s="22"/>
      <c r="F54" s="21"/>
      <c r="G54" s="21"/>
      <c r="H54" s="22"/>
      <c r="I54" s="23"/>
      <c r="J54" s="23"/>
      <c r="K54" s="21"/>
      <c r="L54" s="21"/>
      <c r="M54" s="24"/>
      <c r="N54" s="10"/>
      <c r="R54" s="2"/>
    </row>
    <row r="55" spans="1:18" ht="17.45" customHeight="1" thickTop="1" thickBot="1" x14ac:dyDescent="0.3">
      <c r="A55" s="38" t="s">
        <v>14</v>
      </c>
      <c r="B55" s="51"/>
      <c r="C55" s="46">
        <f>SUM(C49:C54)</f>
        <v>460297</v>
      </c>
      <c r="D55" s="47">
        <f>SUM(D49:D54)</f>
        <v>457910</v>
      </c>
      <c r="E55" s="280">
        <f>(+C55-D55)/D55</f>
        <v>5.2128147452556181E-3</v>
      </c>
      <c r="F55" s="47">
        <f>SUM(F49:F54)</f>
        <v>229138</v>
      </c>
      <c r="G55" s="46">
        <f>SUM(G49:G54)</f>
        <v>227262</v>
      </c>
      <c r="H55" s="45">
        <f>(+F55-G55)/G55</f>
        <v>8.2547896260703503E-3</v>
      </c>
      <c r="I55" s="50">
        <f>K55/C55</f>
        <v>62.507053619728133</v>
      </c>
      <c r="J55" s="49">
        <f>K55/F55</f>
        <v>125.56542022711206</v>
      </c>
      <c r="K55" s="46">
        <f>SUM(K49:K54)</f>
        <v>28771809.260000002</v>
      </c>
      <c r="L55" s="47">
        <f>SUM(L49:L54)</f>
        <v>29751295.809999999</v>
      </c>
      <c r="M55" s="43">
        <f>(+K55-L55)/L55</f>
        <v>-3.2922483654334554E-2</v>
      </c>
      <c r="N55" s="10"/>
      <c r="R55" s="2"/>
    </row>
    <row r="56" spans="1:18" ht="15.75" customHeight="1" thickTop="1" x14ac:dyDescent="0.25">
      <c r="A56" s="19"/>
      <c r="B56" s="44"/>
      <c r="C56" s="21"/>
      <c r="D56" s="21"/>
      <c r="E56" s="22"/>
      <c r="F56" s="21"/>
      <c r="G56" s="21"/>
      <c r="H56" s="22"/>
      <c r="I56" s="23"/>
      <c r="J56" s="23"/>
      <c r="K56" s="21"/>
      <c r="L56" s="21"/>
      <c r="M56" s="24"/>
      <c r="N56" s="10"/>
      <c r="R56" s="2"/>
    </row>
    <row r="57" spans="1:18" ht="15.75" x14ac:dyDescent="0.25">
      <c r="A57" s="19" t="s">
        <v>67</v>
      </c>
      <c r="B57" s="20">
        <f>DATE(2025,7,1)</f>
        <v>45839</v>
      </c>
      <c r="C57" s="21">
        <v>204452</v>
      </c>
      <c r="D57" s="21">
        <v>257776</v>
      </c>
      <c r="E57" s="22">
        <f>(+C57-D57)/D57</f>
        <v>-0.20686177146049284</v>
      </c>
      <c r="F57" s="21">
        <f>+C57-91736</f>
        <v>112716</v>
      </c>
      <c r="G57" s="21">
        <f>+D57-114796</f>
        <v>142980</v>
      </c>
      <c r="H57" s="22">
        <f>(+F57-G57)/G57</f>
        <v>-0.2116659672681494</v>
      </c>
      <c r="I57" s="23">
        <f>K57/C57</f>
        <v>54.137227124214974</v>
      </c>
      <c r="J57" s="23">
        <f>K57/F57</f>
        <v>98.197810071329712</v>
      </c>
      <c r="K57" s="21">
        <v>11068464.359999999</v>
      </c>
      <c r="L57" s="21">
        <v>11751251.060000001</v>
      </c>
      <c r="M57" s="24">
        <f>(+K57-L57)/L57</f>
        <v>-5.8103319937068985E-2</v>
      </c>
      <c r="N57" s="10"/>
      <c r="R57" s="2"/>
    </row>
    <row r="58" spans="1:18" ht="15.75" x14ac:dyDescent="0.25">
      <c r="A58" s="19"/>
      <c r="B58" s="20">
        <f>DATE(2025,8,1)</f>
        <v>45870</v>
      </c>
      <c r="C58" s="21">
        <v>206623</v>
      </c>
      <c r="D58" s="21">
        <v>262210</v>
      </c>
      <c r="E58" s="22">
        <f>(+C58-D58)/D58</f>
        <v>-0.21199420311963693</v>
      </c>
      <c r="F58" s="21">
        <f>+C58-94997</f>
        <v>111626</v>
      </c>
      <c r="G58" s="21">
        <f>+D58-116032</f>
        <v>146178</v>
      </c>
      <c r="H58" s="22">
        <f>(+F58-G58)/G58</f>
        <v>-0.23636935790611446</v>
      </c>
      <c r="I58" s="23">
        <f>K58/C58</f>
        <v>54.642807383495544</v>
      </c>
      <c r="J58" s="23">
        <f>K58/F58</f>
        <v>101.14543914500206</v>
      </c>
      <c r="K58" s="21">
        <v>11290460.789999999</v>
      </c>
      <c r="L58" s="21">
        <v>11860379.300000001</v>
      </c>
      <c r="M58" s="24">
        <f>(+K58-L58)/L58</f>
        <v>-4.8052300485870766E-2</v>
      </c>
      <c r="N58" s="10"/>
      <c r="R58" s="2"/>
    </row>
    <row r="59" spans="1:18" ht="15.75" x14ac:dyDescent="0.25">
      <c r="A59" s="19"/>
      <c r="B59" s="20">
        <f>DATE(2025,9,1)</f>
        <v>45901</v>
      </c>
      <c r="C59" s="21">
        <v>194883</v>
      </c>
      <c r="D59" s="21">
        <v>241213</v>
      </c>
      <c r="E59" s="22">
        <f>(+C59-D59)/D59</f>
        <v>-0.19207090828437937</v>
      </c>
      <c r="F59" s="21">
        <f>+C59-89384</f>
        <v>105499</v>
      </c>
      <c r="G59" s="21">
        <f>+D59-107281</f>
        <v>133932</v>
      </c>
      <c r="H59" s="22">
        <f>(+F59-G59)/G59</f>
        <v>-0.21229429859928919</v>
      </c>
      <c r="I59" s="23">
        <f>K59/C59</f>
        <v>52.214070237014006</v>
      </c>
      <c r="J59" s="23">
        <f>K59/F59</f>
        <v>96.452427511161247</v>
      </c>
      <c r="K59" s="21">
        <v>10175634.65</v>
      </c>
      <c r="L59" s="21">
        <v>11084672.869999999</v>
      </c>
      <c r="M59" s="24">
        <f>(+K59-L59)/L59</f>
        <v>-8.2008574421736535E-2</v>
      </c>
      <c r="N59" s="10"/>
      <c r="R59" s="2"/>
    </row>
    <row r="60" spans="1:18" ht="15.75" x14ac:dyDescent="0.25">
      <c r="A60" s="19"/>
      <c r="B60" s="20">
        <f>DATE(2025,10,1)</f>
        <v>45931</v>
      </c>
      <c r="C60" s="21">
        <v>224688</v>
      </c>
      <c r="D60" s="21">
        <v>231557</v>
      </c>
      <c r="E60" s="22">
        <f>(+C60-D60)/D60</f>
        <v>-2.9664402285398413E-2</v>
      </c>
      <c r="F60" s="21">
        <f>+C60-109723</f>
        <v>114965</v>
      </c>
      <c r="G60" s="21">
        <f>+D60-99889</f>
        <v>131668</v>
      </c>
      <c r="H60" s="22">
        <f>(+F60-G60)/G60</f>
        <v>-0.12685694322082813</v>
      </c>
      <c r="I60" s="23">
        <f>K60/C60</f>
        <v>52.205345011749628</v>
      </c>
      <c r="J60" s="23">
        <f>K60/F60</f>
        <v>102.03030974644457</v>
      </c>
      <c r="K60" s="21">
        <v>11729914.560000001</v>
      </c>
      <c r="L60" s="21">
        <v>11878281.369999999</v>
      </c>
      <c r="M60" s="24">
        <f>(+K60-L60)/L60</f>
        <v>-1.249059568286676E-2</v>
      </c>
      <c r="N60" s="10"/>
      <c r="R60" s="2"/>
    </row>
    <row r="61" spans="1:18" ht="15.75" x14ac:dyDescent="0.25">
      <c r="A61" s="19"/>
      <c r="B61" s="20">
        <f>DATE(2025,11,1)</f>
        <v>45962</v>
      </c>
      <c r="C61" s="21">
        <v>209419</v>
      </c>
      <c r="D61" s="21">
        <v>205210</v>
      </c>
      <c r="E61" s="22">
        <f>(+C61-D61)/D61</f>
        <v>2.0510696359826518E-2</v>
      </c>
      <c r="F61" s="21">
        <f>+C61-100027</f>
        <v>109392</v>
      </c>
      <c r="G61" s="21">
        <f>+D61-93004</f>
        <v>112206</v>
      </c>
      <c r="H61" s="22">
        <f>(+F61-G61)/G61</f>
        <v>-2.5078872787551467E-2</v>
      </c>
      <c r="I61" s="23">
        <f>K61/C61</f>
        <v>50.749821219660113</v>
      </c>
      <c r="J61" s="23">
        <f>K61/F61</f>
        <v>97.154973032762911</v>
      </c>
      <c r="K61" s="21">
        <v>10627976.810000001</v>
      </c>
      <c r="L61" s="21">
        <v>10272183.310000001</v>
      </c>
      <c r="M61" s="24">
        <f>(+K61-L61)/L61</f>
        <v>3.463659956823726E-2</v>
      </c>
      <c r="N61" s="10"/>
      <c r="R61" s="2"/>
    </row>
    <row r="62" spans="1:18" ht="15.75" customHeight="1" thickBot="1" x14ac:dyDescent="0.3">
      <c r="A62" s="19"/>
      <c r="B62" s="44"/>
      <c r="C62" s="21"/>
      <c r="D62" s="21"/>
      <c r="E62" s="22"/>
      <c r="F62" s="21"/>
      <c r="G62" s="21"/>
      <c r="H62" s="22"/>
      <c r="I62" s="23"/>
      <c r="J62" s="23"/>
      <c r="K62" s="21"/>
      <c r="L62" s="21"/>
      <c r="M62" s="24"/>
      <c r="N62" s="10"/>
      <c r="R62" s="2"/>
    </row>
    <row r="63" spans="1:18" ht="17.45" customHeight="1" thickTop="1" thickBot="1" x14ac:dyDescent="0.3">
      <c r="A63" s="38" t="s">
        <v>14</v>
      </c>
      <c r="B63" s="51"/>
      <c r="C63" s="46">
        <f>SUM(C57:C62)</f>
        <v>1040065</v>
      </c>
      <c r="D63" s="47">
        <f>SUM(D57:D62)</f>
        <v>1197966</v>
      </c>
      <c r="E63" s="280">
        <f>(+C63-D63)/D63</f>
        <v>-0.13180758051564068</v>
      </c>
      <c r="F63" s="47">
        <f>SUM(F57:F62)</f>
        <v>554198</v>
      </c>
      <c r="G63" s="46">
        <f>SUM(G57:G62)</f>
        <v>666964</v>
      </c>
      <c r="H63" s="52">
        <f>(+F63-G63)/G63</f>
        <v>-0.16907359317744286</v>
      </c>
      <c r="I63" s="50">
        <f>K63/C63</f>
        <v>52.77790442905011</v>
      </c>
      <c r="J63" s="49">
        <f>K63/F63</f>
        <v>99.048446890822419</v>
      </c>
      <c r="K63" s="46">
        <f>SUM(K57:K62)</f>
        <v>54892451.170000002</v>
      </c>
      <c r="L63" s="47">
        <f>SUM(L57:L62)</f>
        <v>56846767.909999996</v>
      </c>
      <c r="M63" s="43">
        <f>(+K63-L63)/L63</f>
        <v>-3.437867818789761E-2</v>
      </c>
      <c r="N63" s="10"/>
      <c r="R63" s="2"/>
    </row>
    <row r="64" spans="1:18" ht="15.75" customHeight="1" thickTop="1" x14ac:dyDescent="0.25">
      <c r="A64" s="19"/>
      <c r="B64" s="44"/>
      <c r="C64" s="21"/>
      <c r="D64" s="21"/>
      <c r="E64" s="22"/>
      <c r="F64" s="21"/>
      <c r="G64" s="21"/>
      <c r="H64" s="22"/>
      <c r="I64" s="23"/>
      <c r="J64" s="23"/>
      <c r="K64" s="21"/>
      <c r="L64" s="21"/>
      <c r="M64" s="24"/>
      <c r="N64" s="10"/>
      <c r="R64" s="2"/>
    </row>
    <row r="65" spans="1:18" ht="15.75" customHeight="1" x14ac:dyDescent="0.25">
      <c r="A65" s="19" t="s">
        <v>69</v>
      </c>
      <c r="B65" s="20">
        <f>DATE(2025,7,1)</f>
        <v>45839</v>
      </c>
      <c r="C65" s="21">
        <v>216398</v>
      </c>
      <c r="D65" s="21">
        <v>179532</v>
      </c>
      <c r="E65" s="22">
        <f>(+C65-D65)/D65</f>
        <v>0.20534500813225498</v>
      </c>
      <c r="F65" s="21">
        <f>+C65-97090</f>
        <v>119308</v>
      </c>
      <c r="G65" s="21">
        <f>+D65-80702</f>
        <v>98830</v>
      </c>
      <c r="H65" s="22">
        <f>(+F65-G65)/G65</f>
        <v>0.20720429019528483</v>
      </c>
      <c r="I65" s="23">
        <f>K65/C65</f>
        <v>66.817602658065226</v>
      </c>
      <c r="J65" s="23">
        <f>K65/F65</f>
        <v>121.19217135481276</v>
      </c>
      <c r="K65" s="21">
        <v>14459195.58</v>
      </c>
      <c r="L65" s="21">
        <v>11941116.9</v>
      </c>
      <c r="M65" s="24">
        <f>(+K65-L65)/L65</f>
        <v>0.21087463602336895</v>
      </c>
      <c r="N65" s="10"/>
      <c r="R65" s="2"/>
    </row>
    <row r="66" spans="1:18" ht="15.75" customHeight="1" x14ac:dyDescent="0.25">
      <c r="A66" s="19"/>
      <c r="B66" s="20">
        <f>DATE(2025,8,1)</f>
        <v>45870</v>
      </c>
      <c r="C66" s="21">
        <v>230610</v>
      </c>
      <c r="D66" s="21">
        <v>184933</v>
      </c>
      <c r="E66" s="22">
        <f>(+C66-D66)/D66</f>
        <v>0.24699215391520171</v>
      </c>
      <c r="F66" s="21">
        <f>+C66-104945</f>
        <v>125665</v>
      </c>
      <c r="G66" s="21">
        <f>+D66-83211</f>
        <v>101722</v>
      </c>
      <c r="H66" s="22">
        <f>(+F66-G66)/G66</f>
        <v>0.23537681130925464</v>
      </c>
      <c r="I66" s="23">
        <f>K66/C66</f>
        <v>66.546834439096315</v>
      </c>
      <c r="J66" s="23">
        <f>K66/F66</f>
        <v>122.12123892889826</v>
      </c>
      <c r="K66" s="21">
        <v>15346365.49</v>
      </c>
      <c r="L66" s="21">
        <v>11618380.869999999</v>
      </c>
      <c r="M66" s="24">
        <f>(+K66-L66)/L66</f>
        <v>0.32086954815073138</v>
      </c>
      <c r="N66" s="10"/>
      <c r="R66" s="2"/>
    </row>
    <row r="67" spans="1:18" ht="15.75" customHeight="1" x14ac:dyDescent="0.25">
      <c r="A67" s="19"/>
      <c r="B67" s="20">
        <f>DATE(2025,9,1)</f>
        <v>45901</v>
      </c>
      <c r="C67" s="21">
        <v>204466</v>
      </c>
      <c r="D67" s="21">
        <v>169283</v>
      </c>
      <c r="E67" s="22">
        <f>(+C67-D67)/D67</f>
        <v>0.20783539989248773</v>
      </c>
      <c r="F67" s="21">
        <f>+C67-91793</f>
        <v>112673</v>
      </c>
      <c r="G67" s="21">
        <f>+D67-78026</f>
        <v>91257</v>
      </c>
      <c r="H67" s="22">
        <f>(+F67-G67)/G67</f>
        <v>0.23467788772368148</v>
      </c>
      <c r="I67" s="23">
        <f>K67/C67</f>
        <v>64.941878894290497</v>
      </c>
      <c r="J67" s="23">
        <f>K67/F67</f>
        <v>117.84905176927926</v>
      </c>
      <c r="K67" s="21">
        <v>13278406.210000001</v>
      </c>
      <c r="L67" s="21">
        <v>10583991.34</v>
      </c>
      <c r="M67" s="24">
        <f>(+K67-L67)/L67</f>
        <v>0.25457455353511288</v>
      </c>
      <c r="N67" s="10"/>
      <c r="R67" s="2"/>
    </row>
    <row r="68" spans="1:18" ht="15.75" customHeight="1" x14ac:dyDescent="0.25">
      <c r="A68" s="19"/>
      <c r="B68" s="20">
        <f>DATE(2025,10,1)</f>
        <v>45931</v>
      </c>
      <c r="C68" s="21">
        <v>202121</v>
      </c>
      <c r="D68" s="21">
        <v>170885</v>
      </c>
      <c r="E68" s="22">
        <f>(+C68-D68)/D68</f>
        <v>0.18278959534189659</v>
      </c>
      <c r="F68" s="21">
        <f>+C68-92017</f>
        <v>110104</v>
      </c>
      <c r="G68" s="21">
        <f>+D68-79112</f>
        <v>91773</v>
      </c>
      <c r="H68" s="22">
        <f>(+F68-G68)/G68</f>
        <v>0.19974284375578874</v>
      </c>
      <c r="I68" s="23">
        <f>K68/C68</f>
        <v>64.579149370921385</v>
      </c>
      <c r="J68" s="23">
        <f>K68/F68</f>
        <v>118.54975523141756</v>
      </c>
      <c r="K68" s="21">
        <v>13052802.25</v>
      </c>
      <c r="L68" s="21">
        <v>10511697.35</v>
      </c>
      <c r="M68" s="24">
        <f>(+K68-L68)/L68</f>
        <v>0.2417406832969749</v>
      </c>
      <c r="N68" s="10"/>
      <c r="R68" s="2"/>
    </row>
    <row r="69" spans="1:18" ht="15.75" customHeight="1" x14ac:dyDescent="0.25">
      <c r="A69" s="19"/>
      <c r="B69" s="20">
        <f>DATE(2025,11,1)</f>
        <v>45962</v>
      </c>
      <c r="C69" s="21">
        <v>195611</v>
      </c>
      <c r="D69" s="21">
        <v>163835</v>
      </c>
      <c r="E69" s="22">
        <f>(+C69-D69)/D69</f>
        <v>0.19395123142185736</v>
      </c>
      <c r="F69" s="21">
        <f>+C69-90302</f>
        <v>105309</v>
      </c>
      <c r="G69" s="21">
        <f>+D69-76658</f>
        <v>87177</v>
      </c>
      <c r="H69" s="22">
        <f>(+F69-G69)/G69</f>
        <v>0.20799063973295709</v>
      </c>
      <c r="I69" s="23">
        <f>K69/C69</f>
        <v>65.308032370367712</v>
      </c>
      <c r="J69" s="23">
        <f>K69/F69</f>
        <v>121.30938020492076</v>
      </c>
      <c r="K69" s="21">
        <v>12774969.52</v>
      </c>
      <c r="L69" s="21">
        <v>11439180.77</v>
      </c>
      <c r="M69" s="24">
        <f>(+K69-L69)/L69</f>
        <v>0.11677311311516236</v>
      </c>
      <c r="N69" s="10"/>
      <c r="R69" s="2"/>
    </row>
    <row r="70" spans="1:18" ht="15.75" customHeight="1" thickBot="1" x14ac:dyDescent="0.3">
      <c r="A70" s="19"/>
      <c r="B70" s="44"/>
      <c r="C70" s="21"/>
      <c r="D70" s="21"/>
      <c r="E70" s="22"/>
      <c r="F70" s="21"/>
      <c r="G70" s="21"/>
      <c r="H70" s="22"/>
      <c r="I70" s="23"/>
      <c r="J70" s="23"/>
      <c r="K70" s="21"/>
      <c r="L70" s="21"/>
      <c r="M70" s="24"/>
      <c r="N70" s="10"/>
      <c r="R70" s="2"/>
    </row>
    <row r="71" spans="1:18" ht="17.25" thickTop="1" thickBot="1" x14ac:dyDescent="0.3">
      <c r="A71" s="38" t="s">
        <v>14</v>
      </c>
      <c r="B71" s="39"/>
      <c r="C71" s="40">
        <f>SUM(C65:C70)</f>
        <v>1049206</v>
      </c>
      <c r="D71" s="40">
        <f>SUM(D65:D70)</f>
        <v>868468</v>
      </c>
      <c r="E71" s="279">
        <f>(+C71-D71)/D71</f>
        <v>0.20811129483181878</v>
      </c>
      <c r="F71" s="40">
        <f>SUM(F65:F70)</f>
        <v>573059</v>
      </c>
      <c r="G71" s="40">
        <f>SUM(G65:G70)</f>
        <v>470759</v>
      </c>
      <c r="H71" s="41">
        <f>(+F71-G71)/G71</f>
        <v>0.21730864412576287</v>
      </c>
      <c r="I71" s="42">
        <f>K71/C71</f>
        <v>65.679894177120602</v>
      </c>
      <c r="J71" s="42">
        <f>K71/F71</f>
        <v>120.25243308280648</v>
      </c>
      <c r="K71" s="40">
        <f>SUM(K65:K70)</f>
        <v>68911739.049999997</v>
      </c>
      <c r="L71" s="40">
        <f>SUM(L65:L70)</f>
        <v>56094367.230000004</v>
      </c>
      <c r="M71" s="43">
        <f>(+K71-L71)/L71</f>
        <v>0.22849659338246522</v>
      </c>
      <c r="N71" s="10"/>
      <c r="R71" s="2"/>
    </row>
    <row r="72" spans="1:18" ht="15.75" customHeight="1" thickTop="1" x14ac:dyDescent="0.2">
      <c r="A72" s="53"/>
      <c r="B72" s="54"/>
      <c r="C72" s="54"/>
      <c r="D72" s="54"/>
      <c r="E72" s="55"/>
      <c r="F72" s="54"/>
      <c r="G72" s="54"/>
      <c r="H72" s="55"/>
      <c r="I72" s="54"/>
      <c r="J72" s="54"/>
      <c r="K72" s="195"/>
      <c r="L72" s="195"/>
      <c r="M72" s="56"/>
      <c r="N72" s="10"/>
      <c r="R72" s="2"/>
    </row>
    <row r="73" spans="1:18" ht="15.75" customHeight="1" x14ac:dyDescent="0.25">
      <c r="A73" s="19" t="s">
        <v>16</v>
      </c>
      <c r="B73" s="20">
        <f>DATE(2025,7,1)</f>
        <v>45839</v>
      </c>
      <c r="C73" s="21">
        <v>256392</v>
      </c>
      <c r="D73" s="21">
        <v>241251</v>
      </c>
      <c r="E73" s="22">
        <f>(+C73-D73)/D73</f>
        <v>6.2760361615081389E-2</v>
      </c>
      <c r="F73" s="21">
        <f>+C73-136380</f>
        <v>120012</v>
      </c>
      <c r="G73" s="21">
        <f>+D73-122029</f>
        <v>119222</v>
      </c>
      <c r="H73" s="22">
        <f>(+F73-G73)/G73</f>
        <v>6.6262938048346782E-3</v>
      </c>
      <c r="I73" s="23">
        <f>K73/C73</f>
        <v>68.159802372928951</v>
      </c>
      <c r="J73" s="23">
        <f>K73/F73</f>
        <v>145.61567218278174</v>
      </c>
      <c r="K73" s="21">
        <v>17475628.050000001</v>
      </c>
      <c r="L73" s="21">
        <v>16833896.640000001</v>
      </c>
      <c r="M73" s="24">
        <f>(+K73-L73)/L73</f>
        <v>3.8121382334922078E-2</v>
      </c>
      <c r="N73" s="10"/>
      <c r="R73" s="2"/>
    </row>
    <row r="74" spans="1:18" ht="15.75" customHeight="1" x14ac:dyDescent="0.25">
      <c r="A74" s="19"/>
      <c r="B74" s="20">
        <f>DATE(2025,8,1)</f>
        <v>45870</v>
      </c>
      <c r="C74" s="21">
        <v>264680</v>
      </c>
      <c r="D74" s="21">
        <v>252387</v>
      </c>
      <c r="E74" s="22">
        <f>(+C74-D74)/D74</f>
        <v>4.8706946078839242E-2</v>
      </c>
      <c r="F74" s="21">
        <f>+C74-139345</f>
        <v>125335</v>
      </c>
      <c r="G74" s="21">
        <f>+D74-128448</f>
        <v>123939</v>
      </c>
      <c r="H74" s="22">
        <f>(+F74-G74)/G74</f>
        <v>1.1263605483342612E-2</v>
      </c>
      <c r="I74" s="23">
        <f>K74/C74</f>
        <v>67.211676515037027</v>
      </c>
      <c r="J74" s="23">
        <f>K74/F74</f>
        <v>141.93630302788526</v>
      </c>
      <c r="K74" s="21">
        <v>17789586.539999999</v>
      </c>
      <c r="L74" s="21">
        <v>17738787.879999999</v>
      </c>
      <c r="M74" s="24">
        <f>(+K74-L74)/L74</f>
        <v>2.8637052510940872E-3</v>
      </c>
      <c r="N74" s="10"/>
      <c r="R74" s="2"/>
    </row>
    <row r="75" spans="1:18" ht="15.75" customHeight="1" x14ac:dyDescent="0.25">
      <c r="A75" s="19"/>
      <c r="B75" s="20">
        <f>DATE(2025,9,1)</f>
        <v>45901</v>
      </c>
      <c r="C75" s="21">
        <v>229065</v>
      </c>
      <c r="D75" s="21">
        <v>226206</v>
      </c>
      <c r="E75" s="22">
        <f>(+C75-D75)/D75</f>
        <v>1.2638922044508102E-2</v>
      </c>
      <c r="F75" s="21">
        <f>+C75-122117</f>
        <v>106948</v>
      </c>
      <c r="G75" s="21">
        <f>+D75-113686</f>
        <v>112520</v>
      </c>
      <c r="H75" s="22">
        <f>(+F75-G75)/G75</f>
        <v>-4.9520085318165659E-2</v>
      </c>
      <c r="I75" s="23">
        <f>K75/C75</f>
        <v>68.787489096981204</v>
      </c>
      <c r="J75" s="23">
        <f>K75/F75</f>
        <v>147.33147127576018</v>
      </c>
      <c r="K75" s="21">
        <v>15756806.189999999</v>
      </c>
      <c r="L75" s="21">
        <v>16336895.189999999</v>
      </c>
      <c r="M75" s="24">
        <f>(+K75-L75)/L75</f>
        <v>-3.5507909749894158E-2</v>
      </c>
      <c r="N75" s="10"/>
      <c r="R75" s="2"/>
    </row>
    <row r="76" spans="1:18" ht="15.75" customHeight="1" x14ac:dyDescent="0.25">
      <c r="A76" s="19"/>
      <c r="B76" s="20">
        <f>DATE(2025,10,1)</f>
        <v>45931</v>
      </c>
      <c r="C76" s="21">
        <v>242671</v>
      </c>
      <c r="D76" s="21">
        <v>225125</v>
      </c>
      <c r="E76" s="22">
        <f>(+C76-D76)/D76</f>
        <v>7.793892282065519E-2</v>
      </c>
      <c r="F76" s="21">
        <f>+C76-126644</f>
        <v>116027</v>
      </c>
      <c r="G76" s="21">
        <f>+D76-114268</f>
        <v>110857</v>
      </c>
      <c r="H76" s="22">
        <f>(+F76-G76)/G76</f>
        <v>4.6636658036930463E-2</v>
      </c>
      <c r="I76" s="23">
        <f>K76/C76</f>
        <v>69.276230699177077</v>
      </c>
      <c r="J76" s="23">
        <f>K76/F76</f>
        <v>144.89155265584733</v>
      </c>
      <c r="K76" s="21">
        <v>16811332.18</v>
      </c>
      <c r="L76" s="21">
        <v>15330195.15</v>
      </c>
      <c r="M76" s="24">
        <f>(+K76-L76)/L76</f>
        <v>9.6615667022347029E-2</v>
      </c>
      <c r="N76" s="10"/>
      <c r="R76" s="2"/>
    </row>
    <row r="77" spans="1:18" ht="15.75" customHeight="1" x14ac:dyDescent="0.25">
      <c r="A77" s="19"/>
      <c r="B77" s="20">
        <f>DATE(2025,11,1)</f>
        <v>45962</v>
      </c>
      <c r="C77" s="21">
        <v>240994</v>
      </c>
      <c r="D77" s="21">
        <v>239580</v>
      </c>
      <c r="E77" s="22">
        <f>(+C77-D77)/D77</f>
        <v>5.9019951581935053E-3</v>
      </c>
      <c r="F77" s="21">
        <f>+C77-128119</f>
        <v>112875</v>
      </c>
      <c r="G77" s="21">
        <f>+D77-123980</f>
        <v>115600</v>
      </c>
      <c r="H77" s="22">
        <f>(+F77-G77)/G77</f>
        <v>-2.3572664359861592E-2</v>
      </c>
      <c r="I77" s="23">
        <f>K77/C77</f>
        <v>66.28818788019619</v>
      </c>
      <c r="J77" s="23">
        <f>K77/F77</f>
        <v>141.52873133997787</v>
      </c>
      <c r="K77" s="21">
        <v>15975055.550000001</v>
      </c>
      <c r="L77" s="21">
        <v>16335911.6</v>
      </c>
      <c r="M77" s="24">
        <f>(+K77-L77)/L77</f>
        <v>-2.2089740617842159E-2</v>
      </c>
      <c r="N77" s="10"/>
      <c r="R77" s="2"/>
    </row>
    <row r="78" spans="1:18" ht="15.75" customHeight="1" thickBot="1" x14ac:dyDescent="0.3">
      <c r="A78" s="19"/>
      <c r="B78" s="44"/>
      <c r="C78" s="21"/>
      <c r="D78" s="21"/>
      <c r="E78" s="22"/>
      <c r="F78" s="21"/>
      <c r="G78" s="21"/>
      <c r="H78" s="22"/>
      <c r="I78" s="23"/>
      <c r="J78" s="23"/>
      <c r="K78" s="21"/>
      <c r="L78" s="21"/>
      <c r="M78" s="24"/>
      <c r="N78" s="10"/>
      <c r="R78" s="2"/>
    </row>
    <row r="79" spans="1:18" ht="17.25" thickTop="1" thickBot="1" x14ac:dyDescent="0.3">
      <c r="A79" s="38" t="s">
        <v>14</v>
      </c>
      <c r="B79" s="39"/>
      <c r="C79" s="40">
        <f>SUM(C73:C78)</f>
        <v>1233802</v>
      </c>
      <c r="D79" s="40">
        <f>SUM(D73:D78)</f>
        <v>1184549</v>
      </c>
      <c r="E79" s="279">
        <f>(+C79-D79)/D79</f>
        <v>4.1579537866310301E-2</v>
      </c>
      <c r="F79" s="40">
        <f>SUM(F73:F78)</f>
        <v>581197</v>
      </c>
      <c r="G79" s="40">
        <f>SUM(G73:G78)</f>
        <v>582138</v>
      </c>
      <c r="H79" s="41">
        <f>(+F79-G79)/G79</f>
        <v>-1.6164552047796227E-3</v>
      </c>
      <c r="I79" s="42">
        <f>K79/C79</f>
        <v>67.92695141521898</v>
      </c>
      <c r="J79" s="42">
        <f>K79/F79</f>
        <v>144.19965779245248</v>
      </c>
      <c r="K79" s="40">
        <f>SUM(K73:K78)</f>
        <v>83808408.510000005</v>
      </c>
      <c r="L79" s="40">
        <f>SUM(L73:L78)</f>
        <v>82575686.459999993</v>
      </c>
      <c r="M79" s="43">
        <f>(+K79-L79)/L79</f>
        <v>1.4928389975869562E-2</v>
      </c>
      <c r="N79" s="10"/>
      <c r="R79" s="2"/>
    </row>
    <row r="80" spans="1:18" ht="15.75" customHeight="1" thickTop="1" x14ac:dyDescent="0.2">
      <c r="A80" s="53"/>
      <c r="B80" s="54"/>
      <c r="C80" s="54"/>
      <c r="D80" s="54"/>
      <c r="E80" s="55"/>
      <c r="F80" s="54"/>
      <c r="G80" s="54"/>
      <c r="H80" s="55"/>
      <c r="I80" s="54"/>
      <c r="J80" s="54"/>
      <c r="K80" s="195"/>
      <c r="L80" s="195"/>
      <c r="M80" s="56"/>
      <c r="N80" s="10"/>
      <c r="R80" s="2"/>
    </row>
    <row r="81" spans="1:18" ht="15.75" customHeight="1" x14ac:dyDescent="0.25">
      <c r="A81" s="19" t="s">
        <v>53</v>
      </c>
      <c r="B81" s="20">
        <f>DATE(2025,7,1)</f>
        <v>45839</v>
      </c>
      <c r="C81" s="21">
        <v>334577</v>
      </c>
      <c r="D81" s="21">
        <v>331492</v>
      </c>
      <c r="E81" s="22">
        <f>(+C81-D81)/D81</f>
        <v>9.3064086011125455E-3</v>
      </c>
      <c r="F81" s="21">
        <f>+C81-156657</f>
        <v>177920</v>
      </c>
      <c r="G81" s="21">
        <f>+D81-154270</f>
        <v>177222</v>
      </c>
      <c r="H81" s="22">
        <f>(+F81-G81)/G81</f>
        <v>3.9385629323673132E-3</v>
      </c>
      <c r="I81" s="23">
        <f>K81/C81</f>
        <v>66.550795661387355</v>
      </c>
      <c r="J81" s="23">
        <f>K81/F81</f>
        <v>125.14818772482013</v>
      </c>
      <c r="K81" s="21">
        <v>22266365.559999999</v>
      </c>
      <c r="L81" s="21">
        <v>20666135.579999998</v>
      </c>
      <c r="M81" s="24">
        <f>(+K81-L81)/L81</f>
        <v>7.7432472742927805E-2</v>
      </c>
      <c r="N81" s="10"/>
      <c r="R81" s="2"/>
    </row>
    <row r="82" spans="1:18" ht="15.75" customHeight="1" x14ac:dyDescent="0.25">
      <c r="A82" s="19"/>
      <c r="B82" s="20">
        <f>DATE(2025,8,1)</f>
        <v>45870</v>
      </c>
      <c r="C82" s="21">
        <v>344204</v>
      </c>
      <c r="D82" s="21">
        <v>357343</v>
      </c>
      <c r="E82" s="22">
        <f>(+C82-D82)/D82</f>
        <v>-3.6768594879429566E-2</v>
      </c>
      <c r="F82" s="21">
        <f>+C82-159754</f>
        <v>184450</v>
      </c>
      <c r="G82" s="21">
        <f>+D82-161766</f>
        <v>195577</v>
      </c>
      <c r="H82" s="22">
        <f>(+F82-G82)/G82</f>
        <v>-5.689319296236265E-2</v>
      </c>
      <c r="I82" s="23">
        <f>K82/C82</f>
        <v>69.857439803139997</v>
      </c>
      <c r="J82" s="23">
        <f>K82/F82</f>
        <v>130.36167096774193</v>
      </c>
      <c r="K82" s="21">
        <v>24045210.210000001</v>
      </c>
      <c r="L82" s="21">
        <v>21638089.190000001</v>
      </c>
      <c r="M82" s="24">
        <f>(+K82-L82)/L82</f>
        <v>0.11124462048675007</v>
      </c>
      <c r="N82" s="10"/>
      <c r="R82" s="2"/>
    </row>
    <row r="83" spans="1:18" ht="15.75" customHeight="1" x14ac:dyDescent="0.25">
      <c r="A83" s="19"/>
      <c r="B83" s="20">
        <f>DATE(2025,9,1)</f>
        <v>45901</v>
      </c>
      <c r="C83" s="21">
        <v>307673</v>
      </c>
      <c r="D83" s="21">
        <v>320719</v>
      </c>
      <c r="E83" s="22">
        <f>(+C83-D83)/D83</f>
        <v>-4.0677353072315639E-2</v>
      </c>
      <c r="F83" s="21">
        <f>+C83-142575</f>
        <v>165098</v>
      </c>
      <c r="G83" s="21">
        <f>+D83-145865</f>
        <v>174854</v>
      </c>
      <c r="H83" s="22">
        <f>(+F83-G83)/G83</f>
        <v>-5.579512050053187E-2</v>
      </c>
      <c r="I83" s="23">
        <f>K83/C83</f>
        <v>69.893282283463293</v>
      </c>
      <c r="J83" s="23">
        <f>K83/F83</f>
        <v>130.25158293861827</v>
      </c>
      <c r="K83" s="21">
        <v>21504275.84</v>
      </c>
      <c r="L83" s="21">
        <v>20401476.460000001</v>
      </c>
      <c r="M83" s="24">
        <f>(+K83-L83)/L83</f>
        <v>5.4054880888753036E-2</v>
      </c>
      <c r="N83" s="10"/>
      <c r="R83" s="2"/>
    </row>
    <row r="84" spans="1:18" ht="15.75" customHeight="1" x14ac:dyDescent="0.25">
      <c r="A84" s="19"/>
      <c r="B84" s="20">
        <f>DATE(2025,10,1)</f>
        <v>45931</v>
      </c>
      <c r="C84" s="21">
        <v>327896</v>
      </c>
      <c r="D84" s="21">
        <v>327430</v>
      </c>
      <c r="E84" s="22">
        <f>(+C84-D84)/D84</f>
        <v>1.4232049598387443E-3</v>
      </c>
      <c r="F84" s="21">
        <f>+C84-156398</f>
        <v>171498</v>
      </c>
      <c r="G84" s="21">
        <f>+D84-150962</f>
        <v>176468</v>
      </c>
      <c r="H84" s="22">
        <f>(+F84-G84)/G84</f>
        <v>-2.8163746401613891E-2</v>
      </c>
      <c r="I84" s="23">
        <f>K84/C84</f>
        <v>69.119912014785186</v>
      </c>
      <c r="J84" s="23">
        <f>K84/F84</f>
        <v>132.15397654783146</v>
      </c>
      <c r="K84" s="21">
        <v>22664142.670000002</v>
      </c>
      <c r="L84" s="21">
        <v>21417542.489999998</v>
      </c>
      <c r="M84" s="24">
        <f>(+K84-L84)/L84</f>
        <v>5.8204632047866828E-2</v>
      </c>
      <c r="N84" s="10"/>
      <c r="R84" s="2"/>
    </row>
    <row r="85" spans="1:18" ht="15.75" customHeight="1" x14ac:dyDescent="0.25">
      <c r="A85" s="19"/>
      <c r="B85" s="20">
        <f>DATE(2025,11,1)</f>
        <v>45962</v>
      </c>
      <c r="C85" s="21">
        <v>315646</v>
      </c>
      <c r="D85" s="21">
        <v>333683</v>
      </c>
      <c r="E85" s="22">
        <f>(+C85-D85)/D85</f>
        <v>-5.405429704240252E-2</v>
      </c>
      <c r="F85" s="21">
        <f>+C85-150565</f>
        <v>165081</v>
      </c>
      <c r="G85" s="21">
        <f>+D85-155206</f>
        <v>178477</v>
      </c>
      <c r="H85" s="22">
        <f>(+F85-G85)/G85</f>
        <v>-7.5057290295108048E-2</v>
      </c>
      <c r="I85" s="23">
        <f>K85/C85</f>
        <v>69.179311538875822</v>
      </c>
      <c r="J85" s="23">
        <f>K85/F85</f>
        <v>132.27550699353651</v>
      </c>
      <c r="K85" s="21">
        <v>21836172.969999999</v>
      </c>
      <c r="L85" s="21">
        <v>20910598.879999999</v>
      </c>
      <c r="M85" s="24">
        <f>(+K85-L85)/L85</f>
        <v>4.42633946216274E-2</v>
      </c>
      <c r="N85" s="10"/>
      <c r="R85" s="2"/>
    </row>
    <row r="86" spans="1:18" ht="15.75" customHeight="1" thickBot="1" x14ac:dyDescent="0.3">
      <c r="A86" s="19"/>
      <c r="B86" s="44"/>
      <c r="C86" s="21"/>
      <c r="D86" s="21"/>
      <c r="E86" s="22"/>
      <c r="F86" s="21"/>
      <c r="G86" s="21"/>
      <c r="H86" s="22"/>
      <c r="I86" s="23"/>
      <c r="J86" s="23"/>
      <c r="K86" s="21"/>
      <c r="L86" s="21"/>
      <c r="M86" s="24"/>
      <c r="N86" s="10"/>
      <c r="R86" s="2"/>
    </row>
    <row r="87" spans="1:18" ht="17.25" thickTop="1" thickBot="1" x14ac:dyDescent="0.3">
      <c r="A87" s="38" t="s">
        <v>14</v>
      </c>
      <c r="B87" s="39"/>
      <c r="C87" s="40">
        <f>SUM(C81:C86)</f>
        <v>1629996</v>
      </c>
      <c r="D87" s="40">
        <f>SUM(D81:D86)</f>
        <v>1670667</v>
      </c>
      <c r="E87" s="279">
        <f>(+C87-D87)/D87</f>
        <v>-2.4344169125265536E-2</v>
      </c>
      <c r="F87" s="40">
        <f>SUM(F81:F86)</f>
        <v>864047</v>
      </c>
      <c r="G87" s="40">
        <f>SUM(G81:G86)</f>
        <v>902598</v>
      </c>
      <c r="H87" s="41">
        <f>(+F87-G87)/G87</f>
        <v>-4.2711151586863699E-2</v>
      </c>
      <c r="I87" s="42">
        <f>K87/C87</f>
        <v>68.905793173725584</v>
      </c>
      <c r="J87" s="42">
        <f>K87/F87</f>
        <v>129.98849281346963</v>
      </c>
      <c r="K87" s="40">
        <f>SUM(K81:K86)</f>
        <v>112316167.25</v>
      </c>
      <c r="L87" s="40">
        <f>SUM(L81:L86)</f>
        <v>105033842.59999999</v>
      </c>
      <c r="M87" s="43">
        <f>(+K87-L87)/L87</f>
        <v>6.9333126064265366E-2</v>
      </c>
      <c r="N87" s="10"/>
      <c r="R87" s="2"/>
    </row>
    <row r="88" spans="1:18" ht="15.75" customHeight="1" thickTop="1" x14ac:dyDescent="0.2">
      <c r="A88" s="57"/>
      <c r="B88" s="58"/>
      <c r="C88" s="58"/>
      <c r="D88" s="58"/>
      <c r="E88" s="59"/>
      <c r="F88" s="58"/>
      <c r="G88" s="58"/>
      <c r="H88" s="59"/>
      <c r="I88" s="58"/>
      <c r="J88" s="58"/>
      <c r="K88" s="196"/>
      <c r="L88" s="196"/>
      <c r="M88" s="60"/>
      <c r="N88" s="10"/>
      <c r="R88" s="2"/>
    </row>
    <row r="89" spans="1:18" ht="15" customHeight="1" x14ac:dyDescent="0.25">
      <c r="A89" s="19" t="s">
        <v>54</v>
      </c>
      <c r="B89" s="20">
        <f>DATE(2025,7,1)</f>
        <v>45839</v>
      </c>
      <c r="C89" s="21">
        <v>42805</v>
      </c>
      <c r="D89" s="21">
        <v>39024</v>
      </c>
      <c r="E89" s="22">
        <f>(+C89-D89)/D89</f>
        <v>9.6889093890938915E-2</v>
      </c>
      <c r="F89" s="21">
        <f>+C89-21502</f>
        <v>21303</v>
      </c>
      <c r="G89" s="21">
        <f>+D89-19863</f>
        <v>19161</v>
      </c>
      <c r="H89" s="22">
        <f>(+F89-G89)/G89</f>
        <v>0.11178957256928135</v>
      </c>
      <c r="I89" s="23">
        <f>K89/C89</f>
        <v>68.823005957247986</v>
      </c>
      <c r="J89" s="23">
        <f>K89/F89</f>
        <v>138.28891564568372</v>
      </c>
      <c r="K89" s="21">
        <v>2945968.77</v>
      </c>
      <c r="L89" s="21">
        <v>2829692.37</v>
      </c>
      <c r="M89" s="24">
        <f>(+K89-L89)/L89</f>
        <v>4.1091533918225856E-2</v>
      </c>
      <c r="N89" s="10"/>
      <c r="R89" s="2"/>
    </row>
    <row r="90" spans="1:18" ht="15" customHeight="1" x14ac:dyDescent="0.25">
      <c r="A90" s="19"/>
      <c r="B90" s="20">
        <f>DATE(2025,8,1)</f>
        <v>45870</v>
      </c>
      <c r="C90" s="21">
        <v>43476</v>
      </c>
      <c r="D90" s="21">
        <v>37405</v>
      </c>
      <c r="E90" s="22">
        <f>(+C90-D90)/D90</f>
        <v>0.16230450474535491</v>
      </c>
      <c r="F90" s="21">
        <f>+C90-21927</f>
        <v>21549</v>
      </c>
      <c r="G90" s="21">
        <f>+D90-18960</f>
        <v>18445</v>
      </c>
      <c r="H90" s="22">
        <f>(+F90-G90)/G90</f>
        <v>0.16828408782867985</v>
      </c>
      <c r="I90" s="23">
        <f>K90/C90</f>
        <v>69.474783788757023</v>
      </c>
      <c r="J90" s="23">
        <f>K90/F90</f>
        <v>140.16825374727367</v>
      </c>
      <c r="K90" s="21">
        <v>3020485.7</v>
      </c>
      <c r="L90" s="21">
        <v>2718513.58</v>
      </c>
      <c r="M90" s="24">
        <f>(+K90-L90)/L90</f>
        <v>0.11107986446034238</v>
      </c>
      <c r="N90" s="10"/>
      <c r="R90" s="2"/>
    </row>
    <row r="91" spans="1:18" ht="15" customHeight="1" x14ac:dyDescent="0.25">
      <c r="A91" s="19"/>
      <c r="B91" s="20">
        <f>DATE(2025,9,1)</f>
        <v>45901</v>
      </c>
      <c r="C91" s="21">
        <v>38993</v>
      </c>
      <c r="D91" s="21">
        <v>33865</v>
      </c>
      <c r="E91" s="22">
        <f>(+C91-D91)/D91</f>
        <v>0.15142477484128156</v>
      </c>
      <c r="F91" s="21">
        <f>+C91-19435</f>
        <v>19558</v>
      </c>
      <c r="G91" s="21">
        <f>+D91-17304</f>
        <v>16561</v>
      </c>
      <c r="H91" s="22">
        <f>(+F91-G91)/G91</f>
        <v>0.18096733289052594</v>
      </c>
      <c r="I91" s="23">
        <f>K91/C91</f>
        <v>71.161166363193388</v>
      </c>
      <c r="J91" s="23">
        <f>K91/F91</f>
        <v>141.8748011044074</v>
      </c>
      <c r="K91" s="21">
        <v>2774787.36</v>
      </c>
      <c r="L91" s="21">
        <v>2469404.4700000002</v>
      </c>
      <c r="M91" s="24">
        <f>(+K91-L91)/L91</f>
        <v>0.12366661424242083</v>
      </c>
      <c r="N91" s="10"/>
      <c r="R91" s="2"/>
    </row>
    <row r="92" spans="1:18" ht="15" customHeight="1" x14ac:dyDescent="0.25">
      <c r="A92" s="19"/>
      <c r="B92" s="20">
        <f>DATE(2025,10,1)</f>
        <v>45931</v>
      </c>
      <c r="C92" s="21">
        <v>40589</v>
      </c>
      <c r="D92" s="21">
        <v>33869</v>
      </c>
      <c r="E92" s="22">
        <f>(+C92-D92)/D92</f>
        <v>0.19841152676488824</v>
      </c>
      <c r="F92" s="21">
        <f>+C92-20243</f>
        <v>20346</v>
      </c>
      <c r="G92" s="21">
        <f>+D92-17511</f>
        <v>16358</v>
      </c>
      <c r="H92" s="22">
        <f>(+F92-G92)/G92</f>
        <v>0.24379508497371316</v>
      </c>
      <c r="I92" s="23">
        <f>K92/C92</f>
        <v>71.809353765798619</v>
      </c>
      <c r="J92" s="23">
        <f>K92/F92</f>
        <v>143.25517841344737</v>
      </c>
      <c r="K92" s="21">
        <v>2914669.86</v>
      </c>
      <c r="L92" s="21">
        <v>2475216.7799999998</v>
      </c>
      <c r="M92" s="24">
        <f>(+K92-L92)/L92</f>
        <v>0.1775412495385556</v>
      </c>
      <c r="N92" s="10"/>
      <c r="R92" s="2"/>
    </row>
    <row r="93" spans="1:18" ht="15" customHeight="1" x14ac:dyDescent="0.25">
      <c r="A93" s="19"/>
      <c r="B93" s="20">
        <f>DATE(2025,11,1)</f>
        <v>45962</v>
      </c>
      <c r="C93" s="21">
        <v>37585</v>
      </c>
      <c r="D93" s="21">
        <v>33707</v>
      </c>
      <c r="E93" s="22">
        <f>(+C93-D93)/D93</f>
        <v>0.11505028629068147</v>
      </c>
      <c r="F93" s="21">
        <f>+C93-18830</f>
        <v>18755</v>
      </c>
      <c r="G93" s="21">
        <f>+D93-17566</f>
        <v>16141</v>
      </c>
      <c r="H93" s="22">
        <f>(+F93-G93)/G93</f>
        <v>0.16194783470664767</v>
      </c>
      <c r="I93" s="23">
        <f>K93/C93</f>
        <v>71.294016495942529</v>
      </c>
      <c r="J93" s="23">
        <f>K93/F93</f>
        <v>142.87313303119168</v>
      </c>
      <c r="K93" s="21">
        <v>2679585.61</v>
      </c>
      <c r="L93" s="21">
        <v>2520547.39</v>
      </c>
      <c r="M93" s="24">
        <f>(+K93-L93)/L93</f>
        <v>6.3096699007115176E-2</v>
      </c>
      <c r="N93" s="10"/>
      <c r="R93" s="2"/>
    </row>
    <row r="94" spans="1:18" ht="15.75" thickBot="1" x14ac:dyDescent="0.25">
      <c r="A94" s="37"/>
      <c r="B94" s="20"/>
      <c r="C94" s="21"/>
      <c r="D94" s="21"/>
      <c r="E94" s="22"/>
      <c r="F94" s="21"/>
      <c r="G94" s="21"/>
      <c r="H94" s="22"/>
      <c r="I94" s="23"/>
      <c r="J94" s="23"/>
      <c r="K94" s="21"/>
      <c r="L94" s="21"/>
      <c r="M94" s="24"/>
      <c r="N94" s="10"/>
      <c r="R94" s="2"/>
    </row>
    <row r="95" spans="1:18" ht="17.25" thickTop="1" thickBot="1" x14ac:dyDescent="0.3">
      <c r="A95" s="61" t="s">
        <v>14</v>
      </c>
      <c r="B95" s="51"/>
      <c r="C95" s="47">
        <f>SUM(C89:C94)</f>
        <v>203448</v>
      </c>
      <c r="D95" s="47">
        <f>SUM(D89:D94)</f>
        <v>177870</v>
      </c>
      <c r="E95" s="279">
        <f>(+C95-D95)/D95</f>
        <v>0.14380165289256197</v>
      </c>
      <c r="F95" s="47">
        <f>SUM(F89:F94)</f>
        <v>101511</v>
      </c>
      <c r="G95" s="47">
        <f>SUM(G89:G94)</f>
        <v>86666</v>
      </c>
      <c r="H95" s="41">
        <f>(+F95-G95)/G95</f>
        <v>0.17128977915214733</v>
      </c>
      <c r="I95" s="49">
        <f>K95/C95</f>
        <v>70.462709390114426</v>
      </c>
      <c r="J95" s="49">
        <f>K95/F95</f>
        <v>141.22112184886365</v>
      </c>
      <c r="K95" s="47">
        <f>SUM(K89:K94)</f>
        <v>14335497.299999999</v>
      </c>
      <c r="L95" s="47">
        <f>SUM(L89:L94)</f>
        <v>13013374.59</v>
      </c>
      <c r="M95" s="43">
        <f>(+K95-L95)/L95</f>
        <v>0.10159722221597857</v>
      </c>
      <c r="N95" s="10"/>
      <c r="R95" s="2"/>
    </row>
    <row r="96" spans="1:18" ht="15.75" customHeight="1" thickTop="1" x14ac:dyDescent="0.25">
      <c r="A96" s="19"/>
      <c r="B96" s="44"/>
      <c r="C96" s="21"/>
      <c r="D96" s="21"/>
      <c r="E96" s="22"/>
      <c r="F96" s="21"/>
      <c r="G96" s="21"/>
      <c r="H96" s="22"/>
      <c r="I96" s="23"/>
      <c r="J96" s="23"/>
      <c r="K96" s="21"/>
      <c r="L96" s="21"/>
      <c r="M96" s="24"/>
      <c r="N96" s="10"/>
      <c r="R96" s="2"/>
    </row>
    <row r="97" spans="1:18" ht="15.75" x14ac:dyDescent="0.25">
      <c r="A97" s="19" t="s">
        <v>17</v>
      </c>
      <c r="B97" s="20">
        <f>DATE(2025,7,1)</f>
        <v>45839</v>
      </c>
      <c r="C97" s="21">
        <v>332760</v>
      </c>
      <c r="D97" s="21">
        <v>318851</v>
      </c>
      <c r="E97" s="22">
        <f>(+C97-D97)/D97</f>
        <v>4.3622256163537203E-2</v>
      </c>
      <c r="F97" s="21">
        <f>+C97-168404</f>
        <v>164356</v>
      </c>
      <c r="G97" s="21">
        <f>+D97-161525</f>
        <v>157326</v>
      </c>
      <c r="H97" s="22">
        <f>(+F97-G97)/G97</f>
        <v>4.4684286131980729E-2</v>
      </c>
      <c r="I97" s="23">
        <f>K97/C97</f>
        <v>76.969005679769197</v>
      </c>
      <c r="J97" s="23">
        <f>K97/F97</f>
        <v>155.83371662732117</v>
      </c>
      <c r="K97" s="21">
        <v>25612206.329999998</v>
      </c>
      <c r="L97" s="21">
        <v>24087952.09</v>
      </c>
      <c r="M97" s="24">
        <f>(+K97-L97)/L97</f>
        <v>6.3278697761640995E-2</v>
      </c>
      <c r="N97" s="10"/>
      <c r="R97" s="2"/>
    </row>
    <row r="98" spans="1:18" ht="15.75" x14ac:dyDescent="0.25">
      <c r="A98" s="19"/>
      <c r="B98" s="20">
        <f>DATE(2025,8,1)</f>
        <v>45870</v>
      </c>
      <c r="C98" s="21">
        <v>337915</v>
      </c>
      <c r="D98" s="21">
        <v>333739</v>
      </c>
      <c r="E98" s="22">
        <f>(+C98-D98)/D98</f>
        <v>1.2512771956528904E-2</v>
      </c>
      <c r="F98" s="21">
        <f>+C98-170963</f>
        <v>166952</v>
      </c>
      <c r="G98" s="21">
        <f>+D98-170693</f>
        <v>163046</v>
      </c>
      <c r="H98" s="22">
        <f>(+F98-G98)/G98</f>
        <v>2.3956429473890803E-2</v>
      </c>
      <c r="I98" s="23">
        <f>K98/C98</f>
        <v>80.770227986327924</v>
      </c>
      <c r="J98" s="23">
        <f>K98/F98</f>
        <v>163.48095015333749</v>
      </c>
      <c r="K98" s="21">
        <v>27293471.59</v>
      </c>
      <c r="L98" s="21">
        <v>25503125.370000001</v>
      </c>
      <c r="M98" s="24">
        <f>(+K98-L98)/L98</f>
        <v>7.0201051597622244E-2</v>
      </c>
      <c r="N98" s="10"/>
      <c r="R98" s="2"/>
    </row>
    <row r="99" spans="1:18" ht="15.75" x14ac:dyDescent="0.25">
      <c r="A99" s="19"/>
      <c r="B99" s="20">
        <f>DATE(2025,9,1)</f>
        <v>45901</v>
      </c>
      <c r="C99" s="21">
        <v>299683</v>
      </c>
      <c r="D99" s="21">
        <v>295322</v>
      </c>
      <c r="E99" s="22">
        <f>(+C99-D99)/D99</f>
        <v>1.4766932365350363E-2</v>
      </c>
      <c r="F99" s="21">
        <f>+C99-150956</f>
        <v>148727</v>
      </c>
      <c r="G99" s="21">
        <f>+D99-149037</f>
        <v>146285</v>
      </c>
      <c r="H99" s="22">
        <f>(+F99-G99)/G99</f>
        <v>1.6693440885941827E-2</v>
      </c>
      <c r="I99" s="23">
        <f>K99/C99</f>
        <v>77.667914429580591</v>
      </c>
      <c r="J99" s="23">
        <f>K99/F99</f>
        <v>156.49985275034123</v>
      </c>
      <c r="K99" s="21">
        <v>23275753.600000001</v>
      </c>
      <c r="L99" s="21">
        <v>23625697.699999999</v>
      </c>
      <c r="M99" s="24">
        <f>(+K99-L99)/L99</f>
        <v>-1.4812011244857237E-2</v>
      </c>
      <c r="N99" s="10"/>
      <c r="R99" s="2"/>
    </row>
    <row r="100" spans="1:18" ht="15.75" x14ac:dyDescent="0.25">
      <c r="A100" s="19"/>
      <c r="B100" s="20">
        <f>DATE(2025,10,1)</f>
        <v>45931</v>
      </c>
      <c r="C100" s="21">
        <v>310127</v>
      </c>
      <c r="D100" s="21">
        <v>292456</v>
      </c>
      <c r="E100" s="22">
        <f>(+C100-D100)/D100</f>
        <v>6.0422764450036928E-2</v>
      </c>
      <c r="F100" s="21">
        <f>+C100-157798</f>
        <v>152329</v>
      </c>
      <c r="G100" s="21">
        <f>+D100-147740</f>
        <v>144716</v>
      </c>
      <c r="H100" s="22">
        <f>(+F100-G100)/G100</f>
        <v>5.2606484424666242E-2</v>
      </c>
      <c r="I100" s="23">
        <f>K100/C100</f>
        <v>81.401161266190954</v>
      </c>
      <c r="J100" s="23">
        <f>K100/F100</f>
        <v>165.72483204117404</v>
      </c>
      <c r="K100" s="21">
        <v>25244697.940000001</v>
      </c>
      <c r="L100" s="21">
        <v>23599739.219999999</v>
      </c>
      <c r="M100" s="24">
        <f>(+K100-L100)/L100</f>
        <v>6.9702410889606548E-2</v>
      </c>
      <c r="N100" s="10"/>
      <c r="R100" s="2"/>
    </row>
    <row r="101" spans="1:18" ht="15.75" x14ac:dyDescent="0.25">
      <c r="A101" s="19"/>
      <c r="B101" s="20">
        <f>DATE(2025,11,1)</f>
        <v>45962</v>
      </c>
      <c r="C101" s="21">
        <v>306467</v>
      </c>
      <c r="D101" s="21">
        <v>314580</v>
      </c>
      <c r="E101" s="22">
        <f>(+C101-D101)/D101</f>
        <v>-2.5789942145082331E-2</v>
      </c>
      <c r="F101" s="21">
        <f>+C101-156385</f>
        <v>150082</v>
      </c>
      <c r="G101" s="21">
        <f>+D101-161325</f>
        <v>153255</v>
      </c>
      <c r="H101" s="22">
        <f>(+F101-G101)/G101</f>
        <v>-2.0704055332615576E-2</v>
      </c>
      <c r="I101" s="23">
        <f>K101/C101</f>
        <v>79.380414400245385</v>
      </c>
      <c r="J101" s="23">
        <f>K101/F101</f>
        <v>162.09457136765235</v>
      </c>
      <c r="K101" s="21">
        <v>24327477.460000001</v>
      </c>
      <c r="L101" s="21">
        <v>23130451.84</v>
      </c>
      <c r="M101" s="24">
        <f>(+K101-L101)/L101</f>
        <v>5.1751069468083555E-2</v>
      </c>
      <c r="N101" s="10"/>
      <c r="R101" s="2"/>
    </row>
    <row r="102" spans="1:18" ht="15.75" thickBot="1" x14ac:dyDescent="0.25">
      <c r="A102" s="37"/>
      <c r="B102" s="44"/>
      <c r="C102" s="21"/>
      <c r="D102" s="21"/>
      <c r="E102" s="22"/>
      <c r="F102" s="21"/>
      <c r="G102" s="21"/>
      <c r="H102" s="22"/>
      <c r="I102" s="23"/>
      <c r="J102" s="23"/>
      <c r="K102" s="21"/>
      <c r="L102" s="21"/>
      <c r="M102" s="24"/>
      <c r="N102" s="10"/>
      <c r="R102" s="2"/>
    </row>
    <row r="103" spans="1:18" ht="17.25" thickTop="1" thickBot="1" x14ac:dyDescent="0.3">
      <c r="A103" s="38" t="s">
        <v>14</v>
      </c>
      <c r="B103" s="39"/>
      <c r="C103" s="40">
        <f>SUM(C97:C102)</f>
        <v>1586952</v>
      </c>
      <c r="D103" s="40">
        <f>SUM(D97:D102)</f>
        <v>1554948</v>
      </c>
      <c r="E103" s="279">
        <f>(+C103-D103)/D103</f>
        <v>2.0582038756279952E-2</v>
      </c>
      <c r="F103" s="40">
        <f>SUM(F97:F102)</f>
        <v>782446</v>
      </c>
      <c r="G103" s="40">
        <f>SUM(G97:G102)</f>
        <v>764628</v>
      </c>
      <c r="H103" s="41">
        <f>(+F103-G103)/G103</f>
        <v>2.3302834842563964E-2</v>
      </c>
      <c r="I103" s="42">
        <f>K103/C103</f>
        <v>79.242224667160713</v>
      </c>
      <c r="J103" s="42">
        <f>K103/F103</f>
        <v>160.71857600396706</v>
      </c>
      <c r="K103" s="40">
        <f>SUM(K97:K102)</f>
        <v>125753606.92000002</v>
      </c>
      <c r="L103" s="40">
        <f>SUM(L97:L102)</f>
        <v>119946966.22</v>
      </c>
      <c r="M103" s="43">
        <f>(+K103-L103)/L103</f>
        <v>4.8410067240465281E-2</v>
      </c>
      <c r="N103" s="10"/>
      <c r="R103" s="2"/>
    </row>
    <row r="104" spans="1:18" ht="15.75" customHeight="1" thickTop="1" x14ac:dyDescent="0.25">
      <c r="A104" s="19"/>
      <c r="B104" s="44"/>
      <c r="C104" s="21"/>
      <c r="D104" s="21"/>
      <c r="E104" s="22"/>
      <c r="F104" s="21"/>
      <c r="G104" s="21"/>
      <c r="H104" s="22"/>
      <c r="I104" s="23"/>
      <c r="J104" s="23"/>
      <c r="K104" s="21"/>
      <c r="L104" s="21"/>
      <c r="M104" s="24"/>
      <c r="N104" s="10"/>
      <c r="R104" s="2"/>
    </row>
    <row r="105" spans="1:18" ht="15.75" x14ac:dyDescent="0.25">
      <c r="A105" s="19" t="s">
        <v>56</v>
      </c>
      <c r="B105" s="20">
        <f>DATE(2025,7,1)</f>
        <v>45839</v>
      </c>
      <c r="C105" s="21">
        <v>62531</v>
      </c>
      <c r="D105" s="21">
        <v>61692</v>
      </c>
      <c r="E105" s="22">
        <f>(+C105-D105)/D105</f>
        <v>1.3599818452959865E-2</v>
      </c>
      <c r="F105" s="21">
        <f>+C105-28002</f>
        <v>34529</v>
      </c>
      <c r="G105" s="21">
        <f>+D105-26929</f>
        <v>34763</v>
      </c>
      <c r="H105" s="22">
        <f>(+F105-G105)/G105</f>
        <v>-6.7312947674251361E-3</v>
      </c>
      <c r="I105" s="23">
        <f>K105/C105</f>
        <v>69.151710991348281</v>
      </c>
      <c r="J105" s="23">
        <f>K105/F105</f>
        <v>125.23170783978684</v>
      </c>
      <c r="K105" s="21">
        <v>4324125.6399999997</v>
      </c>
      <c r="L105" s="21">
        <v>4020687.4</v>
      </c>
      <c r="M105" s="24">
        <f>(+K105-L105)/L105</f>
        <v>7.546924438840974E-2</v>
      </c>
      <c r="N105" s="10"/>
      <c r="R105" s="2"/>
    </row>
    <row r="106" spans="1:18" ht="15.75" x14ac:dyDescent="0.25">
      <c r="A106" s="19"/>
      <c r="B106" s="20">
        <f>DATE(2025,8,1)</f>
        <v>45870</v>
      </c>
      <c r="C106" s="21">
        <v>65265</v>
      </c>
      <c r="D106" s="21">
        <v>66178</v>
      </c>
      <c r="E106" s="22">
        <f>(+C106-D106)/D106</f>
        <v>-1.3796125600652786E-2</v>
      </c>
      <c r="F106" s="21">
        <f>+C106-29137</f>
        <v>36128</v>
      </c>
      <c r="G106" s="21">
        <f>+D106-28897</f>
        <v>37281</v>
      </c>
      <c r="H106" s="22">
        <f>(+F106-G106)/G106</f>
        <v>-3.0927281993508759E-2</v>
      </c>
      <c r="I106" s="23">
        <f>K106/C106</f>
        <v>64.341791618784953</v>
      </c>
      <c r="J106" s="23">
        <f>K106/F106</f>
        <v>116.2330333813109</v>
      </c>
      <c r="K106" s="21">
        <v>4199267.03</v>
      </c>
      <c r="L106" s="21">
        <v>4282672.42</v>
      </c>
      <c r="M106" s="24">
        <f>(+K106-L106)/L106</f>
        <v>-1.9475080468563988E-2</v>
      </c>
      <c r="N106" s="10"/>
      <c r="R106" s="2"/>
    </row>
    <row r="107" spans="1:18" ht="15.75" x14ac:dyDescent="0.25">
      <c r="A107" s="19"/>
      <c r="B107" s="20">
        <f>DATE(2025,9,1)</f>
        <v>45901</v>
      </c>
      <c r="C107" s="21">
        <v>58566</v>
      </c>
      <c r="D107" s="21">
        <v>57691</v>
      </c>
      <c r="E107" s="22">
        <f>(+C107-D107)/D107</f>
        <v>1.5167010452236918E-2</v>
      </c>
      <c r="F107" s="21">
        <f>+C107-25799</f>
        <v>32767</v>
      </c>
      <c r="G107" s="21">
        <f>+D107-24805</f>
        <v>32886</v>
      </c>
      <c r="H107" s="22">
        <f>(+F107-G107)/G107</f>
        <v>-3.6185610898254576E-3</v>
      </c>
      <c r="I107" s="23">
        <f>K107/C107</f>
        <v>59.291630297442204</v>
      </c>
      <c r="J107" s="23">
        <f>K107/F107</f>
        <v>105.97471907712028</v>
      </c>
      <c r="K107" s="21">
        <v>3472473.62</v>
      </c>
      <c r="L107" s="21">
        <v>3550945.67</v>
      </c>
      <c r="M107" s="24">
        <f>(+K107-L107)/L107</f>
        <v>-2.2098915976937437E-2</v>
      </c>
      <c r="N107" s="10"/>
      <c r="R107" s="2"/>
    </row>
    <row r="108" spans="1:18" ht="15.75" x14ac:dyDescent="0.25">
      <c r="A108" s="19"/>
      <c r="B108" s="20">
        <f>DATE(2025,10,1)</f>
        <v>45931</v>
      </c>
      <c r="C108" s="21">
        <v>60412</v>
      </c>
      <c r="D108" s="21">
        <v>57484</v>
      </c>
      <c r="E108" s="22">
        <f>(+C108-D108)/D108</f>
        <v>5.0935912601767448E-2</v>
      </c>
      <c r="F108" s="21">
        <f>+C108-27156</f>
        <v>33256</v>
      </c>
      <c r="G108" s="21">
        <f>+D108-25116</f>
        <v>32368</v>
      </c>
      <c r="H108" s="22">
        <f>(+F108-G108)/G108</f>
        <v>2.7434503213049927E-2</v>
      </c>
      <c r="I108" s="23">
        <f>K108/C108</f>
        <v>67.935049824538169</v>
      </c>
      <c r="J108" s="23">
        <f>K108/F108</f>
        <v>123.40907595621843</v>
      </c>
      <c r="K108" s="21">
        <v>4104092.23</v>
      </c>
      <c r="L108" s="21">
        <v>3665445.99</v>
      </c>
      <c r="M108" s="24">
        <f>(+K108-L108)/L108</f>
        <v>0.11967063249511957</v>
      </c>
      <c r="N108" s="10"/>
      <c r="R108" s="2"/>
    </row>
    <row r="109" spans="1:18" ht="15.75" x14ac:dyDescent="0.25">
      <c r="A109" s="19"/>
      <c r="B109" s="20">
        <f>DATE(2025,11,1)</f>
        <v>45962</v>
      </c>
      <c r="C109" s="21">
        <v>58210</v>
      </c>
      <c r="D109" s="21">
        <v>57549</v>
      </c>
      <c r="E109" s="22">
        <f>(+C109-D109)/D109</f>
        <v>1.1485864220055953E-2</v>
      </c>
      <c r="F109" s="21">
        <f>+C109-26631</f>
        <v>31579</v>
      </c>
      <c r="G109" s="21">
        <f>+D109-26362</f>
        <v>31187</v>
      </c>
      <c r="H109" s="22">
        <f>(+F109-G109)/G109</f>
        <v>1.2569339789014653E-2</v>
      </c>
      <c r="I109" s="23">
        <f>K109/C109</f>
        <v>66.669235698333623</v>
      </c>
      <c r="J109" s="23">
        <f>K109/F109</f>
        <v>122.89230849615251</v>
      </c>
      <c r="K109" s="21">
        <v>3880816.21</v>
      </c>
      <c r="L109" s="21">
        <v>3812455.63</v>
      </c>
      <c r="M109" s="24">
        <f>(+K109-L109)/L109</f>
        <v>1.7930852614276873E-2</v>
      </c>
      <c r="N109" s="10"/>
      <c r="R109" s="2"/>
    </row>
    <row r="110" spans="1:18" ht="15.75" thickBot="1" x14ac:dyDescent="0.25">
      <c r="A110" s="37"/>
      <c r="B110" s="44"/>
      <c r="C110" s="21"/>
      <c r="D110" s="21"/>
      <c r="E110" s="22"/>
      <c r="F110" s="21"/>
      <c r="G110" s="21"/>
      <c r="H110" s="22"/>
      <c r="I110" s="23"/>
      <c r="J110" s="23"/>
      <c r="K110" s="21"/>
      <c r="L110" s="21"/>
      <c r="M110" s="24"/>
      <c r="N110" s="10"/>
      <c r="R110" s="2"/>
    </row>
    <row r="111" spans="1:18" ht="17.25" thickTop="1" thickBot="1" x14ac:dyDescent="0.3">
      <c r="A111" s="25" t="s">
        <v>14</v>
      </c>
      <c r="B111" s="26"/>
      <c r="C111" s="27">
        <f>SUM(C105:C110)</f>
        <v>304984</v>
      </c>
      <c r="D111" s="27">
        <f>SUM(D105:D110)</f>
        <v>300594</v>
      </c>
      <c r="E111" s="279">
        <f>(+C111-D111)/D111</f>
        <v>1.4604416588488127E-2</v>
      </c>
      <c r="F111" s="27">
        <f>SUM(F105:F110)</f>
        <v>168259</v>
      </c>
      <c r="G111" s="27">
        <f>SUM(G105:G110)</f>
        <v>168485</v>
      </c>
      <c r="H111" s="41">
        <f>(+F111-G111)/G111</f>
        <v>-1.3413657002107012E-3</v>
      </c>
      <c r="I111" s="42">
        <f>K111/C111</f>
        <v>65.514173628780526</v>
      </c>
      <c r="J111" s="42">
        <f>K111/F111</f>
        <v>118.7501098306777</v>
      </c>
      <c r="K111" s="27">
        <f>SUM(K105:K110)</f>
        <v>19980774.73</v>
      </c>
      <c r="L111" s="27">
        <f>SUM(L105:L110)</f>
        <v>19332207.109999999</v>
      </c>
      <c r="M111" s="43">
        <f>(+K111-L111)/L111</f>
        <v>3.3548555336163119E-2</v>
      </c>
      <c r="N111" s="10"/>
      <c r="R111" s="2"/>
    </row>
    <row r="112" spans="1:18" ht="16.5" thickTop="1" thickBot="1" x14ac:dyDescent="0.25">
      <c r="A112" s="62"/>
      <c r="B112" s="33"/>
      <c r="C112" s="34"/>
      <c r="D112" s="34"/>
      <c r="E112" s="28"/>
      <c r="F112" s="34"/>
      <c r="G112" s="34"/>
      <c r="H112" s="28"/>
      <c r="I112" s="35"/>
      <c r="J112" s="35"/>
      <c r="K112" s="34"/>
      <c r="L112" s="34"/>
      <c r="M112" s="36"/>
      <c r="N112" s="10"/>
      <c r="R112" s="2"/>
    </row>
    <row r="113" spans="1:18" ht="17.25" thickTop="1" thickBot="1" x14ac:dyDescent="0.3">
      <c r="A113" s="63" t="s">
        <v>18</v>
      </c>
      <c r="B113" s="64"/>
      <c r="C113" s="27">
        <f>C111+C103+C47+C63+C71+C31+C15+C79+C87+C39+C95+C23+C55</f>
        <v>11724518</v>
      </c>
      <c r="D113" s="27">
        <f>D111+D103+D47+D63+D71+D31+D15+D79+D87+D39+D95+D23+D55</f>
        <v>11448909</v>
      </c>
      <c r="E113" s="278">
        <f>(+C113-D113)/D113</f>
        <v>2.4072948784901689E-2</v>
      </c>
      <c r="F113" s="27">
        <f>F111+F103+F47+F63+F71+F31+F15+F79+F87+F39+F95+F23+F55</f>
        <v>5958577</v>
      </c>
      <c r="G113" s="27">
        <f>G111+G103+G47+G63+G71+G31+G15+G79+G87+G39+G95+G23+G55</f>
        <v>5970087</v>
      </c>
      <c r="H113" s="29">
        <f>(+F113-G113)/G113</f>
        <v>-1.9279451036475683E-3</v>
      </c>
      <c r="I113" s="30">
        <f>K113/C113</f>
        <v>70.378106117454038</v>
      </c>
      <c r="J113" s="30">
        <f>K113/F113</f>
        <v>138.48094469199609</v>
      </c>
      <c r="K113" s="27">
        <f>K111+K103+K47+K63+K71+K31+K15+K79+K87+K39+K95+K23+K55</f>
        <v>825149371.98000002</v>
      </c>
      <c r="L113" s="27">
        <f>L111+L103+L47+L63+L71+L31+L15+L79+L87+L39+L95+L23+L55</f>
        <v>773408215.01999998</v>
      </c>
      <c r="M113" s="31">
        <f>(+K113-L113)/L113</f>
        <v>6.6900190552879032E-2</v>
      </c>
      <c r="N113" s="10"/>
      <c r="R113" s="2"/>
    </row>
    <row r="114" spans="1:18" ht="17.25" thickTop="1" thickBot="1" x14ac:dyDescent="0.3">
      <c r="A114" s="63"/>
      <c r="B114" s="64"/>
      <c r="C114" s="27"/>
      <c r="D114" s="27"/>
      <c r="E114" s="28"/>
      <c r="F114" s="27"/>
      <c r="G114" s="27"/>
      <c r="H114" s="29"/>
      <c r="I114" s="30"/>
      <c r="J114" s="30"/>
      <c r="K114" s="27"/>
      <c r="L114" s="27"/>
      <c r="M114" s="31"/>
      <c r="N114" s="10"/>
      <c r="R114" s="2"/>
    </row>
    <row r="115" spans="1:18" ht="17.25" thickTop="1" thickBot="1" x14ac:dyDescent="0.3">
      <c r="A115" s="63" t="s">
        <v>19</v>
      </c>
      <c r="B115" s="64"/>
      <c r="C115" s="27">
        <f>+C13+C21+C29+C37+C45+C53+C61+C69+C77+C85+C93+C101+C109</f>
        <v>2270219</v>
      </c>
      <c r="D115" s="27">
        <f>+D13+D21+D29+D37+D45+D53+D61+D69+D77+D85+D93+D101+D109</f>
        <v>2253874</v>
      </c>
      <c r="E115" s="278">
        <f>(+C115-D115)/D115</f>
        <v>7.2519581839978631E-3</v>
      </c>
      <c r="F115" s="27">
        <f>+F13+F21+F29+F37+F45+F53+F61+F69+F77+F85+F93+F101+F109</f>
        <v>1136247</v>
      </c>
      <c r="G115" s="27">
        <f>+G13+G21+G29+G37+G45+G53+G61+G69+G77+G85+G93+G101+G109</f>
        <v>1154114</v>
      </c>
      <c r="H115" s="29">
        <f>(+F115-G115)/G115</f>
        <v>-1.548113964478379E-2</v>
      </c>
      <c r="I115" s="290">
        <f>K115/C115</f>
        <v>69.848239209521196</v>
      </c>
      <c r="J115" s="30">
        <f>K115/F115</f>
        <v>139.55662788988664</v>
      </c>
      <c r="K115" s="27">
        <f>+K13+K21+K29+K37+K45+K53+K61+K69+K77+K85+K93+K101+K109</f>
        <v>158570799.77000001</v>
      </c>
      <c r="L115" s="27">
        <f>+L13+L21+L29+L37+L45+L53+L61+L69+L77+L85+L93+L101+L109</f>
        <v>153571158.35999998</v>
      </c>
      <c r="M115" s="31">
        <f>(+K115-L115)/L115</f>
        <v>3.2555861812801568E-2</v>
      </c>
      <c r="N115" s="10"/>
      <c r="R115" s="2"/>
    </row>
    <row r="116" spans="1:18" ht="15.75" thickTop="1" x14ac:dyDescent="0.2">
      <c r="A116" s="65"/>
      <c r="B116" s="66"/>
      <c r="C116" s="67"/>
      <c r="D116" s="66"/>
      <c r="E116" s="66"/>
      <c r="F116" s="66"/>
      <c r="G116" s="66"/>
      <c r="H116" s="66"/>
      <c r="I116" s="66"/>
      <c r="J116" s="66"/>
      <c r="K116" s="67"/>
      <c r="L116" s="67"/>
      <c r="M116" s="66"/>
      <c r="R116" s="2"/>
    </row>
    <row r="117" spans="1:18" ht="18.75" x14ac:dyDescent="0.3">
      <c r="A117" s="263" t="s">
        <v>20</v>
      </c>
      <c r="B117" s="69"/>
      <c r="C117" s="70"/>
      <c r="D117" s="70"/>
      <c r="E117" s="70"/>
      <c r="F117" s="70"/>
      <c r="G117" s="70"/>
      <c r="H117" s="70"/>
      <c r="I117" s="70"/>
      <c r="J117" s="70"/>
      <c r="K117" s="197"/>
      <c r="L117" s="197"/>
      <c r="M117" s="70"/>
      <c r="N117" s="2"/>
      <c r="O117" s="2"/>
      <c r="P117" s="2"/>
      <c r="Q117" s="2"/>
      <c r="R117" s="2"/>
    </row>
    <row r="118" spans="1:18" ht="18" x14ac:dyDescent="0.25">
      <c r="A118" s="68"/>
      <c r="B118" s="69"/>
      <c r="C118" s="70"/>
      <c r="D118" s="70"/>
      <c r="E118" s="70"/>
      <c r="F118" s="70"/>
      <c r="G118" s="70"/>
      <c r="H118" s="70"/>
      <c r="I118" s="70"/>
      <c r="J118" s="70"/>
      <c r="K118" s="197"/>
      <c r="L118" s="197"/>
      <c r="M118" s="70"/>
      <c r="N118" s="2"/>
      <c r="O118" s="2"/>
      <c r="P118" s="2"/>
      <c r="Q118" s="2"/>
      <c r="R118" s="2"/>
    </row>
    <row r="119" spans="1:18" ht="15.75" x14ac:dyDescent="0.25">
      <c r="A119" s="71"/>
      <c r="B119" s="72"/>
      <c r="C119" s="73"/>
      <c r="D119" s="73"/>
      <c r="E119" s="73"/>
      <c r="F119" s="73"/>
      <c r="G119" s="73"/>
      <c r="H119" s="73"/>
      <c r="I119" s="73"/>
      <c r="J119" s="73"/>
      <c r="K119" s="191"/>
      <c r="L119" s="191"/>
      <c r="M119" s="74"/>
      <c r="N119" s="2"/>
      <c r="O119" s="2"/>
      <c r="P119" s="2"/>
      <c r="Q119" s="2"/>
      <c r="R119" s="2"/>
    </row>
    <row r="120" spans="1:18" x14ac:dyDescent="0.2">
      <c r="A120" s="2"/>
      <c r="B120" s="72"/>
      <c r="C120" s="73"/>
      <c r="D120" s="73"/>
      <c r="E120" s="73"/>
      <c r="F120" s="73"/>
      <c r="G120" s="73"/>
      <c r="H120" s="73"/>
      <c r="I120" s="73"/>
      <c r="J120" s="73"/>
      <c r="K120" s="191"/>
      <c r="L120" s="191"/>
      <c r="M120" s="74"/>
      <c r="N120" s="2"/>
      <c r="O120" s="2"/>
      <c r="P120" s="2"/>
      <c r="Q120" s="2"/>
      <c r="R120" s="2"/>
    </row>
    <row r="121" spans="1:18" x14ac:dyDescent="0.2">
      <c r="A121" s="2"/>
      <c r="B121" s="72"/>
      <c r="C121" s="73"/>
      <c r="D121" s="73"/>
      <c r="E121" s="73"/>
      <c r="F121" s="73"/>
      <c r="G121" s="73"/>
      <c r="H121" s="73"/>
      <c r="I121" s="73"/>
      <c r="J121" s="73"/>
      <c r="K121" s="191"/>
      <c r="L121" s="191"/>
      <c r="M121" s="74"/>
      <c r="N121" s="2"/>
      <c r="O121" s="2"/>
      <c r="P121" s="2"/>
      <c r="Q121" s="2"/>
      <c r="R121" s="2"/>
    </row>
    <row r="122" spans="1:18" x14ac:dyDescent="0.2">
      <c r="A122" s="2"/>
      <c r="B122" s="72"/>
      <c r="C122" s="73"/>
      <c r="D122" s="73"/>
      <c r="E122" s="73"/>
      <c r="F122" s="73"/>
      <c r="G122" s="73"/>
      <c r="H122" s="73"/>
      <c r="I122" s="73"/>
      <c r="J122" s="73"/>
      <c r="K122" s="191"/>
      <c r="L122" s="191"/>
      <c r="M122" s="74"/>
      <c r="N122" s="2"/>
      <c r="O122" s="2"/>
      <c r="P122" s="2"/>
      <c r="Q122" s="2"/>
      <c r="R122" s="2"/>
    </row>
    <row r="123" spans="1:18" x14ac:dyDescent="0.2">
      <c r="A123" s="2"/>
      <c r="B123" s="72"/>
      <c r="C123" s="73"/>
      <c r="D123" s="73"/>
      <c r="E123" s="73"/>
      <c r="F123" s="73"/>
      <c r="G123" s="73"/>
      <c r="H123" s="73"/>
      <c r="I123" s="73"/>
      <c r="J123" s="73"/>
      <c r="K123" s="191"/>
      <c r="L123" s="191"/>
      <c r="M123" s="74"/>
      <c r="N123" s="2"/>
      <c r="O123" s="2"/>
      <c r="P123" s="2"/>
      <c r="Q123" s="2"/>
      <c r="R123" s="2"/>
    </row>
    <row r="124" spans="1:18" x14ac:dyDescent="0.2">
      <c r="A124" s="2"/>
      <c r="B124" s="72"/>
      <c r="C124" s="73"/>
      <c r="D124" s="73"/>
      <c r="E124" s="73"/>
      <c r="F124" s="73"/>
      <c r="G124" s="73"/>
      <c r="H124" s="73"/>
      <c r="I124" s="73"/>
      <c r="J124" s="73"/>
      <c r="K124" s="191"/>
      <c r="L124" s="191"/>
      <c r="M124" s="74"/>
      <c r="N124" s="2"/>
      <c r="O124" s="2"/>
      <c r="P124" s="2"/>
      <c r="Q124" s="2"/>
      <c r="R124" s="2"/>
    </row>
    <row r="125" spans="1:18" x14ac:dyDescent="0.2">
      <c r="A125" s="2"/>
      <c r="B125" s="72"/>
      <c r="C125" s="73"/>
      <c r="D125" s="73"/>
      <c r="E125" s="73"/>
      <c r="F125" s="73"/>
      <c r="G125" s="73"/>
      <c r="H125" s="73"/>
      <c r="I125" s="73"/>
      <c r="J125" s="73"/>
      <c r="K125" s="191"/>
      <c r="L125" s="191"/>
      <c r="M125" s="74"/>
      <c r="N125" s="2"/>
      <c r="O125" s="2"/>
      <c r="P125" s="2"/>
      <c r="Q125" s="2"/>
      <c r="R125" s="2"/>
    </row>
    <row r="126" spans="1:18" x14ac:dyDescent="0.2">
      <c r="A126" s="2"/>
      <c r="B126" s="72"/>
      <c r="C126" s="73"/>
      <c r="D126" s="73"/>
      <c r="E126" s="73"/>
      <c r="F126" s="73"/>
      <c r="G126" s="73"/>
      <c r="H126" s="73"/>
      <c r="I126" s="73"/>
      <c r="J126" s="73"/>
      <c r="K126" s="191"/>
      <c r="L126" s="191"/>
      <c r="M126" s="74"/>
      <c r="N126" s="2"/>
      <c r="O126" s="2"/>
      <c r="P126" s="2"/>
      <c r="Q126" s="2"/>
      <c r="R126" s="2"/>
    </row>
    <row r="127" spans="1:18" x14ac:dyDescent="0.2">
      <c r="A127" s="2"/>
      <c r="B127" s="72"/>
      <c r="C127" s="73"/>
      <c r="D127" s="73"/>
      <c r="E127" s="73"/>
      <c r="F127" s="73"/>
      <c r="G127" s="73"/>
      <c r="H127" s="73"/>
      <c r="I127" s="73"/>
      <c r="J127" s="73"/>
      <c r="K127" s="191"/>
      <c r="L127" s="191"/>
      <c r="M127" s="74"/>
      <c r="N127" s="2"/>
      <c r="O127" s="2"/>
      <c r="P127" s="2"/>
      <c r="Q127" s="2"/>
      <c r="R127" s="2"/>
    </row>
    <row r="128" spans="1:18" x14ac:dyDescent="0.2">
      <c r="A128" s="2"/>
      <c r="B128" s="72"/>
      <c r="C128" s="73"/>
      <c r="D128" s="73"/>
      <c r="E128" s="73"/>
      <c r="F128" s="73"/>
      <c r="G128" s="73"/>
      <c r="H128" s="73"/>
      <c r="I128" s="73"/>
      <c r="J128" s="73"/>
      <c r="K128" s="191"/>
      <c r="L128" s="191"/>
      <c r="M128" s="73"/>
      <c r="N128" s="2"/>
      <c r="O128" s="2"/>
      <c r="P128" s="2"/>
      <c r="Q128" s="2"/>
      <c r="R128" s="2"/>
    </row>
    <row r="129" spans="1:18" x14ac:dyDescent="0.2">
      <c r="A129" s="2"/>
      <c r="B129" s="72"/>
      <c r="C129" s="73"/>
      <c r="D129" s="73"/>
      <c r="E129" s="73"/>
      <c r="F129" s="73"/>
      <c r="G129" s="73"/>
      <c r="H129" s="73"/>
      <c r="I129" s="73"/>
      <c r="J129" s="73"/>
      <c r="K129" s="191"/>
      <c r="L129" s="191"/>
      <c r="M129" s="73"/>
      <c r="N129" s="2"/>
      <c r="O129" s="2"/>
      <c r="P129" s="2"/>
      <c r="Q129" s="2"/>
      <c r="R129" s="2"/>
    </row>
    <row r="130" spans="1:18" x14ac:dyDescent="0.2">
      <c r="A130" s="2"/>
      <c r="B130" s="69"/>
      <c r="C130" s="73"/>
      <c r="D130" s="73"/>
      <c r="E130" s="73"/>
      <c r="F130" s="73"/>
      <c r="G130" s="73"/>
      <c r="H130" s="73"/>
      <c r="I130" s="73"/>
      <c r="J130" s="73"/>
      <c r="K130" s="191"/>
      <c r="L130" s="191"/>
      <c r="M130" s="73"/>
      <c r="N130" s="2"/>
      <c r="O130" s="2"/>
      <c r="P130" s="2"/>
      <c r="Q130" s="2"/>
      <c r="R130" s="2"/>
    </row>
    <row r="131" spans="1:18" ht="15.75" x14ac:dyDescent="0.25">
      <c r="A131" s="75"/>
      <c r="B131" s="69"/>
      <c r="C131" s="73"/>
      <c r="D131" s="73"/>
      <c r="E131" s="73"/>
      <c r="F131" s="73"/>
      <c r="G131" s="73"/>
      <c r="H131" s="73"/>
      <c r="I131" s="73"/>
      <c r="J131" s="73"/>
      <c r="K131" s="191"/>
      <c r="L131" s="191"/>
      <c r="M131" s="74"/>
      <c r="N131" s="2"/>
      <c r="O131" s="2"/>
      <c r="P131" s="2"/>
      <c r="Q131" s="2"/>
      <c r="R131" s="2"/>
    </row>
    <row r="132" spans="1:18" ht="15.75" x14ac:dyDescent="0.25">
      <c r="A132" s="75"/>
      <c r="B132" s="69"/>
      <c r="C132" s="73"/>
      <c r="D132" s="73"/>
      <c r="E132" s="73"/>
      <c r="F132" s="73"/>
      <c r="G132" s="73"/>
      <c r="H132" s="73"/>
      <c r="I132" s="73"/>
      <c r="J132" s="73"/>
      <c r="K132" s="191"/>
      <c r="L132" s="191"/>
      <c r="M132" s="74"/>
      <c r="N132" s="2"/>
      <c r="O132" s="2"/>
      <c r="P132" s="2"/>
      <c r="Q132" s="2"/>
      <c r="R132" s="2"/>
    </row>
    <row r="133" spans="1:18" ht="15.75" x14ac:dyDescent="0.25">
      <c r="A133" s="75"/>
      <c r="B133" s="69"/>
      <c r="C133" s="73"/>
      <c r="D133" s="73"/>
      <c r="E133" s="73"/>
      <c r="F133" s="73"/>
      <c r="G133" s="73"/>
      <c r="H133" s="73"/>
      <c r="I133" s="73"/>
      <c r="J133" s="73"/>
      <c r="K133" s="191"/>
      <c r="L133" s="191"/>
      <c r="M133" s="74"/>
      <c r="N133" s="2"/>
      <c r="O133" s="2"/>
      <c r="P133" s="2"/>
      <c r="Q133" s="2"/>
      <c r="R133" s="2"/>
    </row>
    <row r="134" spans="1:18" x14ac:dyDescent="0.2">
      <c r="A134" s="2"/>
      <c r="B134" s="69"/>
      <c r="C134" s="73"/>
      <c r="D134" s="73"/>
      <c r="E134" s="73"/>
      <c r="F134" s="73"/>
      <c r="G134" s="73"/>
      <c r="H134" s="73"/>
      <c r="I134" s="73"/>
      <c r="J134" s="73"/>
      <c r="K134" s="191"/>
      <c r="L134" s="191"/>
      <c r="M134" s="74"/>
      <c r="N134" s="2"/>
      <c r="O134" s="2"/>
      <c r="P134" s="2"/>
      <c r="Q134" s="2"/>
      <c r="R134" s="2"/>
    </row>
    <row r="135" spans="1:18" ht="15.75" x14ac:dyDescent="0.25">
      <c r="A135" s="75"/>
      <c r="B135" s="72"/>
      <c r="C135" s="73"/>
      <c r="D135" s="73"/>
      <c r="E135" s="73"/>
      <c r="F135" s="73"/>
      <c r="G135" s="73"/>
      <c r="H135" s="73"/>
      <c r="I135" s="73"/>
      <c r="J135" s="73"/>
      <c r="K135" s="191"/>
      <c r="L135" s="191"/>
      <c r="M135" s="74"/>
      <c r="N135" s="2"/>
      <c r="O135" s="2"/>
      <c r="P135" s="2"/>
      <c r="Q135" s="2"/>
      <c r="R135" s="2"/>
    </row>
    <row r="136" spans="1:18" x14ac:dyDescent="0.2">
      <c r="A136" s="2"/>
      <c r="B136" s="72"/>
      <c r="C136" s="73"/>
      <c r="D136" s="73"/>
      <c r="E136" s="73"/>
      <c r="F136" s="73"/>
      <c r="G136" s="73"/>
      <c r="H136" s="73"/>
      <c r="I136" s="73"/>
      <c r="J136" s="73"/>
      <c r="K136" s="191"/>
      <c r="L136" s="191"/>
      <c r="M136" s="74"/>
      <c r="N136" s="2"/>
      <c r="O136" s="2"/>
      <c r="P136" s="2"/>
      <c r="Q136" s="2"/>
      <c r="R136" s="2"/>
    </row>
    <row r="137" spans="1:18" x14ac:dyDescent="0.2">
      <c r="A137" s="2"/>
      <c r="B137" s="72"/>
      <c r="C137" s="73"/>
      <c r="D137" s="73"/>
      <c r="E137" s="73"/>
      <c r="F137" s="73"/>
      <c r="G137" s="73"/>
      <c r="H137" s="73"/>
      <c r="I137" s="73"/>
      <c r="J137" s="73"/>
      <c r="K137" s="191"/>
      <c r="L137" s="191"/>
      <c r="M137" s="74"/>
      <c r="N137" s="2"/>
      <c r="O137" s="2"/>
      <c r="P137" s="2"/>
      <c r="Q137" s="2"/>
      <c r="R137" s="2"/>
    </row>
    <row r="138" spans="1:18" x14ac:dyDescent="0.2">
      <c r="A138" s="2"/>
      <c r="B138" s="76"/>
      <c r="C138" s="73"/>
      <c r="D138" s="73"/>
      <c r="E138" s="73"/>
      <c r="F138" s="73"/>
      <c r="G138" s="73"/>
      <c r="H138" s="73"/>
      <c r="I138" s="73"/>
      <c r="J138" s="73"/>
      <c r="K138" s="191"/>
      <c r="L138" s="191"/>
      <c r="M138" s="74"/>
      <c r="N138" s="2"/>
      <c r="O138" s="2"/>
      <c r="P138" s="2"/>
      <c r="Q138" s="2"/>
      <c r="R138" s="2"/>
    </row>
    <row r="139" spans="1:18" x14ac:dyDescent="0.2">
      <c r="A139" s="2"/>
      <c r="B139" s="76"/>
      <c r="C139" s="73"/>
      <c r="D139" s="73"/>
      <c r="E139" s="73"/>
      <c r="F139" s="73"/>
      <c r="G139" s="73"/>
      <c r="H139" s="73"/>
      <c r="I139" s="73"/>
      <c r="J139" s="73"/>
      <c r="K139" s="191"/>
      <c r="L139" s="191"/>
      <c r="M139" s="74"/>
      <c r="N139" s="2"/>
      <c r="O139" s="2"/>
      <c r="P139" s="2"/>
      <c r="Q139" s="2"/>
      <c r="R139" s="2"/>
    </row>
    <row r="140" spans="1:18" x14ac:dyDescent="0.2">
      <c r="A140" s="2"/>
      <c r="B140" s="76"/>
      <c r="C140" s="73"/>
      <c r="D140" s="73"/>
      <c r="E140" s="73"/>
      <c r="F140" s="73"/>
      <c r="G140" s="73"/>
      <c r="H140" s="73"/>
      <c r="I140" s="73"/>
      <c r="J140" s="73"/>
      <c r="K140" s="191"/>
      <c r="L140" s="191"/>
      <c r="M140" s="74"/>
      <c r="N140" s="2"/>
      <c r="O140" s="2"/>
      <c r="P140" s="2"/>
      <c r="Q140" s="2"/>
      <c r="R140" s="2"/>
    </row>
    <row r="141" spans="1:18" x14ac:dyDescent="0.2">
      <c r="A141" s="2"/>
      <c r="B141" s="76"/>
      <c r="C141" s="73"/>
      <c r="D141" s="73"/>
      <c r="E141" s="73"/>
      <c r="F141" s="73"/>
      <c r="G141" s="73"/>
      <c r="H141" s="73"/>
      <c r="I141" s="73"/>
      <c r="J141" s="73"/>
      <c r="K141" s="191"/>
      <c r="L141" s="191"/>
      <c r="M141" s="74"/>
      <c r="N141" s="2"/>
      <c r="O141" s="2"/>
      <c r="P141" s="2"/>
      <c r="Q141" s="2"/>
      <c r="R141" s="2"/>
    </row>
    <row r="142" spans="1:18" x14ac:dyDescent="0.2">
      <c r="A142" s="2"/>
      <c r="B142" s="76"/>
      <c r="C142" s="73"/>
      <c r="D142" s="73"/>
      <c r="E142" s="73"/>
      <c r="F142" s="73"/>
      <c r="G142" s="73"/>
      <c r="H142" s="73"/>
      <c r="I142" s="73"/>
      <c r="J142" s="73"/>
      <c r="K142" s="191"/>
      <c r="L142" s="191"/>
      <c r="M142" s="74"/>
      <c r="N142" s="2"/>
      <c r="O142" s="2"/>
      <c r="P142" s="2"/>
      <c r="Q142" s="2"/>
      <c r="R142" s="2"/>
    </row>
    <row r="143" spans="1:18" x14ac:dyDescent="0.2">
      <c r="A143" s="2"/>
      <c r="B143" s="76"/>
      <c r="C143" s="73"/>
      <c r="D143" s="73"/>
      <c r="E143" s="73"/>
      <c r="F143" s="73"/>
      <c r="G143" s="73"/>
      <c r="H143" s="73"/>
      <c r="I143" s="73"/>
      <c r="J143" s="73"/>
      <c r="K143" s="191"/>
      <c r="L143" s="191"/>
      <c r="M143" s="74"/>
      <c r="N143" s="2"/>
      <c r="O143" s="2"/>
      <c r="P143" s="2"/>
      <c r="Q143" s="2"/>
      <c r="R143" s="2"/>
    </row>
    <row r="144" spans="1:18" x14ac:dyDescent="0.2">
      <c r="A144" s="2"/>
      <c r="B144" s="76"/>
      <c r="C144" s="73"/>
      <c r="D144" s="73"/>
      <c r="E144" s="73"/>
      <c r="F144" s="73"/>
      <c r="G144" s="73"/>
      <c r="H144" s="73"/>
      <c r="I144" s="73"/>
      <c r="J144" s="73"/>
      <c r="K144" s="191"/>
      <c r="L144" s="191"/>
      <c r="M144" s="74"/>
      <c r="N144" s="2"/>
      <c r="O144" s="2"/>
      <c r="P144" s="2"/>
      <c r="Q144" s="2"/>
      <c r="R144" s="2"/>
    </row>
    <row r="145" spans="1:18" x14ac:dyDescent="0.2">
      <c r="A145" s="2"/>
      <c r="B145" s="76"/>
      <c r="C145" s="73"/>
      <c r="D145" s="73"/>
      <c r="E145" s="73"/>
      <c r="F145" s="73"/>
      <c r="G145" s="73"/>
      <c r="H145" s="73"/>
      <c r="I145" s="73"/>
      <c r="J145" s="73"/>
      <c r="K145" s="191"/>
      <c r="L145" s="191"/>
      <c r="M145" s="74"/>
      <c r="N145" s="2"/>
      <c r="O145" s="2"/>
      <c r="P145" s="2"/>
      <c r="Q145" s="2"/>
      <c r="R145" s="2"/>
    </row>
    <row r="146" spans="1:18" x14ac:dyDescent="0.2">
      <c r="A146" s="2"/>
      <c r="B146" s="76"/>
      <c r="C146" s="73"/>
      <c r="D146" s="73"/>
      <c r="E146" s="73"/>
      <c r="F146" s="73"/>
      <c r="G146" s="73"/>
      <c r="H146" s="73"/>
      <c r="I146" s="73"/>
      <c r="J146" s="73"/>
      <c r="K146" s="191"/>
      <c r="L146" s="191"/>
      <c r="M146" s="74"/>
      <c r="N146" s="2"/>
      <c r="O146" s="2"/>
      <c r="P146" s="2"/>
      <c r="Q146" s="2"/>
      <c r="R146" s="2"/>
    </row>
    <row r="147" spans="1:18" x14ac:dyDescent="0.2">
      <c r="A147" s="2"/>
      <c r="B147" s="2"/>
      <c r="C147" s="73"/>
      <c r="D147" s="73"/>
      <c r="E147" s="73"/>
      <c r="F147" s="73"/>
      <c r="G147" s="73"/>
      <c r="H147" s="73"/>
      <c r="I147" s="73"/>
      <c r="J147" s="73"/>
      <c r="K147" s="191"/>
      <c r="L147" s="191"/>
      <c r="M147" s="74"/>
      <c r="N147" s="2"/>
      <c r="O147" s="2"/>
      <c r="P147" s="2"/>
      <c r="Q147" s="2"/>
      <c r="R147" s="2"/>
    </row>
    <row r="148" spans="1:18" ht="15.75" x14ac:dyDescent="0.25">
      <c r="A148" s="75"/>
      <c r="B148" s="2"/>
      <c r="C148" s="73"/>
      <c r="D148" s="73"/>
      <c r="E148" s="73"/>
      <c r="F148" s="73"/>
      <c r="G148" s="73"/>
      <c r="H148" s="73"/>
      <c r="I148" s="73"/>
      <c r="J148" s="73"/>
      <c r="K148" s="191"/>
      <c r="L148" s="191"/>
      <c r="M148" s="74"/>
      <c r="N148" s="2"/>
      <c r="O148" s="2"/>
      <c r="P148" s="2"/>
      <c r="Q148" s="2"/>
      <c r="R148" s="2"/>
    </row>
    <row r="149" spans="1:18" x14ac:dyDescent="0.2">
      <c r="A149" s="2"/>
      <c r="B149" s="2"/>
      <c r="C149" s="73"/>
      <c r="D149" s="73"/>
      <c r="E149" s="73"/>
      <c r="F149" s="73"/>
      <c r="G149" s="73"/>
      <c r="H149" s="73"/>
      <c r="I149" s="73"/>
      <c r="J149" s="73"/>
      <c r="K149" s="191"/>
      <c r="L149" s="191"/>
      <c r="M149" s="74"/>
      <c r="N149" s="2"/>
      <c r="O149" s="2"/>
      <c r="P149" s="2"/>
      <c r="Q149" s="2"/>
      <c r="R149" s="2"/>
    </row>
    <row r="150" spans="1:18" x14ac:dyDescent="0.2">
      <c r="A150" s="2"/>
      <c r="B150" s="2"/>
      <c r="C150" s="73"/>
      <c r="D150" s="73"/>
      <c r="E150" s="73"/>
      <c r="F150" s="73"/>
      <c r="G150" s="73"/>
      <c r="H150" s="73"/>
      <c r="I150" s="73"/>
      <c r="J150" s="73"/>
      <c r="K150" s="191"/>
      <c r="L150" s="191"/>
      <c r="M150" s="74"/>
      <c r="N150" s="2"/>
      <c r="O150" s="2"/>
      <c r="P150" s="2"/>
      <c r="Q150" s="2"/>
      <c r="R150" s="2"/>
    </row>
    <row r="151" spans="1:18" ht="15.75" x14ac:dyDescent="0.25">
      <c r="A151" s="75"/>
      <c r="B151" s="2"/>
      <c r="C151" s="73"/>
      <c r="D151" s="73"/>
      <c r="E151" s="73"/>
      <c r="F151" s="73"/>
      <c r="G151" s="73"/>
      <c r="H151" s="73"/>
      <c r="I151" s="73"/>
      <c r="J151" s="73"/>
      <c r="K151" s="191"/>
      <c r="L151" s="191"/>
      <c r="M151" s="74"/>
      <c r="N151" s="2"/>
      <c r="O151" s="2"/>
      <c r="P151" s="2"/>
      <c r="Q151" s="2"/>
      <c r="R151" s="2"/>
    </row>
    <row r="152" spans="1:18" ht="15.75" x14ac:dyDescent="0.25">
      <c r="A152" s="75"/>
      <c r="B152" s="2"/>
      <c r="C152" s="73"/>
      <c r="D152" s="73"/>
      <c r="E152" s="73"/>
      <c r="F152" s="73"/>
      <c r="G152" s="73"/>
      <c r="H152" s="73"/>
      <c r="I152" s="73"/>
      <c r="J152" s="73"/>
      <c r="K152" s="191"/>
      <c r="L152" s="191"/>
      <c r="M152" s="74"/>
      <c r="N152" s="2"/>
      <c r="O152" s="2"/>
      <c r="P152" s="2"/>
      <c r="Q152" s="2"/>
      <c r="R152" s="2"/>
    </row>
    <row r="153" spans="1:18" ht="15.75" x14ac:dyDescent="0.25">
      <c r="A153" s="75"/>
      <c r="B153" s="76"/>
      <c r="C153" s="73"/>
      <c r="D153" s="73"/>
      <c r="E153" s="73"/>
      <c r="F153" s="73"/>
      <c r="G153" s="73"/>
      <c r="H153" s="73"/>
      <c r="I153" s="73"/>
      <c r="J153" s="73"/>
      <c r="K153" s="191"/>
      <c r="L153" s="191"/>
      <c r="M153" s="74"/>
      <c r="N153" s="2"/>
      <c r="O153" s="2"/>
      <c r="P153" s="2"/>
      <c r="Q153" s="2"/>
      <c r="R153" s="2"/>
    </row>
    <row r="154" spans="1:18" x14ac:dyDescent="0.2">
      <c r="A154" s="2"/>
      <c r="B154" s="76"/>
      <c r="C154" s="73"/>
      <c r="D154" s="73"/>
      <c r="E154" s="73"/>
      <c r="F154" s="73"/>
      <c r="G154" s="73"/>
      <c r="H154" s="73"/>
      <c r="I154" s="73"/>
      <c r="J154" s="73"/>
      <c r="K154" s="191"/>
      <c r="L154" s="191"/>
      <c r="M154" s="74"/>
      <c r="N154" s="2"/>
      <c r="O154" s="2"/>
      <c r="P154" s="2"/>
      <c r="Q154" s="2"/>
      <c r="R154" s="2"/>
    </row>
    <row r="155" spans="1:18" x14ac:dyDescent="0.2">
      <c r="A155" s="2"/>
      <c r="B155" s="76"/>
      <c r="C155" s="73"/>
      <c r="D155" s="73"/>
      <c r="E155" s="73"/>
      <c r="F155" s="73"/>
      <c r="G155" s="73"/>
      <c r="H155" s="73"/>
      <c r="I155" s="73"/>
      <c r="J155" s="73"/>
      <c r="K155" s="191"/>
      <c r="L155" s="191"/>
      <c r="M155" s="74"/>
      <c r="N155" s="2"/>
      <c r="O155" s="2"/>
      <c r="P155" s="2"/>
      <c r="Q155" s="2"/>
      <c r="R155" s="2"/>
    </row>
    <row r="156" spans="1:18" x14ac:dyDescent="0.2">
      <c r="A156" s="2"/>
      <c r="B156" s="76"/>
      <c r="C156" s="73"/>
      <c r="D156" s="73"/>
      <c r="E156" s="73"/>
      <c r="F156" s="73"/>
      <c r="G156" s="73"/>
      <c r="H156" s="73"/>
      <c r="I156" s="73"/>
      <c r="J156" s="73"/>
      <c r="K156" s="191"/>
      <c r="L156" s="191"/>
      <c r="M156" s="74"/>
      <c r="N156" s="2"/>
      <c r="O156" s="2"/>
      <c r="P156" s="2"/>
      <c r="Q156" s="2"/>
      <c r="R156" s="2"/>
    </row>
    <row r="157" spans="1:18" x14ac:dyDescent="0.2">
      <c r="A157" s="2"/>
      <c r="B157" s="76"/>
      <c r="C157" s="73"/>
      <c r="D157" s="73"/>
      <c r="E157" s="73"/>
      <c r="F157" s="73"/>
      <c r="G157" s="73"/>
      <c r="H157" s="73"/>
      <c r="I157" s="73"/>
      <c r="J157" s="73"/>
      <c r="K157" s="191"/>
      <c r="L157" s="191"/>
      <c r="M157" s="74"/>
      <c r="N157" s="2"/>
      <c r="O157" s="2"/>
      <c r="P157" s="2"/>
      <c r="Q157" s="2"/>
      <c r="R157" s="2"/>
    </row>
    <row r="158" spans="1:18" x14ac:dyDescent="0.2">
      <c r="A158" s="2"/>
      <c r="B158" s="76"/>
      <c r="C158" s="73"/>
      <c r="D158" s="73"/>
      <c r="E158" s="73"/>
      <c r="F158" s="73"/>
      <c r="G158" s="73"/>
      <c r="H158" s="73"/>
      <c r="I158" s="73"/>
      <c r="J158" s="73"/>
      <c r="K158" s="191"/>
      <c r="L158" s="191"/>
      <c r="M158" s="74"/>
      <c r="N158" s="2"/>
      <c r="O158" s="2"/>
      <c r="P158" s="2"/>
      <c r="Q158" s="2"/>
      <c r="R158" s="2"/>
    </row>
    <row r="159" spans="1:18" x14ac:dyDescent="0.2">
      <c r="A159" s="2"/>
      <c r="B159" s="76"/>
      <c r="C159" s="73"/>
      <c r="D159" s="73"/>
      <c r="E159" s="73"/>
      <c r="F159" s="73"/>
      <c r="G159" s="73"/>
      <c r="H159" s="73"/>
      <c r="I159" s="73"/>
      <c r="J159" s="73"/>
      <c r="K159" s="191"/>
      <c r="L159" s="191"/>
      <c r="M159" s="74"/>
      <c r="N159" s="2"/>
      <c r="O159" s="2"/>
      <c r="P159" s="2"/>
      <c r="Q159" s="2"/>
      <c r="R159" s="2"/>
    </row>
    <row r="160" spans="1:18" x14ac:dyDescent="0.2">
      <c r="A160" s="2"/>
      <c r="B160" s="76"/>
      <c r="C160" s="73"/>
      <c r="D160" s="73"/>
      <c r="E160" s="73"/>
      <c r="F160" s="73"/>
      <c r="G160" s="73"/>
      <c r="H160" s="73"/>
      <c r="I160" s="73"/>
      <c r="J160" s="73"/>
      <c r="K160" s="191"/>
      <c r="L160" s="191"/>
      <c r="M160" s="74"/>
      <c r="N160" s="2"/>
      <c r="O160" s="2"/>
      <c r="P160" s="2"/>
      <c r="Q160" s="2"/>
      <c r="R160" s="2"/>
    </row>
    <row r="161" spans="1:18" x14ac:dyDescent="0.2">
      <c r="A161" s="2"/>
      <c r="B161" s="76"/>
      <c r="C161" s="73"/>
      <c r="D161" s="73"/>
      <c r="E161" s="73"/>
      <c r="F161" s="73"/>
      <c r="G161" s="73"/>
      <c r="H161" s="73"/>
      <c r="I161" s="73"/>
      <c r="J161" s="73"/>
      <c r="K161" s="191"/>
      <c r="L161" s="191"/>
      <c r="M161" s="74"/>
      <c r="N161" s="2"/>
      <c r="O161" s="2"/>
      <c r="P161" s="2"/>
      <c r="Q161" s="2"/>
      <c r="R161" s="2"/>
    </row>
    <row r="162" spans="1:18" x14ac:dyDescent="0.2">
      <c r="A162" s="2"/>
      <c r="B162" s="76"/>
      <c r="C162" s="73"/>
      <c r="D162" s="73"/>
      <c r="E162" s="73"/>
      <c r="F162" s="73"/>
      <c r="G162" s="73"/>
      <c r="H162" s="73"/>
      <c r="I162" s="73"/>
      <c r="J162" s="73"/>
      <c r="K162" s="191"/>
      <c r="L162" s="191"/>
      <c r="M162" s="74"/>
      <c r="N162" s="2"/>
      <c r="O162" s="2"/>
      <c r="P162" s="2"/>
      <c r="Q162" s="2"/>
      <c r="R162" s="2"/>
    </row>
    <row r="163" spans="1:18" x14ac:dyDescent="0.2">
      <c r="A163" s="2"/>
      <c r="B163" s="76"/>
      <c r="C163" s="73"/>
      <c r="D163" s="73"/>
      <c r="E163" s="73"/>
      <c r="F163" s="73"/>
      <c r="G163" s="73"/>
      <c r="H163" s="73"/>
      <c r="I163" s="73"/>
      <c r="J163" s="73"/>
      <c r="K163" s="191"/>
      <c r="L163" s="191"/>
      <c r="M163" s="74"/>
      <c r="N163" s="2"/>
      <c r="O163" s="2"/>
      <c r="P163" s="2"/>
      <c r="Q163" s="2"/>
      <c r="R163" s="2"/>
    </row>
    <row r="164" spans="1:18" x14ac:dyDescent="0.2">
      <c r="A164" s="2"/>
      <c r="B164" s="76"/>
      <c r="C164" s="73"/>
      <c r="D164" s="73"/>
      <c r="E164" s="73"/>
      <c r="F164" s="73"/>
      <c r="G164" s="73"/>
      <c r="H164" s="73"/>
      <c r="I164" s="73"/>
      <c r="J164" s="73"/>
      <c r="K164" s="191"/>
      <c r="L164" s="191"/>
      <c r="M164" s="74"/>
      <c r="N164" s="2"/>
      <c r="O164" s="2"/>
      <c r="P164" s="2"/>
      <c r="Q164" s="2"/>
      <c r="R164" s="2"/>
    </row>
    <row r="165" spans="1:18" x14ac:dyDescent="0.2">
      <c r="A165" s="2"/>
      <c r="B165" s="2"/>
      <c r="C165" s="73"/>
      <c r="D165" s="73"/>
      <c r="E165" s="73"/>
      <c r="F165" s="73"/>
      <c r="G165" s="73"/>
      <c r="H165" s="73"/>
      <c r="I165" s="73"/>
      <c r="J165" s="73"/>
      <c r="K165" s="191"/>
      <c r="L165" s="191"/>
      <c r="M165" s="74"/>
      <c r="N165" s="2"/>
      <c r="O165" s="2"/>
      <c r="P165" s="2"/>
      <c r="Q165" s="2"/>
      <c r="R165" s="2"/>
    </row>
    <row r="166" spans="1:18" ht="15.75" x14ac:dyDescent="0.25">
      <c r="A166" s="75"/>
      <c r="B166" s="2"/>
      <c r="C166" s="73"/>
      <c r="D166" s="73"/>
      <c r="E166" s="73"/>
      <c r="F166" s="73"/>
      <c r="G166" s="73"/>
      <c r="H166" s="73"/>
      <c r="I166" s="73"/>
      <c r="J166" s="73"/>
      <c r="K166" s="191"/>
      <c r="L166" s="191"/>
      <c r="M166" s="74"/>
      <c r="N166" s="2"/>
      <c r="O166" s="2"/>
      <c r="P166" s="2"/>
      <c r="Q166" s="2"/>
      <c r="R166" s="2"/>
    </row>
    <row r="167" spans="1:18" x14ac:dyDescent="0.2">
      <c r="A167" s="2"/>
      <c r="B167" s="2"/>
      <c r="C167" s="73"/>
      <c r="D167" s="73"/>
      <c r="E167" s="73"/>
      <c r="F167" s="73"/>
      <c r="G167" s="73"/>
      <c r="H167" s="73"/>
      <c r="I167" s="73"/>
      <c r="J167" s="73"/>
      <c r="K167" s="191"/>
      <c r="L167" s="191"/>
      <c r="M167" s="74"/>
      <c r="N167" s="2"/>
      <c r="O167" s="2"/>
      <c r="P167" s="2"/>
      <c r="Q167" s="2"/>
      <c r="R167" s="2"/>
    </row>
    <row r="168" spans="1:18" x14ac:dyDescent="0.2">
      <c r="A168" s="2"/>
      <c r="B168" s="2"/>
      <c r="C168" s="73"/>
      <c r="D168" s="73"/>
      <c r="E168" s="73"/>
      <c r="F168" s="73"/>
      <c r="G168" s="73"/>
      <c r="H168" s="73"/>
      <c r="I168" s="73"/>
      <c r="J168" s="73"/>
      <c r="K168" s="191"/>
      <c r="L168" s="191"/>
      <c r="M168" s="74"/>
      <c r="N168" s="2"/>
      <c r="O168" s="2"/>
      <c r="P168" s="2"/>
      <c r="Q168" s="2"/>
      <c r="R168" s="2"/>
    </row>
    <row r="169" spans="1:18" ht="15.75" x14ac:dyDescent="0.25">
      <c r="A169" s="75"/>
      <c r="B169" s="76"/>
      <c r="C169" s="73"/>
      <c r="D169" s="73"/>
      <c r="E169" s="73"/>
      <c r="F169" s="73"/>
      <c r="G169" s="73"/>
      <c r="H169" s="73"/>
      <c r="I169" s="73"/>
      <c r="J169" s="73"/>
      <c r="K169" s="191"/>
      <c r="L169" s="191"/>
      <c r="M169" s="74"/>
      <c r="N169" s="2"/>
      <c r="O169" s="2"/>
      <c r="P169" s="2"/>
      <c r="Q169" s="2"/>
      <c r="R169" s="2"/>
    </row>
    <row r="170" spans="1:18" x14ac:dyDescent="0.2">
      <c r="A170" s="2"/>
      <c r="B170" s="76"/>
      <c r="C170" s="73"/>
      <c r="D170" s="73"/>
      <c r="E170" s="73"/>
      <c r="F170" s="73"/>
      <c r="G170" s="73"/>
      <c r="H170" s="73"/>
      <c r="I170" s="73"/>
      <c r="J170" s="73"/>
      <c r="K170" s="191"/>
      <c r="L170" s="191"/>
      <c r="M170" s="74"/>
      <c r="N170" s="2"/>
      <c r="O170" s="2"/>
      <c r="P170" s="2"/>
      <c r="Q170" s="2"/>
      <c r="R170" s="2"/>
    </row>
    <row r="171" spans="1:18" x14ac:dyDescent="0.2">
      <c r="A171" s="2"/>
      <c r="B171" s="76"/>
      <c r="C171" s="73"/>
      <c r="D171" s="73"/>
      <c r="E171" s="73"/>
      <c r="F171" s="73"/>
      <c r="G171" s="73"/>
      <c r="H171" s="73"/>
      <c r="I171" s="73"/>
      <c r="J171" s="73"/>
      <c r="K171" s="191"/>
      <c r="L171" s="191"/>
      <c r="M171" s="74"/>
      <c r="N171" s="2"/>
      <c r="O171" s="2"/>
      <c r="P171" s="2"/>
      <c r="Q171" s="2"/>
      <c r="R171" s="2"/>
    </row>
    <row r="172" spans="1:18" x14ac:dyDescent="0.2">
      <c r="A172" s="2"/>
      <c r="B172" s="2"/>
      <c r="C172" s="73"/>
      <c r="D172" s="73"/>
      <c r="E172" s="73"/>
      <c r="F172" s="73"/>
      <c r="G172" s="73"/>
      <c r="H172" s="73"/>
      <c r="I172" s="73"/>
      <c r="J172" s="73"/>
      <c r="K172" s="191"/>
      <c r="L172" s="191"/>
      <c r="M172" s="74"/>
      <c r="N172" s="2"/>
      <c r="O172" s="2"/>
      <c r="P172" s="2"/>
      <c r="Q172" s="2"/>
      <c r="R172" s="2"/>
    </row>
    <row r="173" spans="1:18" x14ac:dyDescent="0.2">
      <c r="A173" s="2"/>
      <c r="B173" s="2"/>
      <c r="C173" s="73"/>
      <c r="D173" s="73"/>
      <c r="E173" s="73"/>
      <c r="F173" s="73"/>
      <c r="G173" s="73"/>
      <c r="H173" s="73"/>
      <c r="I173" s="73"/>
      <c r="J173" s="73"/>
      <c r="K173" s="191"/>
      <c r="L173" s="191"/>
      <c r="M173" s="74"/>
      <c r="N173" s="2"/>
      <c r="O173" s="2"/>
      <c r="P173" s="2"/>
      <c r="Q173" s="2"/>
      <c r="R173" s="2"/>
    </row>
    <row r="174" spans="1:18" x14ac:dyDescent="0.2">
      <c r="A174" s="2"/>
      <c r="B174" s="2"/>
      <c r="C174" s="73"/>
      <c r="D174" s="73"/>
      <c r="E174" s="73"/>
      <c r="F174" s="73"/>
      <c r="G174" s="73"/>
      <c r="H174" s="73"/>
      <c r="I174" s="73"/>
      <c r="J174" s="73"/>
      <c r="K174" s="191"/>
      <c r="L174" s="191"/>
      <c r="M174" s="74"/>
      <c r="N174" s="2"/>
      <c r="O174" s="2"/>
      <c r="P174" s="2"/>
      <c r="Q174" s="2"/>
      <c r="R174" s="2"/>
    </row>
    <row r="175" spans="1:18" ht="15.75" x14ac:dyDescent="0.25">
      <c r="A175" s="75"/>
      <c r="B175" s="2"/>
      <c r="C175" s="73"/>
      <c r="D175" s="73"/>
      <c r="E175" s="73"/>
      <c r="F175" s="73"/>
      <c r="G175" s="73"/>
      <c r="H175" s="73"/>
      <c r="I175" s="73"/>
      <c r="J175" s="73"/>
      <c r="K175" s="191"/>
      <c r="L175" s="191"/>
      <c r="M175" s="74"/>
      <c r="N175" s="2"/>
      <c r="O175" s="2"/>
      <c r="P175" s="2"/>
      <c r="Q175" s="2"/>
      <c r="R175" s="2"/>
    </row>
    <row r="176" spans="1:18" x14ac:dyDescent="0.2">
      <c r="A176" s="2"/>
      <c r="B176" s="2"/>
      <c r="C176" s="73"/>
      <c r="D176" s="73"/>
      <c r="E176" s="73"/>
      <c r="F176" s="73"/>
      <c r="G176" s="73"/>
      <c r="H176" s="73"/>
      <c r="I176" s="73"/>
      <c r="J176" s="73"/>
      <c r="K176" s="191"/>
      <c r="L176" s="191"/>
      <c r="M176" s="74"/>
      <c r="N176" s="2"/>
      <c r="O176" s="2"/>
      <c r="P176" s="2"/>
      <c r="Q176" s="2"/>
      <c r="R176" s="2"/>
    </row>
    <row r="177" spans="1:18" x14ac:dyDescent="0.2">
      <c r="A177" s="2"/>
      <c r="B177" s="2"/>
      <c r="C177" s="73"/>
      <c r="D177" s="73"/>
      <c r="E177" s="73"/>
      <c r="F177" s="73"/>
      <c r="G177" s="73"/>
      <c r="H177" s="73"/>
      <c r="I177" s="73"/>
      <c r="J177" s="73"/>
      <c r="K177" s="191"/>
      <c r="L177" s="191"/>
      <c r="M177" s="74"/>
      <c r="N177" s="2"/>
      <c r="O177" s="2"/>
      <c r="P177" s="2"/>
      <c r="Q177" s="2"/>
      <c r="R177" s="2"/>
    </row>
    <row r="178" spans="1:18" ht="15.75" x14ac:dyDescent="0.25">
      <c r="A178" s="75"/>
      <c r="B178" s="75"/>
      <c r="C178" s="73"/>
      <c r="D178" s="73"/>
      <c r="E178" s="73"/>
      <c r="F178" s="73"/>
      <c r="G178" s="73"/>
      <c r="H178" s="73"/>
      <c r="I178" s="73"/>
      <c r="J178" s="73"/>
      <c r="K178" s="191"/>
      <c r="L178" s="191"/>
      <c r="M178" s="74"/>
      <c r="N178" s="2"/>
      <c r="O178" s="2"/>
      <c r="P178" s="2"/>
      <c r="Q178" s="2"/>
      <c r="R178" s="2"/>
    </row>
    <row r="179" spans="1:18" x14ac:dyDescent="0.2">
      <c r="A179" s="2"/>
      <c r="B179" s="2"/>
      <c r="C179" s="73"/>
      <c r="D179" s="73"/>
      <c r="E179" s="73"/>
      <c r="F179" s="73"/>
      <c r="G179" s="73"/>
      <c r="H179" s="73"/>
      <c r="I179" s="73"/>
      <c r="J179" s="73"/>
      <c r="K179" s="191"/>
      <c r="L179" s="191"/>
      <c r="M179" s="74"/>
      <c r="N179" s="2"/>
      <c r="O179" s="2"/>
      <c r="P179" s="2"/>
      <c r="Q179" s="2"/>
      <c r="R179" s="2"/>
    </row>
    <row r="180" spans="1:18" x14ac:dyDescent="0.2">
      <c r="A180" s="2"/>
      <c r="B180" s="2"/>
      <c r="C180" s="73"/>
      <c r="D180" s="73"/>
      <c r="E180" s="73"/>
      <c r="F180" s="73"/>
      <c r="G180" s="73"/>
      <c r="H180" s="73"/>
      <c r="I180" s="73"/>
      <c r="J180" s="73"/>
      <c r="K180" s="191"/>
      <c r="L180" s="191"/>
      <c r="M180" s="74"/>
      <c r="N180" s="2"/>
      <c r="O180" s="2"/>
      <c r="P180" s="2"/>
      <c r="Q180" s="2"/>
      <c r="R180" s="2"/>
    </row>
    <row r="181" spans="1:18" x14ac:dyDescent="0.2">
      <c r="A181" s="2"/>
      <c r="B181" s="2"/>
      <c r="C181" s="73"/>
      <c r="D181" s="73"/>
      <c r="E181" s="73"/>
      <c r="F181" s="73"/>
      <c r="G181" s="73"/>
      <c r="H181" s="73"/>
      <c r="I181" s="73"/>
      <c r="J181" s="73"/>
      <c r="K181" s="191"/>
      <c r="L181" s="191"/>
      <c r="M181" s="74"/>
      <c r="N181" s="2"/>
      <c r="O181" s="2"/>
      <c r="P181" s="2"/>
      <c r="Q181" s="2"/>
      <c r="R181" s="2"/>
    </row>
    <row r="182" spans="1:18" x14ac:dyDescent="0.2">
      <c r="A182" s="2"/>
      <c r="B182" s="2"/>
      <c r="C182" s="73"/>
      <c r="D182" s="73"/>
      <c r="E182" s="73"/>
      <c r="F182" s="73"/>
      <c r="G182" s="73"/>
      <c r="H182" s="73"/>
      <c r="I182" s="73"/>
      <c r="J182" s="73"/>
      <c r="K182" s="191"/>
      <c r="L182" s="191"/>
      <c r="M182" s="74"/>
      <c r="N182" s="2"/>
      <c r="O182" s="2"/>
      <c r="P182" s="2"/>
      <c r="Q182" s="2"/>
      <c r="R182" s="2"/>
    </row>
    <row r="183" spans="1:18" x14ac:dyDescent="0.2">
      <c r="A183" s="2"/>
      <c r="B183" s="2"/>
      <c r="C183" s="73"/>
      <c r="D183" s="73"/>
      <c r="E183" s="73"/>
      <c r="F183" s="73"/>
      <c r="G183" s="73"/>
      <c r="H183" s="73"/>
      <c r="I183" s="73"/>
      <c r="J183" s="73"/>
      <c r="K183" s="191"/>
      <c r="L183" s="191"/>
      <c r="M183" s="74"/>
      <c r="N183" s="2"/>
      <c r="O183" s="2"/>
      <c r="P183" s="2"/>
      <c r="Q183" s="2"/>
      <c r="R183" s="2"/>
    </row>
    <row r="184" spans="1:18" x14ac:dyDescent="0.2">
      <c r="A184" s="2"/>
      <c r="B184" s="2"/>
      <c r="C184" s="73"/>
      <c r="D184" s="73"/>
      <c r="E184" s="73"/>
      <c r="F184" s="73"/>
      <c r="G184" s="73"/>
      <c r="H184" s="73"/>
      <c r="I184" s="73"/>
      <c r="J184" s="73"/>
      <c r="K184" s="191"/>
      <c r="L184" s="191"/>
      <c r="M184" s="74"/>
      <c r="N184" s="2"/>
      <c r="O184" s="2"/>
      <c r="P184" s="2"/>
      <c r="Q184" s="2"/>
      <c r="R184" s="2"/>
    </row>
    <row r="185" spans="1:18" x14ac:dyDescent="0.2">
      <c r="A185" s="2"/>
      <c r="B185" s="2"/>
      <c r="C185" s="73"/>
      <c r="D185" s="73"/>
      <c r="E185" s="73"/>
      <c r="F185" s="73"/>
      <c r="G185" s="73"/>
      <c r="H185" s="73"/>
      <c r="I185" s="73"/>
      <c r="J185" s="73"/>
      <c r="K185" s="191"/>
      <c r="L185" s="191"/>
      <c r="M185" s="74"/>
      <c r="N185" s="2"/>
      <c r="O185" s="2"/>
      <c r="P185" s="2"/>
      <c r="Q185" s="2"/>
      <c r="R185" s="2"/>
    </row>
    <row r="186" spans="1:18" x14ac:dyDescent="0.2">
      <c r="A186" s="2"/>
      <c r="B186" s="2"/>
      <c r="C186" s="73"/>
      <c r="D186" s="73"/>
      <c r="E186" s="73"/>
      <c r="F186" s="73"/>
      <c r="G186" s="73"/>
      <c r="H186" s="73"/>
      <c r="I186" s="73"/>
      <c r="J186" s="73"/>
      <c r="K186" s="191"/>
      <c r="L186" s="191"/>
      <c r="M186" s="74"/>
      <c r="N186" s="2"/>
      <c r="O186" s="2"/>
      <c r="P186" s="2"/>
      <c r="Q186" s="2"/>
      <c r="R186" s="2"/>
    </row>
    <row r="187" spans="1:18" x14ac:dyDescent="0.2">
      <c r="A187" s="2"/>
      <c r="B187" s="2"/>
      <c r="C187" s="73"/>
      <c r="D187" s="73"/>
      <c r="E187" s="73"/>
      <c r="F187" s="73"/>
      <c r="G187" s="73"/>
      <c r="H187" s="73"/>
      <c r="I187" s="73"/>
      <c r="J187" s="73"/>
      <c r="K187" s="191"/>
      <c r="L187" s="191"/>
      <c r="M187" s="74"/>
      <c r="N187" s="2"/>
      <c r="O187" s="2"/>
      <c r="P187" s="2"/>
      <c r="Q187" s="2"/>
      <c r="R187" s="2"/>
    </row>
    <row r="188" spans="1:18" x14ac:dyDescent="0.2">
      <c r="A188" s="2"/>
      <c r="B188" s="2"/>
      <c r="C188" s="73"/>
      <c r="D188" s="73"/>
      <c r="E188" s="73"/>
      <c r="F188" s="73"/>
      <c r="G188" s="73"/>
      <c r="H188" s="73"/>
      <c r="I188" s="73"/>
      <c r="J188" s="73"/>
      <c r="K188" s="191"/>
      <c r="L188" s="191"/>
      <c r="M188" s="74"/>
      <c r="N188" s="2"/>
      <c r="O188" s="2"/>
      <c r="P188" s="2"/>
      <c r="Q188" s="2"/>
      <c r="R188" s="2"/>
    </row>
    <row r="189" spans="1:18" x14ac:dyDescent="0.2">
      <c r="A189" s="2"/>
      <c r="B189" s="2"/>
      <c r="C189" s="73"/>
      <c r="D189" s="73"/>
      <c r="E189" s="73"/>
      <c r="F189" s="73"/>
      <c r="G189" s="73"/>
      <c r="H189" s="73"/>
      <c r="I189" s="73"/>
      <c r="J189" s="73"/>
      <c r="K189" s="191"/>
      <c r="L189" s="191"/>
      <c r="M189" s="74"/>
      <c r="N189" s="2"/>
      <c r="O189" s="2"/>
      <c r="P189" s="2"/>
      <c r="Q189" s="2"/>
      <c r="R189" s="2"/>
    </row>
    <row r="190" spans="1:18" x14ac:dyDescent="0.2">
      <c r="A190" s="2"/>
      <c r="B190" s="2"/>
      <c r="C190" s="73"/>
      <c r="D190" s="73"/>
      <c r="E190" s="73"/>
      <c r="F190" s="73"/>
      <c r="G190" s="73"/>
      <c r="H190" s="73"/>
      <c r="I190" s="73"/>
      <c r="J190" s="73"/>
      <c r="K190" s="191"/>
      <c r="L190" s="191"/>
      <c r="M190" s="74"/>
      <c r="N190" s="2"/>
      <c r="O190" s="2"/>
      <c r="P190" s="2"/>
      <c r="Q190" s="2"/>
      <c r="R190" s="2"/>
    </row>
    <row r="191" spans="1:18" x14ac:dyDescent="0.2">
      <c r="A191" s="2"/>
      <c r="B191" s="2"/>
      <c r="C191" s="73"/>
      <c r="D191" s="73"/>
      <c r="E191" s="73"/>
      <c r="F191" s="73"/>
      <c r="G191" s="73"/>
      <c r="H191" s="73"/>
      <c r="I191" s="73"/>
      <c r="J191" s="73"/>
      <c r="K191" s="191"/>
      <c r="L191" s="191"/>
      <c r="M191" s="74"/>
      <c r="N191" s="2"/>
      <c r="O191" s="2"/>
      <c r="P191" s="2"/>
      <c r="Q191" s="2"/>
      <c r="R191" s="2"/>
    </row>
    <row r="192" spans="1:18" x14ac:dyDescent="0.2">
      <c r="A192" s="2"/>
      <c r="B192" s="2"/>
      <c r="C192" s="73"/>
      <c r="D192" s="73"/>
      <c r="E192" s="73"/>
      <c r="F192" s="73"/>
      <c r="G192" s="73"/>
      <c r="H192" s="73"/>
      <c r="I192" s="73"/>
      <c r="J192" s="73"/>
      <c r="K192" s="191"/>
      <c r="L192" s="191"/>
      <c r="M192" s="74"/>
      <c r="N192" s="2"/>
      <c r="O192" s="2"/>
      <c r="P192" s="2"/>
      <c r="Q192" s="2"/>
      <c r="R192" s="2"/>
    </row>
    <row r="193" spans="1:18" x14ac:dyDescent="0.2">
      <c r="A193" s="2"/>
      <c r="B193" s="2"/>
      <c r="C193" s="73"/>
      <c r="D193" s="73"/>
      <c r="E193" s="73"/>
      <c r="F193" s="73"/>
      <c r="G193" s="73"/>
      <c r="H193" s="73"/>
      <c r="I193" s="73"/>
      <c r="J193" s="73"/>
      <c r="K193" s="191"/>
      <c r="L193" s="191"/>
      <c r="M193" s="74"/>
      <c r="N193" s="2"/>
      <c r="O193" s="2"/>
      <c r="P193" s="2"/>
      <c r="Q193" s="2"/>
      <c r="R193" s="2"/>
    </row>
    <row r="194" spans="1:18" x14ac:dyDescent="0.2">
      <c r="A194" s="2"/>
      <c r="B194" s="2"/>
      <c r="C194" s="73"/>
      <c r="D194" s="73"/>
      <c r="E194" s="73"/>
      <c r="F194" s="73"/>
      <c r="G194" s="73"/>
      <c r="H194" s="73"/>
      <c r="I194" s="73"/>
      <c r="J194" s="73"/>
      <c r="K194" s="191"/>
      <c r="L194" s="191"/>
      <c r="M194" s="74"/>
      <c r="N194" s="2"/>
      <c r="O194" s="2"/>
      <c r="P194" s="2"/>
      <c r="Q194" s="2"/>
      <c r="R194" s="2"/>
    </row>
    <row r="195" spans="1:18" x14ac:dyDescent="0.2">
      <c r="A195" s="2"/>
      <c r="B195" s="2"/>
      <c r="C195" s="73"/>
      <c r="D195" s="73"/>
      <c r="E195" s="73"/>
      <c r="F195" s="73"/>
      <c r="G195" s="73"/>
      <c r="H195" s="73"/>
      <c r="I195" s="73"/>
      <c r="J195" s="73"/>
      <c r="K195" s="191"/>
      <c r="L195" s="191"/>
      <c r="M195" s="74"/>
      <c r="N195" s="2"/>
      <c r="O195" s="2"/>
      <c r="P195" s="2"/>
      <c r="Q195" s="2"/>
      <c r="R195" s="2"/>
    </row>
    <row r="196" spans="1:18" x14ac:dyDescent="0.2">
      <c r="A196" s="2"/>
      <c r="B196" s="2"/>
      <c r="C196" s="73"/>
      <c r="D196" s="73"/>
      <c r="E196" s="73"/>
      <c r="F196" s="73"/>
      <c r="G196" s="73"/>
      <c r="H196" s="73"/>
      <c r="I196" s="73"/>
      <c r="J196" s="73"/>
      <c r="K196" s="191"/>
      <c r="L196" s="191"/>
      <c r="M196" s="74"/>
      <c r="N196" s="2"/>
      <c r="O196" s="2"/>
      <c r="P196" s="2"/>
      <c r="Q196" s="2"/>
      <c r="R196" s="2"/>
    </row>
    <row r="197" spans="1:18" x14ac:dyDescent="0.2">
      <c r="A197" s="2"/>
      <c r="B197" s="2"/>
      <c r="C197" s="73"/>
      <c r="D197" s="73"/>
      <c r="E197" s="73"/>
      <c r="F197" s="73"/>
      <c r="G197" s="73"/>
      <c r="H197" s="73"/>
      <c r="I197" s="73"/>
      <c r="J197" s="73"/>
      <c r="K197" s="191"/>
      <c r="L197" s="191"/>
      <c r="M197" s="74"/>
      <c r="N197" s="2"/>
      <c r="O197" s="2"/>
      <c r="P197" s="2"/>
      <c r="Q197" s="2"/>
      <c r="R197" s="2"/>
    </row>
    <row r="198" spans="1:18" x14ac:dyDescent="0.2">
      <c r="A198" s="2"/>
      <c r="B198" s="2"/>
      <c r="C198" s="73"/>
      <c r="D198" s="73"/>
      <c r="E198" s="73"/>
      <c r="F198" s="73"/>
      <c r="G198" s="73"/>
      <c r="H198" s="73"/>
      <c r="I198" s="73"/>
      <c r="J198" s="73"/>
      <c r="K198" s="191"/>
      <c r="L198" s="191"/>
      <c r="M198" s="74"/>
      <c r="N198" s="2"/>
      <c r="O198" s="2"/>
      <c r="P198" s="2"/>
      <c r="Q198" s="2"/>
      <c r="R198" s="2"/>
    </row>
    <row r="199" spans="1:18" x14ac:dyDescent="0.2">
      <c r="A199" s="2"/>
      <c r="B199" s="2"/>
      <c r="C199" s="73"/>
      <c r="D199" s="73"/>
      <c r="E199" s="73"/>
      <c r="F199" s="73"/>
      <c r="G199" s="73"/>
      <c r="H199" s="73"/>
      <c r="I199" s="73"/>
      <c r="J199" s="73"/>
      <c r="K199" s="191"/>
      <c r="L199" s="191"/>
      <c r="M199" s="74"/>
      <c r="N199" s="2"/>
      <c r="O199" s="2"/>
      <c r="P199" s="2"/>
      <c r="Q199" s="2"/>
      <c r="R199" s="2"/>
    </row>
    <row r="200" spans="1:18" x14ac:dyDescent="0.2">
      <c r="A200" s="2"/>
      <c r="B200" s="2"/>
      <c r="C200" s="73"/>
      <c r="D200" s="73"/>
      <c r="E200" s="73"/>
      <c r="F200" s="73"/>
      <c r="G200" s="73"/>
      <c r="H200" s="73"/>
      <c r="I200" s="73"/>
      <c r="J200" s="73"/>
      <c r="K200" s="191"/>
      <c r="L200" s="191"/>
      <c r="M200" s="74"/>
      <c r="N200" s="2"/>
      <c r="O200" s="2"/>
      <c r="P200" s="2"/>
      <c r="Q200" s="2"/>
      <c r="R200" s="2"/>
    </row>
    <row r="201" spans="1:18" x14ac:dyDescent="0.2">
      <c r="A201" s="2"/>
      <c r="B201" s="2"/>
      <c r="C201" s="73"/>
      <c r="D201" s="73"/>
      <c r="E201" s="73"/>
      <c r="F201" s="73"/>
      <c r="G201" s="73"/>
      <c r="H201" s="73"/>
      <c r="I201" s="73"/>
      <c r="J201" s="73"/>
      <c r="K201" s="191"/>
      <c r="L201" s="191"/>
      <c r="M201" s="74"/>
      <c r="N201" s="2"/>
      <c r="O201" s="2"/>
      <c r="P201" s="2"/>
      <c r="Q201" s="2"/>
      <c r="R201" s="2"/>
    </row>
    <row r="202" spans="1:18" x14ac:dyDescent="0.2">
      <c r="A202" s="2"/>
      <c r="B202" s="2"/>
      <c r="C202" s="73"/>
      <c r="D202" s="73"/>
      <c r="E202" s="73"/>
      <c r="F202" s="73"/>
      <c r="G202" s="73"/>
      <c r="H202" s="73"/>
      <c r="I202" s="73"/>
      <c r="J202" s="73"/>
      <c r="K202" s="191"/>
      <c r="L202" s="191"/>
      <c r="M202" s="74"/>
      <c r="N202" s="2"/>
      <c r="O202" s="2"/>
      <c r="P202" s="2"/>
      <c r="Q202" s="2"/>
      <c r="R202" s="2"/>
    </row>
    <row r="203" spans="1:18" x14ac:dyDescent="0.2">
      <c r="A203" s="2"/>
      <c r="B203" s="2"/>
      <c r="C203" s="73"/>
      <c r="D203" s="73"/>
      <c r="E203" s="73"/>
      <c r="F203" s="73"/>
      <c r="G203" s="73"/>
      <c r="H203" s="73"/>
      <c r="I203" s="73"/>
      <c r="J203" s="73"/>
      <c r="K203" s="191"/>
      <c r="L203" s="191"/>
      <c r="M203" s="74"/>
      <c r="N203" s="2"/>
      <c r="O203" s="2"/>
      <c r="P203" s="2"/>
      <c r="Q203" s="2"/>
      <c r="R203" s="2"/>
    </row>
    <row r="204" spans="1:18" x14ac:dyDescent="0.2">
      <c r="A204" s="2"/>
      <c r="B204" s="2"/>
      <c r="C204" s="73"/>
      <c r="D204" s="73"/>
      <c r="E204" s="73"/>
      <c r="F204" s="73"/>
      <c r="G204" s="73"/>
      <c r="H204" s="73"/>
      <c r="I204" s="73"/>
      <c r="J204" s="73"/>
      <c r="K204" s="191"/>
      <c r="L204" s="191"/>
      <c r="M204" s="74"/>
      <c r="N204" s="2"/>
      <c r="O204" s="2"/>
      <c r="P204" s="2"/>
      <c r="Q204" s="2"/>
      <c r="R204" s="2"/>
    </row>
    <row r="205" spans="1:18" x14ac:dyDescent="0.2">
      <c r="A205" s="2"/>
      <c r="B205" s="2"/>
      <c r="C205" s="73"/>
      <c r="D205" s="73"/>
      <c r="E205" s="73"/>
      <c r="F205" s="73"/>
      <c r="G205" s="73"/>
      <c r="H205" s="73"/>
      <c r="I205" s="73"/>
      <c r="J205" s="73"/>
      <c r="K205" s="191"/>
      <c r="L205" s="191"/>
      <c r="M205" s="74"/>
      <c r="N205" s="2"/>
      <c r="O205" s="2"/>
      <c r="P205" s="2"/>
      <c r="Q205" s="2"/>
      <c r="R205" s="2"/>
    </row>
    <row r="206" spans="1:18" x14ac:dyDescent="0.2">
      <c r="A206" s="2"/>
      <c r="B206" s="2"/>
      <c r="C206" s="73"/>
      <c r="D206" s="73"/>
      <c r="E206" s="73"/>
      <c r="F206" s="73"/>
      <c r="G206" s="73"/>
      <c r="H206" s="73"/>
      <c r="I206" s="73"/>
      <c r="J206" s="73"/>
      <c r="K206" s="191"/>
      <c r="L206" s="191"/>
      <c r="M206" s="74"/>
      <c r="N206" s="2"/>
      <c r="O206" s="2"/>
      <c r="P206" s="2"/>
      <c r="Q206" s="2"/>
      <c r="R206" s="2"/>
    </row>
    <row r="207" spans="1:18" x14ac:dyDescent="0.2">
      <c r="A207" s="2"/>
      <c r="B207" s="2"/>
      <c r="C207" s="73"/>
      <c r="D207" s="73"/>
      <c r="E207" s="73"/>
      <c r="F207" s="73"/>
      <c r="G207" s="73"/>
      <c r="H207" s="73"/>
      <c r="I207" s="73"/>
      <c r="J207" s="73"/>
      <c r="K207" s="191"/>
      <c r="L207" s="191"/>
      <c r="M207" s="74"/>
      <c r="N207" s="2"/>
      <c r="O207" s="2"/>
      <c r="P207" s="2"/>
      <c r="Q207" s="2"/>
      <c r="R207" s="2"/>
    </row>
    <row r="208" spans="1:18" x14ac:dyDescent="0.2">
      <c r="A208" s="2"/>
      <c r="B208" s="2"/>
      <c r="C208" s="73"/>
      <c r="D208" s="73"/>
      <c r="E208" s="73"/>
      <c r="F208" s="73"/>
      <c r="G208" s="73"/>
      <c r="H208" s="73"/>
      <c r="I208" s="73"/>
      <c r="J208" s="73"/>
      <c r="K208" s="191"/>
      <c r="L208" s="191"/>
      <c r="M208" s="74"/>
      <c r="N208" s="2"/>
      <c r="O208" s="2"/>
      <c r="P208" s="2"/>
      <c r="Q208" s="2"/>
      <c r="R208" s="2"/>
    </row>
    <row r="209" spans="1:18" x14ac:dyDescent="0.2">
      <c r="A209" s="2"/>
      <c r="B209" s="2"/>
      <c r="C209" s="73"/>
      <c r="D209" s="73"/>
      <c r="E209" s="73"/>
      <c r="F209" s="73"/>
      <c r="G209" s="73"/>
      <c r="H209" s="73"/>
      <c r="I209" s="73"/>
      <c r="J209" s="73"/>
      <c r="K209" s="191"/>
      <c r="L209" s="191"/>
      <c r="M209" s="74"/>
      <c r="N209" s="2"/>
      <c r="O209" s="2"/>
      <c r="P209" s="2"/>
      <c r="Q209" s="2"/>
      <c r="R209" s="2"/>
    </row>
    <row r="210" spans="1:18" x14ac:dyDescent="0.2">
      <c r="A210" s="2"/>
      <c r="B210" s="2"/>
      <c r="C210" s="73"/>
      <c r="D210" s="73"/>
      <c r="E210" s="73"/>
      <c r="F210" s="73"/>
      <c r="G210" s="73"/>
      <c r="H210" s="73"/>
      <c r="I210" s="73"/>
      <c r="J210" s="73"/>
      <c r="K210" s="191"/>
      <c r="L210" s="191"/>
      <c r="M210" s="74"/>
      <c r="N210" s="2"/>
      <c r="O210" s="2"/>
      <c r="P210" s="2"/>
      <c r="Q210" s="2"/>
      <c r="R210" s="2"/>
    </row>
    <row r="211" spans="1:18" x14ac:dyDescent="0.2">
      <c r="A211" s="2"/>
      <c r="B211" s="2"/>
      <c r="C211" s="73"/>
      <c r="D211" s="73"/>
      <c r="E211" s="73"/>
      <c r="F211" s="73"/>
      <c r="G211" s="73"/>
      <c r="H211" s="73"/>
      <c r="I211" s="73"/>
      <c r="J211" s="73"/>
      <c r="K211" s="191"/>
      <c r="L211" s="191"/>
      <c r="M211" s="74"/>
      <c r="N211" s="2"/>
      <c r="O211" s="2"/>
      <c r="P211" s="2"/>
      <c r="Q211" s="2"/>
      <c r="R211" s="2"/>
    </row>
    <row r="212" spans="1:18" x14ac:dyDescent="0.2">
      <c r="A212" s="2"/>
      <c r="B212" s="2"/>
      <c r="C212" s="73"/>
      <c r="D212" s="73"/>
      <c r="E212" s="73"/>
      <c r="F212" s="73"/>
      <c r="G212" s="73"/>
      <c r="H212" s="73"/>
      <c r="I212" s="73"/>
      <c r="J212" s="73"/>
      <c r="K212" s="191"/>
      <c r="L212" s="191"/>
      <c r="M212" s="74"/>
      <c r="N212" s="2"/>
      <c r="O212" s="2"/>
      <c r="P212" s="2"/>
      <c r="Q212" s="2"/>
      <c r="R212" s="2"/>
    </row>
    <row r="213" spans="1:18" x14ac:dyDescent="0.2">
      <c r="A213" s="2"/>
      <c r="B213" s="2"/>
      <c r="C213" s="73"/>
      <c r="D213" s="73"/>
      <c r="E213" s="73"/>
      <c r="F213" s="73"/>
      <c r="G213" s="73"/>
      <c r="H213" s="73"/>
      <c r="I213" s="73"/>
      <c r="J213" s="73"/>
      <c r="K213" s="191"/>
      <c r="L213" s="191"/>
      <c r="M213" s="74"/>
      <c r="N213" s="2"/>
      <c r="O213" s="2"/>
      <c r="P213" s="2"/>
      <c r="Q213" s="2"/>
      <c r="R213" s="2"/>
    </row>
    <row r="214" spans="1:18" x14ac:dyDescent="0.2">
      <c r="A214" s="2"/>
      <c r="B214" s="2"/>
      <c r="C214" s="73"/>
      <c r="D214" s="73"/>
      <c r="E214" s="73"/>
      <c r="F214" s="73"/>
      <c r="G214" s="73"/>
      <c r="H214" s="73"/>
      <c r="I214" s="73"/>
      <c r="J214" s="73"/>
      <c r="K214" s="191"/>
      <c r="L214" s="191"/>
      <c r="M214" s="74"/>
      <c r="N214" s="2"/>
      <c r="O214" s="2"/>
      <c r="P214" s="2"/>
      <c r="Q214" s="2"/>
      <c r="R214" s="2"/>
    </row>
    <row r="215" spans="1:18" x14ac:dyDescent="0.2">
      <c r="A215" s="2"/>
      <c r="B215" s="2"/>
      <c r="C215" s="73"/>
      <c r="D215" s="73"/>
      <c r="E215" s="73"/>
      <c r="F215" s="73"/>
      <c r="G215" s="73"/>
      <c r="H215" s="73"/>
      <c r="I215" s="73"/>
      <c r="J215" s="73"/>
      <c r="K215" s="191"/>
      <c r="L215" s="191"/>
      <c r="M215" s="74"/>
      <c r="N215" s="2"/>
      <c r="O215" s="2"/>
      <c r="P215" s="2"/>
      <c r="Q215" s="2"/>
      <c r="R215" s="2"/>
    </row>
    <row r="216" spans="1:18" x14ac:dyDescent="0.2">
      <c r="A216" s="2"/>
      <c r="B216" s="2"/>
      <c r="C216" s="73"/>
      <c r="D216" s="73"/>
      <c r="E216" s="73"/>
      <c r="F216" s="73"/>
      <c r="G216" s="73"/>
      <c r="H216" s="73"/>
      <c r="I216" s="73"/>
      <c r="J216" s="73"/>
      <c r="K216" s="191"/>
      <c r="L216" s="191"/>
      <c r="M216" s="74"/>
      <c r="N216" s="2"/>
      <c r="O216" s="2"/>
      <c r="P216" s="2"/>
      <c r="Q216" s="2"/>
      <c r="R216" s="2"/>
    </row>
    <row r="217" spans="1:18" x14ac:dyDescent="0.2">
      <c r="A217" s="2"/>
      <c r="B217" s="2"/>
      <c r="C217" s="73"/>
      <c r="D217" s="73"/>
      <c r="E217" s="73"/>
      <c r="F217" s="73"/>
      <c r="G217" s="73"/>
      <c r="H217" s="73"/>
      <c r="I217" s="73"/>
      <c r="J217" s="73"/>
      <c r="K217" s="191"/>
      <c r="L217" s="191"/>
      <c r="M217" s="74"/>
      <c r="N217" s="2"/>
      <c r="O217" s="2"/>
      <c r="P217" s="2"/>
      <c r="Q217" s="2"/>
      <c r="R217" s="2"/>
    </row>
    <row r="218" spans="1:18" x14ac:dyDescent="0.2">
      <c r="A218" s="2"/>
      <c r="B218" s="2"/>
      <c r="C218" s="73"/>
      <c r="D218" s="73"/>
      <c r="E218" s="73"/>
      <c r="F218" s="73"/>
      <c r="G218" s="73"/>
      <c r="H218" s="73"/>
      <c r="I218" s="73"/>
      <c r="J218" s="73"/>
      <c r="K218" s="191"/>
      <c r="L218" s="191"/>
      <c r="M218" s="74"/>
      <c r="N218" s="2"/>
      <c r="O218" s="2"/>
      <c r="P218" s="2"/>
      <c r="Q218" s="2"/>
      <c r="R218" s="2"/>
    </row>
    <row r="219" spans="1:18" x14ac:dyDescent="0.2">
      <c r="A219" s="2"/>
      <c r="B219" s="2"/>
      <c r="C219" s="73"/>
      <c r="D219" s="73"/>
      <c r="E219" s="73"/>
      <c r="F219" s="73"/>
      <c r="G219" s="73"/>
      <c r="H219" s="73"/>
      <c r="I219" s="73"/>
      <c r="J219" s="73"/>
      <c r="K219" s="191"/>
      <c r="L219" s="191"/>
      <c r="M219" s="74"/>
      <c r="N219" s="2"/>
      <c r="O219" s="2"/>
      <c r="P219" s="2"/>
      <c r="Q219" s="2"/>
      <c r="R219" s="2"/>
    </row>
    <row r="220" spans="1:18" x14ac:dyDescent="0.2">
      <c r="A220" s="2"/>
      <c r="B220" s="2"/>
      <c r="C220" s="73"/>
      <c r="D220" s="73"/>
      <c r="E220" s="73"/>
      <c r="F220" s="73"/>
      <c r="G220" s="73"/>
      <c r="H220" s="73"/>
      <c r="I220" s="73"/>
      <c r="J220" s="73"/>
      <c r="K220" s="191"/>
      <c r="L220" s="191"/>
      <c r="M220" s="74"/>
      <c r="N220" s="2"/>
      <c r="O220" s="2"/>
      <c r="P220" s="2"/>
      <c r="Q220" s="2"/>
      <c r="R220" s="2"/>
    </row>
    <row r="221" spans="1:18" x14ac:dyDescent="0.2">
      <c r="A221" s="2"/>
      <c r="B221" s="2"/>
      <c r="C221" s="73"/>
      <c r="D221" s="73"/>
      <c r="E221" s="73"/>
      <c r="F221" s="73"/>
      <c r="G221" s="73"/>
      <c r="H221" s="73"/>
      <c r="I221" s="73"/>
      <c r="J221" s="73"/>
      <c r="K221" s="191"/>
      <c r="L221" s="191"/>
      <c r="M221" s="74"/>
      <c r="N221" s="2"/>
      <c r="O221" s="2"/>
      <c r="P221" s="2"/>
      <c r="Q221" s="2"/>
      <c r="R221" s="2"/>
    </row>
    <row r="222" spans="1:18" x14ac:dyDescent="0.2">
      <c r="A222" s="2"/>
      <c r="B222" s="2"/>
      <c r="C222" s="73"/>
      <c r="D222" s="73"/>
      <c r="E222" s="73"/>
      <c r="F222" s="73"/>
      <c r="G222" s="73"/>
      <c r="H222" s="73"/>
      <c r="I222" s="73"/>
      <c r="J222" s="73"/>
      <c r="K222" s="191"/>
      <c r="L222" s="191"/>
      <c r="M222" s="74"/>
      <c r="N222" s="2"/>
      <c r="O222" s="2"/>
      <c r="P222" s="2"/>
      <c r="Q222" s="2"/>
      <c r="R222" s="2"/>
    </row>
    <row r="223" spans="1:18" x14ac:dyDescent="0.2">
      <c r="A223" s="2"/>
      <c r="B223" s="2"/>
      <c r="C223" s="73"/>
      <c r="D223" s="73"/>
      <c r="E223" s="73"/>
      <c r="F223" s="73"/>
      <c r="G223" s="73"/>
      <c r="H223" s="73"/>
      <c r="I223" s="73"/>
      <c r="J223" s="73"/>
      <c r="K223" s="191"/>
      <c r="L223" s="191"/>
      <c r="M223" s="74"/>
      <c r="N223" s="2"/>
      <c r="O223" s="2"/>
      <c r="P223" s="2"/>
      <c r="Q223" s="2"/>
      <c r="R223" s="2"/>
    </row>
    <row r="224" spans="1:18" x14ac:dyDescent="0.2">
      <c r="A224" s="2"/>
      <c r="B224" s="2"/>
      <c r="C224" s="73"/>
      <c r="D224" s="73"/>
      <c r="E224" s="73"/>
      <c r="F224" s="73"/>
      <c r="G224" s="73"/>
      <c r="H224" s="73"/>
      <c r="I224" s="73"/>
      <c r="J224" s="73"/>
      <c r="K224" s="191"/>
      <c r="L224" s="191"/>
      <c r="M224" s="74"/>
      <c r="N224" s="2"/>
      <c r="O224" s="2"/>
      <c r="P224" s="2"/>
      <c r="Q224" s="2"/>
      <c r="R224" s="2"/>
    </row>
    <row r="225" spans="1:18" x14ac:dyDescent="0.2">
      <c r="A225" s="2"/>
      <c r="B225" s="2"/>
      <c r="C225" s="73"/>
      <c r="D225" s="73"/>
      <c r="E225" s="73"/>
      <c r="F225" s="73"/>
      <c r="G225" s="73"/>
      <c r="H225" s="73"/>
      <c r="I225" s="73"/>
      <c r="J225" s="73"/>
      <c r="K225" s="191"/>
      <c r="L225" s="191"/>
      <c r="M225" s="74"/>
      <c r="N225" s="2"/>
      <c r="O225" s="2"/>
      <c r="P225" s="2"/>
      <c r="Q225" s="2"/>
      <c r="R225" s="2"/>
    </row>
    <row r="226" spans="1:18" x14ac:dyDescent="0.2">
      <c r="A226" s="2"/>
      <c r="B226" s="2"/>
      <c r="C226" s="73"/>
      <c r="D226" s="73"/>
      <c r="E226" s="73"/>
      <c r="F226" s="73"/>
      <c r="G226" s="73"/>
      <c r="H226" s="73"/>
      <c r="I226" s="73"/>
      <c r="J226" s="73"/>
      <c r="K226" s="191"/>
      <c r="L226" s="191"/>
      <c r="M226" s="74"/>
      <c r="N226" s="2"/>
      <c r="O226" s="2"/>
      <c r="P226" s="2"/>
      <c r="Q226" s="2"/>
      <c r="R226" s="2"/>
    </row>
    <row r="227" spans="1:18" x14ac:dyDescent="0.2">
      <c r="A227" s="2"/>
      <c r="B227" s="2"/>
      <c r="C227" s="73"/>
      <c r="D227" s="73"/>
      <c r="E227" s="73"/>
      <c r="F227" s="73"/>
      <c r="G227" s="73"/>
      <c r="H227" s="73"/>
      <c r="I227" s="73"/>
      <c r="J227" s="73"/>
      <c r="K227" s="191"/>
      <c r="L227" s="191"/>
      <c r="M227" s="74"/>
      <c r="N227" s="2"/>
      <c r="O227" s="2"/>
      <c r="P227" s="2"/>
      <c r="Q227" s="2"/>
      <c r="R227" s="2"/>
    </row>
    <row r="228" spans="1:18" x14ac:dyDescent="0.2">
      <c r="A228" s="2"/>
      <c r="B228" s="2"/>
      <c r="C228" s="73"/>
      <c r="D228" s="73"/>
      <c r="E228" s="73"/>
      <c r="F228" s="73"/>
      <c r="G228" s="73"/>
      <c r="H228" s="73"/>
      <c r="I228" s="73"/>
      <c r="J228" s="73"/>
      <c r="K228" s="191"/>
      <c r="L228" s="191"/>
      <c r="M228" s="74"/>
      <c r="N228" s="2"/>
      <c r="O228" s="2"/>
      <c r="P228" s="2"/>
      <c r="Q228" s="2"/>
      <c r="R228" s="2"/>
    </row>
    <row r="229" spans="1:18" x14ac:dyDescent="0.2">
      <c r="A229" s="2"/>
      <c r="B229" s="2"/>
      <c r="C229" s="73"/>
      <c r="D229" s="73"/>
      <c r="E229" s="73"/>
      <c r="F229" s="73"/>
      <c r="G229" s="73"/>
      <c r="H229" s="73"/>
      <c r="I229" s="73"/>
      <c r="J229" s="73"/>
      <c r="K229" s="191"/>
      <c r="L229" s="191"/>
      <c r="M229" s="74"/>
      <c r="N229" s="2"/>
      <c r="O229" s="2"/>
      <c r="P229" s="2"/>
      <c r="Q229" s="2"/>
      <c r="R229" s="2"/>
    </row>
    <row r="230" spans="1:18" x14ac:dyDescent="0.2">
      <c r="A230" s="2"/>
      <c r="B230" s="2"/>
      <c r="C230" s="73"/>
      <c r="D230" s="73"/>
      <c r="E230" s="73"/>
      <c r="F230" s="73"/>
      <c r="G230" s="73"/>
      <c r="H230" s="73"/>
      <c r="I230" s="73"/>
      <c r="J230" s="73"/>
      <c r="K230" s="191"/>
      <c r="L230" s="191"/>
      <c r="M230" s="74"/>
      <c r="N230" s="2"/>
      <c r="O230" s="2"/>
      <c r="P230" s="2"/>
      <c r="Q230" s="2"/>
      <c r="R230" s="2"/>
    </row>
    <row r="231" spans="1:18" x14ac:dyDescent="0.2">
      <c r="A231" s="2"/>
      <c r="B231" s="2"/>
      <c r="C231" s="73"/>
      <c r="D231" s="73"/>
      <c r="E231" s="73"/>
      <c r="F231" s="73"/>
      <c r="G231" s="73"/>
      <c r="H231" s="73"/>
      <c r="I231" s="73"/>
      <c r="J231" s="73"/>
      <c r="K231" s="191"/>
      <c r="L231" s="191"/>
      <c r="M231" s="74"/>
      <c r="N231" s="2"/>
      <c r="O231" s="2"/>
      <c r="P231" s="2"/>
      <c r="Q231" s="2"/>
      <c r="R231" s="2"/>
    </row>
    <row r="232" spans="1:18" x14ac:dyDescent="0.2">
      <c r="A232" s="2"/>
      <c r="B232" s="2"/>
      <c r="C232" s="73"/>
      <c r="D232" s="73"/>
      <c r="E232" s="73"/>
      <c r="F232" s="73"/>
      <c r="G232" s="73"/>
      <c r="H232" s="73"/>
      <c r="I232" s="73"/>
      <c r="J232" s="73"/>
      <c r="K232" s="191"/>
      <c r="L232" s="191"/>
      <c r="M232" s="74"/>
      <c r="N232" s="2"/>
      <c r="O232" s="2"/>
      <c r="P232" s="2"/>
      <c r="Q232" s="2"/>
      <c r="R232" s="2"/>
    </row>
    <row r="233" spans="1:18" x14ac:dyDescent="0.2">
      <c r="A233" s="2"/>
      <c r="B233" s="2"/>
      <c r="C233" s="73"/>
      <c r="D233" s="73"/>
      <c r="E233" s="73"/>
      <c r="F233" s="73"/>
      <c r="G233" s="73"/>
      <c r="H233" s="73"/>
      <c r="I233" s="73"/>
      <c r="J233" s="73"/>
      <c r="K233" s="191"/>
      <c r="L233" s="191"/>
      <c r="M233" s="74"/>
      <c r="N233" s="2"/>
      <c r="O233" s="2"/>
      <c r="P233" s="2"/>
      <c r="Q233" s="2"/>
      <c r="R233" s="2"/>
    </row>
    <row r="234" spans="1:18" x14ac:dyDescent="0.2">
      <c r="A234" s="2"/>
      <c r="B234" s="2"/>
      <c r="C234" s="73"/>
      <c r="D234" s="73"/>
      <c r="E234" s="73"/>
      <c r="F234" s="73"/>
      <c r="G234" s="73"/>
      <c r="H234" s="73"/>
      <c r="I234" s="73"/>
      <c r="J234" s="73"/>
      <c r="K234" s="191"/>
      <c r="L234" s="191"/>
      <c r="M234" s="74"/>
      <c r="N234" s="2"/>
      <c r="O234" s="2"/>
      <c r="P234" s="2"/>
      <c r="Q234" s="2"/>
      <c r="R234" s="2"/>
    </row>
    <row r="235" spans="1:18" x14ac:dyDescent="0.2">
      <c r="A235" s="2"/>
      <c r="B235" s="2"/>
      <c r="C235" s="73"/>
      <c r="D235" s="73"/>
      <c r="E235" s="73"/>
      <c r="F235" s="73"/>
      <c r="G235" s="73"/>
      <c r="H235" s="73"/>
      <c r="I235" s="73"/>
      <c r="J235" s="73"/>
      <c r="K235" s="191"/>
      <c r="L235" s="191"/>
      <c r="M235" s="74"/>
      <c r="N235" s="2"/>
      <c r="O235" s="2"/>
      <c r="P235" s="2"/>
      <c r="Q235" s="2"/>
      <c r="R235" s="2"/>
    </row>
    <row r="236" spans="1:18" x14ac:dyDescent="0.2">
      <c r="A236" s="2"/>
      <c r="B236" s="2"/>
      <c r="C236" s="73"/>
      <c r="D236" s="73"/>
      <c r="E236" s="73"/>
      <c r="F236" s="73"/>
      <c r="G236" s="73"/>
      <c r="H236" s="73"/>
      <c r="I236" s="73"/>
      <c r="J236" s="73"/>
      <c r="K236" s="191"/>
      <c r="L236" s="191"/>
      <c r="M236" s="74"/>
      <c r="N236" s="2"/>
      <c r="O236" s="2"/>
      <c r="P236" s="2"/>
      <c r="Q236" s="2"/>
      <c r="R236" s="2"/>
    </row>
    <row r="237" spans="1:18" x14ac:dyDescent="0.2">
      <c r="A237" s="2"/>
      <c r="B237" s="2"/>
      <c r="C237" s="73"/>
      <c r="D237" s="73"/>
      <c r="E237" s="73"/>
      <c r="F237" s="73"/>
      <c r="G237" s="73"/>
      <c r="H237" s="73"/>
      <c r="I237" s="73"/>
      <c r="J237" s="73"/>
      <c r="K237" s="191"/>
      <c r="L237" s="191"/>
      <c r="M237" s="74"/>
      <c r="N237" s="2"/>
      <c r="O237" s="2"/>
      <c r="P237" s="2"/>
      <c r="Q237" s="2"/>
      <c r="R237" s="2"/>
    </row>
    <row r="238" spans="1:18" x14ac:dyDescent="0.2">
      <c r="A238" s="2"/>
      <c r="B238" s="2"/>
      <c r="C238" s="73"/>
      <c r="D238" s="73"/>
      <c r="E238" s="73"/>
      <c r="F238" s="73"/>
      <c r="G238" s="73"/>
      <c r="H238" s="73"/>
      <c r="I238" s="73"/>
      <c r="J238" s="73"/>
      <c r="K238" s="191"/>
      <c r="L238" s="191"/>
      <c r="M238" s="74"/>
      <c r="N238" s="2"/>
      <c r="O238" s="2"/>
      <c r="P238" s="2"/>
      <c r="Q238" s="2"/>
      <c r="R238" s="2"/>
    </row>
    <row r="239" spans="1:18" x14ac:dyDescent="0.2">
      <c r="A239" s="2"/>
      <c r="B239" s="2"/>
      <c r="C239" s="73"/>
      <c r="D239" s="73"/>
      <c r="E239" s="73"/>
      <c r="F239" s="73"/>
      <c r="G239" s="73"/>
      <c r="H239" s="73"/>
      <c r="I239" s="73"/>
      <c r="J239" s="73"/>
      <c r="K239" s="191"/>
      <c r="L239" s="191"/>
      <c r="M239" s="74"/>
      <c r="N239" s="2"/>
      <c r="O239" s="2"/>
      <c r="P239" s="2"/>
      <c r="Q239" s="2"/>
      <c r="R239" s="2"/>
    </row>
    <row r="240" spans="1:18" x14ac:dyDescent="0.2">
      <c r="A240" s="2"/>
      <c r="B240" s="2"/>
      <c r="C240" s="73"/>
      <c r="D240" s="73"/>
      <c r="E240" s="73"/>
      <c r="F240" s="73"/>
      <c r="G240" s="73"/>
      <c r="H240" s="73"/>
      <c r="I240" s="73"/>
      <c r="J240" s="73"/>
      <c r="K240" s="191"/>
      <c r="L240" s="191"/>
      <c r="M240" s="74"/>
      <c r="N240" s="2"/>
      <c r="O240" s="2"/>
      <c r="P240" s="2"/>
      <c r="Q240" s="2"/>
      <c r="R240" s="2"/>
    </row>
    <row r="241" spans="1:18" x14ac:dyDescent="0.2">
      <c r="A241" s="2"/>
      <c r="B241" s="2"/>
      <c r="C241" s="73"/>
      <c r="D241" s="73"/>
      <c r="E241" s="73"/>
      <c r="F241" s="73"/>
      <c r="G241" s="73"/>
      <c r="H241" s="73"/>
      <c r="I241" s="73"/>
      <c r="J241" s="73"/>
      <c r="K241" s="191"/>
      <c r="L241" s="191"/>
      <c r="M241" s="74"/>
      <c r="N241" s="2"/>
      <c r="O241" s="2"/>
      <c r="P241" s="2"/>
      <c r="Q241" s="2"/>
      <c r="R241" s="2"/>
    </row>
    <row r="242" spans="1:18" x14ac:dyDescent="0.2">
      <c r="A242" s="2"/>
      <c r="B242" s="2"/>
      <c r="C242" s="73"/>
      <c r="D242" s="73"/>
      <c r="E242" s="73"/>
      <c r="F242" s="73"/>
      <c r="G242" s="73"/>
      <c r="H242" s="73"/>
      <c r="I242" s="73"/>
      <c r="J242" s="73"/>
      <c r="K242" s="191"/>
      <c r="L242" s="191"/>
      <c r="M242" s="74"/>
      <c r="N242" s="2"/>
      <c r="O242" s="2"/>
      <c r="P242" s="2"/>
      <c r="Q242" s="2"/>
      <c r="R242" s="2"/>
    </row>
    <row r="243" spans="1:18" x14ac:dyDescent="0.2">
      <c r="A243" s="2"/>
      <c r="B243" s="2"/>
      <c r="C243" s="73"/>
      <c r="D243" s="73"/>
      <c r="E243" s="73"/>
      <c r="F243" s="73"/>
      <c r="G243" s="73"/>
      <c r="H243" s="73"/>
      <c r="I243" s="73"/>
      <c r="J243" s="73"/>
      <c r="K243" s="191"/>
      <c r="L243" s="191"/>
      <c r="M243" s="74"/>
      <c r="N243" s="2"/>
      <c r="O243" s="2"/>
      <c r="P243" s="2"/>
      <c r="Q243" s="2"/>
      <c r="R243" s="2"/>
    </row>
    <row r="244" spans="1:18" x14ac:dyDescent="0.2">
      <c r="A244" s="2"/>
      <c r="B244" s="2"/>
      <c r="C244" s="73"/>
      <c r="D244" s="73"/>
      <c r="E244" s="73"/>
      <c r="F244" s="73"/>
      <c r="G244" s="73"/>
      <c r="H244" s="73"/>
      <c r="I244" s="73"/>
      <c r="J244" s="73"/>
      <c r="K244" s="191"/>
      <c r="L244" s="191"/>
      <c r="M244" s="74"/>
      <c r="N244" s="2"/>
      <c r="O244" s="2"/>
      <c r="P244" s="2"/>
      <c r="Q244" s="2"/>
      <c r="R244" s="2"/>
    </row>
    <row r="245" spans="1:18" x14ac:dyDescent="0.2">
      <c r="A245" s="2"/>
      <c r="B245" s="2"/>
      <c r="C245" s="73"/>
      <c r="D245" s="73"/>
      <c r="E245" s="73"/>
      <c r="F245" s="73"/>
      <c r="G245" s="73"/>
      <c r="H245" s="73"/>
      <c r="I245" s="73"/>
      <c r="J245" s="73"/>
      <c r="K245" s="191"/>
      <c r="L245" s="191"/>
      <c r="M245" s="74"/>
      <c r="N245" s="2"/>
      <c r="O245" s="2"/>
      <c r="P245" s="2"/>
      <c r="Q245" s="2"/>
      <c r="R245" s="2"/>
    </row>
    <row r="246" spans="1:18" x14ac:dyDescent="0.2">
      <c r="A246" s="2"/>
      <c r="B246" s="2"/>
      <c r="C246" s="73"/>
      <c r="D246" s="73"/>
      <c r="E246" s="73"/>
      <c r="F246" s="73"/>
      <c r="G246" s="73"/>
      <c r="H246" s="73"/>
      <c r="I246" s="73"/>
      <c r="J246" s="73"/>
      <c r="K246" s="191"/>
      <c r="L246" s="191"/>
      <c r="M246" s="74"/>
      <c r="N246" s="2"/>
      <c r="O246" s="2"/>
      <c r="P246" s="2"/>
      <c r="Q246" s="2"/>
      <c r="R246" s="2"/>
    </row>
    <row r="247" spans="1:18" x14ac:dyDescent="0.2">
      <c r="A247" s="2"/>
      <c r="B247" s="2"/>
      <c r="C247" s="73"/>
      <c r="D247" s="73"/>
      <c r="E247" s="73"/>
      <c r="F247" s="73"/>
      <c r="G247" s="73"/>
      <c r="H247" s="73"/>
      <c r="I247" s="73"/>
      <c r="J247" s="73"/>
      <c r="K247" s="191"/>
      <c r="L247" s="191"/>
      <c r="M247" s="74"/>
      <c r="N247" s="2"/>
      <c r="O247" s="2"/>
      <c r="P247" s="2"/>
      <c r="Q247" s="2"/>
      <c r="R247" s="2"/>
    </row>
    <row r="248" spans="1:18" x14ac:dyDescent="0.2">
      <c r="A248" s="2"/>
      <c r="B248" s="2"/>
      <c r="C248" s="73"/>
      <c r="D248" s="73"/>
      <c r="E248" s="73"/>
      <c r="F248" s="73"/>
      <c r="G248" s="73"/>
      <c r="H248" s="73"/>
      <c r="I248" s="73"/>
      <c r="J248" s="73"/>
      <c r="K248" s="191"/>
      <c r="L248" s="191"/>
      <c r="M248" s="74"/>
      <c r="N248" s="2"/>
      <c r="O248" s="2"/>
      <c r="P248" s="2"/>
      <c r="Q248" s="2"/>
      <c r="R248" s="2"/>
    </row>
    <row r="249" spans="1:18" x14ac:dyDescent="0.2">
      <c r="A249" s="2"/>
      <c r="B249" s="2"/>
      <c r="C249" s="73"/>
      <c r="D249" s="73"/>
      <c r="E249" s="73"/>
      <c r="F249" s="73"/>
      <c r="G249" s="73"/>
      <c r="H249" s="73"/>
      <c r="I249" s="73"/>
      <c r="J249" s="73"/>
      <c r="K249" s="191"/>
      <c r="L249" s="191"/>
      <c r="M249" s="74"/>
      <c r="N249" s="2"/>
      <c r="O249" s="2"/>
      <c r="P249" s="2"/>
      <c r="Q249" s="2"/>
      <c r="R249" s="2"/>
    </row>
    <row r="250" spans="1:18" x14ac:dyDescent="0.2">
      <c r="A250" s="2"/>
      <c r="B250" s="2"/>
      <c r="C250" s="73"/>
      <c r="D250" s="73"/>
      <c r="E250" s="73"/>
      <c r="F250" s="73"/>
      <c r="G250" s="73"/>
      <c r="H250" s="73"/>
      <c r="I250" s="73"/>
      <c r="J250" s="73"/>
      <c r="K250" s="191"/>
      <c r="L250" s="191"/>
      <c r="M250" s="74"/>
      <c r="N250" s="2"/>
      <c r="O250" s="2"/>
      <c r="P250" s="2"/>
      <c r="Q250" s="2"/>
      <c r="R250" s="2"/>
    </row>
    <row r="251" spans="1:18" x14ac:dyDescent="0.2">
      <c r="A251" s="2"/>
      <c r="B251" s="2"/>
      <c r="C251" s="73"/>
      <c r="D251" s="73"/>
      <c r="E251" s="73"/>
      <c r="F251" s="73"/>
      <c r="G251" s="73"/>
      <c r="H251" s="73"/>
      <c r="I251" s="73"/>
      <c r="J251" s="73"/>
      <c r="K251" s="191"/>
      <c r="L251" s="191"/>
      <c r="M251" s="74"/>
      <c r="N251" s="2"/>
      <c r="O251" s="2"/>
      <c r="P251" s="2"/>
      <c r="Q251" s="2"/>
      <c r="R251" s="2"/>
    </row>
    <row r="252" spans="1:18" x14ac:dyDescent="0.2">
      <c r="A252" s="2"/>
      <c r="B252" s="2"/>
      <c r="C252" s="73"/>
      <c r="D252" s="73"/>
      <c r="E252" s="73"/>
      <c r="F252" s="73"/>
      <c r="G252" s="73"/>
      <c r="H252" s="73"/>
      <c r="I252" s="73"/>
      <c r="J252" s="73"/>
      <c r="K252" s="191"/>
      <c r="L252" s="191"/>
      <c r="M252" s="74"/>
      <c r="N252" s="2"/>
      <c r="O252" s="2"/>
      <c r="P252" s="2"/>
      <c r="Q252" s="2"/>
      <c r="R252" s="2"/>
    </row>
    <row r="253" spans="1:18" x14ac:dyDescent="0.2">
      <c r="A253" s="2"/>
      <c r="B253" s="2"/>
      <c r="C253" s="73"/>
      <c r="D253" s="73"/>
      <c r="E253" s="73"/>
      <c r="F253" s="73"/>
      <c r="G253" s="73"/>
      <c r="H253" s="73"/>
      <c r="I253" s="73"/>
      <c r="J253" s="73"/>
      <c r="K253" s="191"/>
      <c r="L253" s="191"/>
      <c r="M253" s="74"/>
      <c r="N253" s="2"/>
      <c r="O253" s="2"/>
      <c r="P253" s="2"/>
      <c r="Q253" s="2"/>
      <c r="R253" s="2"/>
    </row>
    <row r="254" spans="1:18" x14ac:dyDescent="0.2">
      <c r="A254" s="2"/>
      <c r="B254" s="2"/>
      <c r="C254" s="73"/>
      <c r="D254" s="73"/>
      <c r="E254" s="73"/>
      <c r="F254" s="73"/>
      <c r="G254" s="73"/>
      <c r="H254" s="73"/>
      <c r="I254" s="73"/>
      <c r="J254" s="73"/>
      <c r="K254" s="191"/>
      <c r="L254" s="191"/>
      <c r="M254" s="74"/>
      <c r="N254" s="2"/>
      <c r="O254" s="2"/>
      <c r="P254" s="2"/>
      <c r="Q254" s="2"/>
      <c r="R254" s="2"/>
    </row>
    <row r="255" spans="1:18" x14ac:dyDescent="0.2">
      <c r="A255" s="2"/>
      <c r="B255" s="2"/>
      <c r="C255" s="73"/>
      <c r="D255" s="73"/>
      <c r="E255" s="73"/>
      <c r="F255" s="73"/>
      <c r="G255" s="73"/>
      <c r="H255" s="73"/>
      <c r="I255" s="73"/>
      <c r="J255" s="73"/>
      <c r="K255" s="191"/>
      <c r="L255" s="191"/>
      <c r="M255" s="74"/>
      <c r="N255" s="2"/>
      <c r="O255" s="2"/>
      <c r="P255" s="2"/>
      <c r="Q255" s="2"/>
      <c r="R255" s="2"/>
    </row>
    <row r="256" spans="1:18" x14ac:dyDescent="0.2">
      <c r="A256" s="2"/>
      <c r="B256" s="2"/>
      <c r="C256" s="73"/>
      <c r="D256" s="73"/>
      <c r="E256" s="73"/>
      <c r="F256" s="73"/>
      <c r="G256" s="73"/>
      <c r="H256" s="73"/>
      <c r="I256" s="73"/>
      <c r="J256" s="73"/>
      <c r="K256" s="191"/>
      <c r="L256" s="191"/>
      <c r="M256" s="74"/>
      <c r="N256" s="2"/>
      <c r="O256" s="2"/>
      <c r="P256" s="2"/>
      <c r="Q256" s="2"/>
      <c r="R256" s="2"/>
    </row>
    <row r="257" spans="1:18" x14ac:dyDescent="0.2">
      <c r="A257" s="2"/>
      <c r="B257" s="2"/>
      <c r="C257" s="73"/>
      <c r="D257" s="73"/>
      <c r="E257" s="73"/>
      <c r="F257" s="73"/>
      <c r="G257" s="73"/>
      <c r="H257" s="73"/>
      <c r="I257" s="73"/>
      <c r="J257" s="73"/>
      <c r="K257" s="191"/>
      <c r="L257" s="191"/>
      <c r="M257" s="74"/>
      <c r="N257" s="2"/>
      <c r="O257" s="2"/>
      <c r="P257" s="2"/>
      <c r="Q257" s="2"/>
      <c r="R257" s="2"/>
    </row>
    <row r="258" spans="1:18" x14ac:dyDescent="0.2">
      <c r="A258" s="2"/>
      <c r="B258" s="2"/>
      <c r="C258" s="73"/>
      <c r="D258" s="73"/>
      <c r="E258" s="73"/>
      <c r="F258" s="73"/>
      <c r="G258" s="73"/>
      <c r="H258" s="73"/>
      <c r="I258" s="73"/>
      <c r="J258" s="73"/>
      <c r="K258" s="191"/>
      <c r="L258" s="191"/>
      <c r="M258" s="74"/>
      <c r="N258" s="2"/>
      <c r="O258" s="2"/>
      <c r="P258" s="2"/>
      <c r="Q258" s="2"/>
      <c r="R258" s="2"/>
    </row>
    <row r="259" spans="1:18" x14ac:dyDescent="0.2">
      <c r="A259" s="2"/>
      <c r="B259" s="2"/>
      <c r="C259" s="73"/>
      <c r="D259" s="73"/>
      <c r="E259" s="73"/>
      <c r="F259" s="73"/>
      <c r="G259" s="73"/>
      <c r="H259" s="73"/>
      <c r="I259" s="73"/>
      <c r="J259" s="73"/>
      <c r="K259" s="191"/>
      <c r="L259" s="191"/>
      <c r="M259" s="74"/>
      <c r="N259" s="2"/>
      <c r="O259" s="2"/>
      <c r="P259" s="2"/>
      <c r="Q259" s="2"/>
      <c r="R259" s="2"/>
    </row>
    <row r="260" spans="1:18" x14ac:dyDescent="0.2">
      <c r="A260" s="2"/>
      <c r="B260" s="2"/>
      <c r="C260" s="73"/>
      <c r="D260" s="73"/>
      <c r="E260" s="73"/>
      <c r="F260" s="73"/>
      <c r="G260" s="73"/>
      <c r="H260" s="73"/>
      <c r="I260" s="73"/>
      <c r="J260" s="73"/>
      <c r="K260" s="191"/>
      <c r="L260" s="191"/>
      <c r="M260" s="74"/>
      <c r="N260" s="2"/>
      <c r="O260" s="2"/>
      <c r="P260" s="2"/>
      <c r="Q260" s="2"/>
      <c r="R260" s="2"/>
    </row>
    <row r="261" spans="1:18" x14ac:dyDescent="0.2">
      <c r="A261" s="2"/>
      <c r="B261" s="2"/>
      <c r="C261" s="73"/>
      <c r="D261" s="73"/>
      <c r="E261" s="73"/>
      <c r="F261" s="73"/>
      <c r="G261" s="73"/>
      <c r="H261" s="73"/>
      <c r="I261" s="73"/>
      <c r="J261" s="73"/>
      <c r="K261" s="191"/>
      <c r="L261" s="191"/>
      <c r="M261" s="74"/>
      <c r="N261" s="2"/>
      <c r="O261" s="2"/>
      <c r="P261" s="2"/>
      <c r="Q261" s="2"/>
      <c r="R261" s="2"/>
    </row>
    <row r="262" spans="1:18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91"/>
      <c r="L262" s="191"/>
      <c r="M262" s="74"/>
      <c r="N262" s="2"/>
      <c r="O262" s="2"/>
      <c r="P262" s="2"/>
      <c r="Q262" s="2"/>
      <c r="R262" s="2"/>
    </row>
    <row r="263" spans="1:18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91"/>
      <c r="L263" s="191"/>
      <c r="M263" s="74"/>
      <c r="N263" s="2"/>
      <c r="O263" s="2"/>
      <c r="P263" s="2"/>
      <c r="Q263" s="2"/>
      <c r="R263" s="2"/>
    </row>
    <row r="264" spans="1:18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91"/>
      <c r="L264" s="191"/>
      <c r="M264" s="74"/>
      <c r="N264" s="2"/>
      <c r="O264" s="2"/>
      <c r="P264" s="2"/>
      <c r="Q264" s="2"/>
      <c r="R264" s="2"/>
    </row>
    <row r="265" spans="1:18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91"/>
      <c r="L265" s="191"/>
      <c r="M265" s="74"/>
      <c r="N265" s="2"/>
      <c r="O265" s="2"/>
      <c r="P265" s="2"/>
      <c r="Q265" s="2"/>
      <c r="R265" s="2"/>
    </row>
    <row r="266" spans="1:18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91"/>
      <c r="L266" s="191"/>
      <c r="M266" s="74"/>
      <c r="N266" s="2"/>
      <c r="O266" s="2"/>
      <c r="P266" s="2"/>
      <c r="Q266" s="2"/>
      <c r="R266" s="2"/>
    </row>
    <row r="267" spans="1:18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91"/>
      <c r="L267" s="191"/>
      <c r="M267" s="74"/>
      <c r="N267" s="2"/>
      <c r="O267" s="2"/>
      <c r="P267" s="2"/>
      <c r="Q267" s="2"/>
      <c r="R267" s="2"/>
    </row>
    <row r="268" spans="1:18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91"/>
      <c r="L268" s="191"/>
      <c r="M268" s="74"/>
      <c r="N268" s="2"/>
      <c r="O268" s="2"/>
      <c r="P268" s="2"/>
      <c r="Q268" s="2"/>
      <c r="R268" s="2"/>
    </row>
    <row r="269" spans="1:18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91"/>
      <c r="L269" s="191"/>
      <c r="M269" s="74"/>
      <c r="N269" s="2"/>
      <c r="O269" s="2"/>
      <c r="P269" s="2"/>
      <c r="Q269" s="2"/>
      <c r="R269" s="2"/>
    </row>
    <row r="270" spans="1:18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91"/>
      <c r="L270" s="191"/>
      <c r="M270" s="74"/>
      <c r="N270" s="2"/>
      <c r="O270" s="2"/>
      <c r="P270" s="2"/>
      <c r="Q270" s="2"/>
      <c r="R270" s="2"/>
    </row>
    <row r="271" spans="1:18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91"/>
      <c r="L271" s="191"/>
      <c r="M271" s="74"/>
      <c r="N271" s="2"/>
      <c r="O271" s="2"/>
      <c r="P271" s="2"/>
      <c r="Q271" s="2"/>
      <c r="R271" s="2"/>
    </row>
    <row r="272" spans="1:18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91"/>
      <c r="L272" s="191"/>
      <c r="M272" s="74"/>
      <c r="N272" s="2"/>
      <c r="O272" s="2"/>
      <c r="P272" s="2"/>
      <c r="Q272" s="2"/>
      <c r="R272" s="2"/>
    </row>
    <row r="273" spans="1:18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91"/>
      <c r="L273" s="191"/>
      <c r="M273" s="74"/>
      <c r="N273" s="2"/>
      <c r="O273" s="2"/>
      <c r="P273" s="2"/>
      <c r="Q273" s="2"/>
      <c r="R273" s="2"/>
    </row>
    <row r="274" spans="1:18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91"/>
      <c r="L274" s="191"/>
      <c r="M274" s="74"/>
      <c r="N274" s="2"/>
      <c r="O274" s="2"/>
      <c r="P274" s="2"/>
      <c r="Q274" s="2"/>
      <c r="R274" s="2"/>
    </row>
    <row r="275" spans="1:18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91"/>
      <c r="L275" s="191"/>
      <c r="M275" s="74"/>
      <c r="N275" s="2"/>
      <c r="O275" s="2"/>
      <c r="P275" s="2"/>
      <c r="Q275" s="2"/>
      <c r="R275" s="2"/>
    </row>
    <row r="276" spans="1:18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91"/>
      <c r="L276" s="191"/>
      <c r="M276" s="74"/>
      <c r="N276" s="2"/>
      <c r="O276" s="2"/>
      <c r="P276" s="2"/>
      <c r="Q276" s="2"/>
      <c r="R276" s="2"/>
    </row>
    <row r="277" spans="1:18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91"/>
      <c r="L277" s="191"/>
      <c r="M277" s="74"/>
      <c r="N277" s="2"/>
      <c r="O277" s="2"/>
      <c r="P277" s="2"/>
      <c r="Q277" s="2"/>
      <c r="R277" s="2"/>
    </row>
    <row r="278" spans="1:18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91"/>
      <c r="L278" s="191"/>
      <c r="M278" s="74"/>
      <c r="N278" s="2"/>
      <c r="O278" s="2"/>
      <c r="P278" s="2"/>
      <c r="Q278" s="2"/>
      <c r="R278" s="2"/>
    </row>
    <row r="279" spans="1:18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91"/>
      <c r="L279" s="191"/>
      <c r="M279" s="74"/>
      <c r="N279" s="2"/>
      <c r="O279" s="2"/>
      <c r="P279" s="2"/>
      <c r="Q279" s="2"/>
      <c r="R279" s="2"/>
    </row>
    <row r="280" spans="1:18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91"/>
      <c r="L280" s="191"/>
      <c r="M280" s="74"/>
      <c r="N280" s="2"/>
      <c r="O280" s="2"/>
      <c r="P280" s="2"/>
      <c r="Q280" s="2"/>
      <c r="R280" s="2"/>
    </row>
    <row r="281" spans="1:18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91"/>
      <c r="L281" s="191"/>
      <c r="M281" s="74"/>
      <c r="N281" s="2"/>
      <c r="O281" s="2"/>
      <c r="P281" s="2"/>
      <c r="Q281" s="2"/>
      <c r="R281" s="2"/>
    </row>
    <row r="282" spans="1:18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91"/>
      <c r="L282" s="191"/>
      <c r="M282" s="74"/>
      <c r="N282" s="2"/>
      <c r="O282" s="2"/>
      <c r="P282" s="2"/>
      <c r="Q282" s="2"/>
      <c r="R282" s="2"/>
    </row>
    <row r="283" spans="1:18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91"/>
      <c r="L283" s="191"/>
      <c r="M283" s="74"/>
      <c r="N283" s="2"/>
      <c r="O283" s="2"/>
      <c r="P283" s="2"/>
      <c r="Q283" s="2"/>
      <c r="R283" s="2"/>
    </row>
    <row r="284" spans="1:18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91"/>
      <c r="L284" s="191"/>
      <c r="M284" s="74"/>
      <c r="N284" s="2"/>
      <c r="O284" s="2"/>
      <c r="P284" s="2"/>
      <c r="Q284" s="2"/>
      <c r="R284" s="2"/>
    </row>
    <row r="285" spans="1:18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91"/>
      <c r="L285" s="191"/>
      <c r="M285" s="74"/>
      <c r="N285" s="2"/>
      <c r="O285" s="2"/>
      <c r="P285" s="2"/>
      <c r="Q285" s="2"/>
      <c r="R285" s="2"/>
    </row>
    <row r="286" spans="1:18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91"/>
      <c r="L286" s="191"/>
      <c r="M286" s="74"/>
      <c r="N286" s="2"/>
      <c r="O286" s="2"/>
      <c r="P286" s="2"/>
      <c r="Q286" s="2"/>
      <c r="R286" s="2"/>
    </row>
    <row r="287" spans="1:18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91"/>
      <c r="L287" s="191"/>
      <c r="M287" s="74"/>
      <c r="N287" s="2"/>
      <c r="O287" s="2"/>
      <c r="P287" s="2"/>
      <c r="Q287" s="2"/>
      <c r="R287" s="2"/>
    </row>
    <row r="288" spans="1:1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91"/>
      <c r="L288" s="191"/>
      <c r="M288" s="74"/>
      <c r="N288" s="2"/>
      <c r="O288" s="2"/>
      <c r="P288" s="2"/>
      <c r="Q288" s="2"/>
      <c r="R288" s="2"/>
    </row>
    <row r="289" spans="1:1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91"/>
      <c r="L289" s="191"/>
      <c r="M289" s="74"/>
      <c r="N289" s="2"/>
      <c r="O289" s="2"/>
      <c r="P289" s="2"/>
      <c r="Q289" s="2"/>
      <c r="R289" s="2"/>
    </row>
    <row r="290" spans="1:1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91"/>
      <c r="L290" s="191"/>
      <c r="M290" s="74"/>
      <c r="N290" s="2"/>
      <c r="O290" s="2"/>
      <c r="P290" s="2"/>
      <c r="Q290" s="2"/>
      <c r="R290" s="2"/>
    </row>
    <row r="291" spans="1:1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91"/>
      <c r="L291" s="191"/>
      <c r="M291" s="74"/>
      <c r="N291" s="2"/>
      <c r="O291" s="2"/>
      <c r="P291" s="2"/>
      <c r="Q291" s="2"/>
      <c r="R291" s="2"/>
    </row>
    <row r="292" spans="1:1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91"/>
      <c r="L292" s="191"/>
      <c r="M292" s="74"/>
      <c r="N292" s="2"/>
      <c r="O292" s="2"/>
      <c r="P292" s="2"/>
      <c r="Q292" s="2"/>
      <c r="R292" s="2"/>
    </row>
    <row r="293" spans="1:1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91"/>
      <c r="L293" s="191"/>
      <c r="M293" s="74"/>
      <c r="N293" s="2"/>
      <c r="O293" s="2"/>
      <c r="P293" s="2"/>
      <c r="Q293" s="2"/>
      <c r="R293" s="2"/>
    </row>
    <row r="294" spans="1:1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91"/>
      <c r="L294" s="191"/>
      <c r="M294" s="74"/>
      <c r="N294" s="2"/>
      <c r="O294" s="2"/>
      <c r="P294" s="2"/>
      <c r="Q294" s="2"/>
      <c r="R294" s="2"/>
    </row>
    <row r="295" spans="1:1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91"/>
      <c r="L295" s="191"/>
      <c r="M295" s="74"/>
      <c r="N295" s="2"/>
      <c r="O295" s="2"/>
      <c r="P295" s="2"/>
      <c r="Q295" s="2"/>
      <c r="R295" s="2"/>
    </row>
    <row r="296" spans="1:1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91"/>
      <c r="L296" s="191"/>
      <c r="M296" s="74"/>
      <c r="N296" s="2"/>
      <c r="O296" s="2"/>
      <c r="P296" s="2"/>
      <c r="Q296" s="2"/>
      <c r="R296" s="2"/>
    </row>
    <row r="297" spans="1:1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91"/>
      <c r="L297" s="191"/>
      <c r="M297" s="74"/>
      <c r="N297" s="2"/>
      <c r="O297" s="2"/>
      <c r="P297" s="2"/>
      <c r="Q297" s="2"/>
      <c r="R297" s="2"/>
    </row>
    <row r="298" spans="1:1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91"/>
      <c r="L298" s="191"/>
      <c r="M298" s="74"/>
      <c r="N298" s="2"/>
      <c r="O298" s="2"/>
      <c r="P298" s="2"/>
      <c r="Q298" s="2"/>
      <c r="R298" s="2"/>
    </row>
    <row r="299" spans="1:1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91"/>
      <c r="L299" s="191"/>
      <c r="M299" s="74"/>
      <c r="N299" s="2"/>
      <c r="O299" s="2"/>
      <c r="P299" s="2"/>
      <c r="Q299" s="2"/>
      <c r="R299" s="2"/>
    </row>
    <row r="300" spans="1:1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91"/>
      <c r="L300" s="191"/>
      <c r="M300" s="74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1"/>
      <c r="L301" s="191"/>
      <c r="M301" s="74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1"/>
      <c r="L302" s="191"/>
      <c r="M302" s="74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1"/>
      <c r="L303" s="191"/>
      <c r="M303" s="74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1"/>
      <c r="L304" s="191"/>
      <c r="M304" s="74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1"/>
      <c r="L305" s="191"/>
      <c r="M305" s="74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1"/>
      <c r="L306" s="191"/>
      <c r="M306" s="74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1"/>
      <c r="L307" s="191"/>
      <c r="M307" s="74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1"/>
      <c r="L308" s="191"/>
      <c r="M308" s="74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1"/>
      <c r="L309" s="191"/>
      <c r="M309" s="74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1"/>
      <c r="L310" s="191"/>
      <c r="M310" s="74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1"/>
      <c r="L311" s="191"/>
      <c r="M311" s="74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1"/>
      <c r="L312" s="191"/>
      <c r="M312" s="74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1"/>
      <c r="L313" s="191"/>
      <c r="M313" s="74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1"/>
      <c r="L314" s="191"/>
      <c r="M314" s="74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1"/>
      <c r="L315" s="191"/>
      <c r="M315" s="74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1"/>
      <c r="L316" s="191"/>
      <c r="M316" s="74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1"/>
      <c r="L317" s="191"/>
      <c r="M317" s="74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1"/>
      <c r="L318" s="191"/>
      <c r="M318" s="74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1"/>
      <c r="L319" s="191"/>
      <c r="M319" s="74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1"/>
      <c r="L320" s="191"/>
      <c r="M320" s="74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1"/>
      <c r="L321" s="191"/>
      <c r="M321" s="74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1"/>
      <c r="L322" s="191"/>
      <c r="M322" s="74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1"/>
      <c r="L323" s="191"/>
      <c r="M323" s="74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1"/>
      <c r="L324" s="191"/>
      <c r="M324" s="74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1"/>
      <c r="L325" s="191"/>
      <c r="M325" s="74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1"/>
      <c r="L326" s="191"/>
      <c r="M326" s="74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1"/>
      <c r="L327" s="191"/>
      <c r="M327" s="74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1"/>
      <c r="L328" s="191"/>
      <c r="M328" s="74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1"/>
      <c r="L329" s="191"/>
      <c r="M329" s="74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1"/>
      <c r="L330" s="191"/>
      <c r="M330" s="74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1"/>
      <c r="L331" s="191"/>
      <c r="M331" s="74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1"/>
      <c r="L332" s="191"/>
      <c r="M332" s="74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1"/>
      <c r="L333" s="191"/>
      <c r="M333" s="74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1"/>
      <c r="L334" s="191"/>
      <c r="M334" s="74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1"/>
      <c r="L335" s="191"/>
      <c r="M335" s="74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1"/>
      <c r="L336" s="191"/>
      <c r="M336" s="74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1"/>
      <c r="L337" s="191"/>
      <c r="M337" s="74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1"/>
      <c r="L338" s="191"/>
      <c r="M338" s="74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1"/>
      <c r="L339" s="191"/>
      <c r="M339" s="74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1"/>
      <c r="L340" s="191"/>
      <c r="M340" s="74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1"/>
      <c r="L341" s="191"/>
      <c r="M341" s="74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1"/>
      <c r="L342" s="191"/>
      <c r="M342" s="74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1"/>
      <c r="L343" s="191"/>
      <c r="M343" s="74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1"/>
      <c r="L344" s="191"/>
      <c r="M344" s="74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1"/>
      <c r="L345" s="191"/>
      <c r="M345" s="74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1"/>
      <c r="L346" s="191"/>
      <c r="M346" s="74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1"/>
      <c r="L347" s="191"/>
      <c r="M347" s="74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1"/>
      <c r="L348" s="191"/>
      <c r="M348" s="74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1"/>
      <c r="L349" s="191"/>
      <c r="M349" s="74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1"/>
      <c r="L350" s="191"/>
      <c r="M350" s="74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1"/>
      <c r="L351" s="191"/>
      <c r="M351" s="74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1"/>
      <c r="L352" s="191"/>
      <c r="M352" s="74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1"/>
      <c r="L353" s="191"/>
      <c r="M353" s="74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1"/>
      <c r="L354" s="191"/>
      <c r="M354" s="74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1"/>
      <c r="L355" s="191"/>
      <c r="M355" s="74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1"/>
      <c r="L356" s="191"/>
      <c r="M356" s="74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1"/>
      <c r="L357" s="191"/>
      <c r="M357" s="74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1"/>
      <c r="L358" s="191"/>
      <c r="M358" s="74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1"/>
      <c r="L359" s="191"/>
      <c r="M359" s="74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1"/>
      <c r="L360" s="191"/>
      <c r="M360" s="74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1"/>
      <c r="L361" s="191"/>
      <c r="M361" s="74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1"/>
      <c r="L362" s="191"/>
      <c r="M362" s="74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1"/>
      <c r="L363" s="191"/>
      <c r="M363" s="74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1"/>
      <c r="L364" s="191"/>
      <c r="M364" s="74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1"/>
      <c r="L365" s="191"/>
      <c r="M365" s="74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1"/>
      <c r="L366" s="191"/>
      <c r="M366" s="74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1"/>
      <c r="L367" s="191"/>
      <c r="M367" s="74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1"/>
      <c r="L368" s="191"/>
      <c r="M368" s="74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1"/>
      <c r="L369" s="191"/>
      <c r="M369" s="74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1"/>
      <c r="L370" s="191"/>
      <c r="M370" s="74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1"/>
      <c r="L371" s="191"/>
      <c r="M371" s="74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1"/>
      <c r="L372" s="191"/>
      <c r="M372" s="74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1"/>
      <c r="L373" s="191"/>
      <c r="M373" s="74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1"/>
      <c r="L374" s="191"/>
      <c r="M374" s="74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1"/>
      <c r="L375" s="191"/>
      <c r="M375" s="74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1"/>
      <c r="L376" s="191"/>
      <c r="M376" s="74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1"/>
      <c r="L377" s="191"/>
      <c r="M377" s="74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1"/>
      <c r="L378" s="191"/>
      <c r="M378" s="74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1"/>
      <c r="L379" s="191"/>
      <c r="M379" s="74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1"/>
      <c r="L380" s="191"/>
      <c r="M380" s="74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1"/>
      <c r="L381" s="191"/>
      <c r="M381" s="74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1"/>
      <c r="L382" s="191"/>
      <c r="M382" s="74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1"/>
      <c r="L383" s="191"/>
      <c r="M383" s="74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1"/>
      <c r="L384" s="191"/>
      <c r="M384" s="74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1"/>
      <c r="L385" s="191"/>
      <c r="M385" s="74"/>
      <c r="N385" s="2"/>
      <c r="O385" s="2"/>
      <c r="P385" s="2"/>
      <c r="Q385" s="2"/>
      <c r="R385" s="2"/>
    </row>
    <row r="386" spans="1:1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1"/>
      <c r="L386" s="191"/>
      <c r="M386" s="74"/>
      <c r="N386" s="2"/>
      <c r="O386" s="2"/>
      <c r="P386" s="2"/>
      <c r="Q386" s="2"/>
      <c r="R386" s="2"/>
    </row>
    <row r="387" spans="1:1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1"/>
      <c r="L387" s="191"/>
      <c r="M387" s="74"/>
      <c r="N387" s="2"/>
      <c r="O387" s="2"/>
      <c r="P387" s="2"/>
      <c r="Q387" s="2"/>
      <c r="R387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2" manualBreakCount="2">
    <brk id="55" max="12" man="1"/>
    <brk id="10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79" customWidth="1"/>
    <col min="2" max="2" width="9.77734375" style="79" customWidth="1"/>
    <col min="3" max="3" width="16.109375" style="79" customWidth="1"/>
    <col min="4" max="4" width="26.21875" style="79" customWidth="1"/>
    <col min="5" max="6" width="13.6640625" style="79" customWidth="1"/>
    <col min="7" max="7" width="16" style="79" customWidth="1"/>
    <col min="8" max="8" width="12.44140625" style="79" customWidth="1"/>
    <col min="9" max="9" width="15.88671875" style="79" customWidth="1"/>
    <col min="10" max="10" width="14.6640625" style="79" customWidth="1"/>
    <col min="11" max="11" width="11.5546875" style="79" customWidth="1"/>
    <col min="12" max="12" width="12.77734375" style="79" customWidth="1"/>
    <col min="13" max="13" width="14.5546875" style="79" customWidth="1"/>
    <col min="14" max="14" width="10.109375" style="79" customWidth="1"/>
    <col min="15" max="15" width="13.44140625" style="79" customWidth="1"/>
    <col min="16" max="16" width="3.77734375" style="79" customWidth="1"/>
    <col min="17" max="16384" width="9.6640625" style="79"/>
  </cols>
  <sheetData>
    <row r="1" spans="1:16" ht="23.25" x14ac:dyDescent="0.35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3.25" x14ac:dyDescent="0.35">
      <c r="A2" s="77" t="s">
        <v>21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23.25" x14ac:dyDescent="0.35">
      <c r="A3" s="281" t="s">
        <v>78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23.25" x14ac:dyDescent="0.35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4" thickBot="1" x14ac:dyDescent="0.4">
      <c r="A5" s="77" t="s">
        <v>22</v>
      </c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6.5" thickTop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 t="s">
        <v>23</v>
      </c>
      <c r="P6" s="82"/>
    </row>
    <row r="7" spans="1:16" ht="15.75" x14ac:dyDescent="0.25">
      <c r="A7" s="104" t="s">
        <v>24</v>
      </c>
      <c r="B7" s="83" t="s">
        <v>13</v>
      </c>
      <c r="C7" s="83" t="s">
        <v>15</v>
      </c>
      <c r="D7" s="83" t="s">
        <v>62</v>
      </c>
      <c r="E7" s="274" t="s">
        <v>55</v>
      </c>
      <c r="F7" s="83" t="s">
        <v>60</v>
      </c>
      <c r="G7" s="83" t="s">
        <v>63</v>
      </c>
      <c r="H7" s="83" t="s">
        <v>68</v>
      </c>
      <c r="I7" s="83" t="s">
        <v>70</v>
      </c>
      <c r="J7" s="83" t="s">
        <v>25</v>
      </c>
      <c r="K7" s="83" t="s">
        <v>52</v>
      </c>
      <c r="L7" s="83" t="s">
        <v>50</v>
      </c>
      <c r="M7" s="83" t="s">
        <v>17</v>
      </c>
      <c r="N7" s="83" t="s">
        <v>51</v>
      </c>
      <c r="O7" s="83" t="s">
        <v>26</v>
      </c>
      <c r="P7" s="82"/>
    </row>
    <row r="8" spans="1:16" ht="16.5" thickBot="1" x14ac:dyDescent="0.3">
      <c r="A8" s="84"/>
      <c r="B8" s="84"/>
      <c r="C8" s="84"/>
      <c r="D8" s="84"/>
      <c r="E8" s="275"/>
      <c r="F8" s="84"/>
      <c r="G8" s="84"/>
      <c r="H8" s="84"/>
      <c r="I8" s="84"/>
      <c r="J8" s="84"/>
      <c r="K8" s="84"/>
      <c r="L8" s="84"/>
      <c r="M8" s="84"/>
      <c r="N8" s="84"/>
      <c r="O8" s="84"/>
      <c r="P8" s="82"/>
    </row>
    <row r="9" spans="1:16" ht="15.75" thickTop="1" x14ac:dyDescent="0.2">
      <c r="A9" s="85"/>
      <c r="B9" s="85"/>
      <c r="C9" s="85"/>
      <c r="D9" s="85"/>
      <c r="E9" s="86"/>
      <c r="F9" s="86"/>
      <c r="G9" s="86"/>
      <c r="H9" s="86"/>
      <c r="I9" s="86"/>
      <c r="J9" s="85"/>
      <c r="K9" s="85"/>
      <c r="L9" s="85"/>
      <c r="M9" s="85"/>
      <c r="N9" s="85"/>
      <c r="O9" s="85"/>
      <c r="P9" s="82"/>
    </row>
    <row r="10" spans="1:16" ht="15.75" x14ac:dyDescent="0.25">
      <c r="A10" s="87">
        <f>DATE(2025,7,1)</f>
        <v>45839</v>
      </c>
      <c r="B10" s="88">
        <f>'MONTHLY STATS'!$C$9*2</f>
        <v>360560</v>
      </c>
      <c r="C10" s="88">
        <f>'MONTHLY STATS'!$C$17*2</f>
        <v>214610</v>
      </c>
      <c r="D10" s="88">
        <f>'MONTHLY STATS'!$C$25*2</f>
        <v>145072</v>
      </c>
      <c r="E10" s="88">
        <f>'MONTHLY STATS'!$C$33*2</f>
        <v>626512</v>
      </c>
      <c r="F10" s="88">
        <f>'MONTHLY STATS'!$C$41*2</f>
        <v>378056</v>
      </c>
      <c r="G10" s="88">
        <f>'MONTHLY STATS'!$C$49*2</f>
        <v>189756</v>
      </c>
      <c r="H10" s="88">
        <f>'MONTHLY STATS'!$C$57*2</f>
        <v>408904</v>
      </c>
      <c r="I10" s="88">
        <f>'MONTHLY STATS'!$C$65*2</f>
        <v>432796</v>
      </c>
      <c r="J10" s="88">
        <f>'MONTHLY STATS'!$C$73*2</f>
        <v>512784</v>
      </c>
      <c r="K10" s="88">
        <f>'MONTHLY STATS'!$C$81*2</f>
        <v>669154</v>
      </c>
      <c r="L10" s="88">
        <f>'MONTHLY STATS'!$C$89*2</f>
        <v>85610</v>
      </c>
      <c r="M10" s="88">
        <f>'MONTHLY STATS'!$C$97*2</f>
        <v>665520</v>
      </c>
      <c r="N10" s="88">
        <f>'MONTHLY STATS'!$C$105*2</f>
        <v>125062</v>
      </c>
      <c r="O10" s="89">
        <f>SUM(B10:N10)</f>
        <v>4814396</v>
      </c>
      <c r="P10" s="82"/>
    </row>
    <row r="11" spans="1:16" ht="15.75" x14ac:dyDescent="0.25">
      <c r="A11" s="87">
        <f>DATE(2025,8,1)</f>
        <v>45870</v>
      </c>
      <c r="B11" s="88">
        <f>'MONTHLY STATS'!$C$10*2</f>
        <v>379164</v>
      </c>
      <c r="C11" s="88">
        <f>'MONTHLY STATS'!$C$18*2</f>
        <v>220074</v>
      </c>
      <c r="D11" s="88">
        <f>'MONTHLY STATS'!$C$26*2</f>
        <v>154922</v>
      </c>
      <c r="E11" s="88">
        <f>'MONTHLY STATS'!$C$34*2</f>
        <v>669634</v>
      </c>
      <c r="F11" s="88">
        <f>'MONTHLY STATS'!$C$42*2</f>
        <v>388106</v>
      </c>
      <c r="G11" s="88">
        <f>'MONTHLY STATS'!$C$50*2</f>
        <v>194500</v>
      </c>
      <c r="H11" s="88">
        <f>'MONTHLY STATS'!$C$58*2</f>
        <v>413246</v>
      </c>
      <c r="I11" s="88">
        <f>'MONTHLY STATS'!$C$66*2</f>
        <v>461220</v>
      </c>
      <c r="J11" s="88">
        <f>'MONTHLY STATS'!$C$74*2</f>
        <v>529360</v>
      </c>
      <c r="K11" s="88">
        <f>'MONTHLY STATS'!$C$82*2</f>
        <v>688408</v>
      </c>
      <c r="L11" s="88">
        <f>'MONTHLY STATS'!$C$90*2</f>
        <v>86952</v>
      </c>
      <c r="M11" s="88">
        <f>'MONTHLY STATS'!$C$98*2</f>
        <v>675830</v>
      </c>
      <c r="N11" s="88">
        <f>'MONTHLY STATS'!$C$106*2</f>
        <v>130530</v>
      </c>
      <c r="O11" s="89">
        <f>SUM(B11:N11)</f>
        <v>4991946</v>
      </c>
      <c r="P11" s="82"/>
    </row>
    <row r="12" spans="1:16" ht="15.75" x14ac:dyDescent="0.25">
      <c r="A12" s="87">
        <f>DATE(2025,9,1)</f>
        <v>45901</v>
      </c>
      <c r="B12" s="88">
        <f>'MONTHLY STATS'!$C$11*2</f>
        <v>320658</v>
      </c>
      <c r="C12" s="88">
        <f>'MONTHLY STATS'!$C$19*2</f>
        <v>200200</v>
      </c>
      <c r="D12" s="88">
        <f>'MONTHLY STATS'!$C$27*2</f>
        <v>135600</v>
      </c>
      <c r="E12" s="88">
        <f>'MONTHLY STATS'!$C$35*2</f>
        <v>591474</v>
      </c>
      <c r="F12" s="88">
        <f>'MONTHLY STATS'!$C$43*2</f>
        <v>348858</v>
      </c>
      <c r="G12" s="88">
        <f>'MONTHLY STATS'!$C$51*2</f>
        <v>179536</v>
      </c>
      <c r="H12" s="88">
        <f>'MONTHLY STATS'!$C$59*2</f>
        <v>389766</v>
      </c>
      <c r="I12" s="88">
        <f>'MONTHLY STATS'!$C$67*2</f>
        <v>408932</v>
      </c>
      <c r="J12" s="88">
        <f>'MONTHLY STATS'!$C$75*2</f>
        <v>458130</v>
      </c>
      <c r="K12" s="88">
        <f>'MONTHLY STATS'!$C$83*2</f>
        <v>615346</v>
      </c>
      <c r="L12" s="88">
        <f>'MONTHLY STATS'!$C$91*2</f>
        <v>77986</v>
      </c>
      <c r="M12" s="88">
        <f>'MONTHLY STATS'!$C$99*2</f>
        <v>599366</v>
      </c>
      <c r="N12" s="88">
        <f>'MONTHLY STATS'!$C$107*2</f>
        <v>117132</v>
      </c>
      <c r="O12" s="89">
        <f>SUM(B12:N12)</f>
        <v>4442984</v>
      </c>
      <c r="P12" s="82"/>
    </row>
    <row r="13" spans="1:16" ht="15.75" x14ac:dyDescent="0.25">
      <c r="A13" s="87">
        <f>DATE(2025,10,1)</f>
        <v>45931</v>
      </c>
      <c r="B13" s="88">
        <f>'MONTHLY STATS'!$C$12*2</f>
        <v>341912</v>
      </c>
      <c r="C13" s="88">
        <f>'MONTHLY STATS'!$C$20*2</f>
        <v>208330</v>
      </c>
      <c r="D13" s="88">
        <f>'MONTHLY STATS'!$C$28*2</f>
        <v>140086</v>
      </c>
      <c r="E13" s="88">
        <f>'MONTHLY STATS'!$C$36*2</f>
        <v>616502</v>
      </c>
      <c r="F13" s="88">
        <f>'MONTHLY STATS'!$C$44*2</f>
        <v>362112</v>
      </c>
      <c r="G13" s="88">
        <f>'MONTHLY STATS'!$C$52*2</f>
        <v>173322</v>
      </c>
      <c r="H13" s="88">
        <f>'MONTHLY STATS'!$C$60*2</f>
        <v>449376</v>
      </c>
      <c r="I13" s="88">
        <f>'MONTHLY STATS'!$C$68*2</f>
        <v>404242</v>
      </c>
      <c r="J13" s="88">
        <f>'MONTHLY STATS'!$C$76*2</f>
        <v>485342</v>
      </c>
      <c r="K13" s="88">
        <f>'MONTHLY STATS'!$C$84*2</f>
        <v>655792</v>
      </c>
      <c r="L13" s="88">
        <f>'MONTHLY STATS'!$C$92*2</f>
        <v>81178</v>
      </c>
      <c r="M13" s="88">
        <f>'MONTHLY STATS'!$C$100*2</f>
        <v>620254</v>
      </c>
      <c r="N13" s="88">
        <f>'MONTHLY STATS'!$C$108*2</f>
        <v>120824</v>
      </c>
      <c r="O13" s="89">
        <f>SUM(B13:N13)</f>
        <v>4659272</v>
      </c>
      <c r="P13" s="82"/>
    </row>
    <row r="14" spans="1:16" ht="15.75" x14ac:dyDescent="0.25">
      <c r="A14" s="87">
        <f>DATE(2025,11,1)</f>
        <v>45962</v>
      </c>
      <c r="B14" s="88">
        <f>'MONTHLY STATS'!$C$13*2</f>
        <v>336526</v>
      </c>
      <c r="C14" s="88">
        <f>'MONTHLY STATS'!$C$21*2</f>
        <v>196516</v>
      </c>
      <c r="D14" s="88">
        <f>'MONTHLY STATS'!$C$29*2</f>
        <v>143276</v>
      </c>
      <c r="E14" s="88">
        <f>'MONTHLY STATS'!$C$37*2</f>
        <v>597388</v>
      </c>
      <c r="F14" s="88">
        <f>'MONTHLY STATS'!$C$45*2</f>
        <v>355388</v>
      </c>
      <c r="G14" s="88">
        <f>'MONTHLY STATS'!$C$53*2</f>
        <v>183480</v>
      </c>
      <c r="H14" s="88">
        <f>'MONTHLY STATS'!$C$61*2</f>
        <v>418838</v>
      </c>
      <c r="I14" s="88">
        <f>'MONTHLY STATS'!$C$69*2</f>
        <v>391222</v>
      </c>
      <c r="J14" s="88">
        <f>'MONTHLY STATS'!$C$77*2</f>
        <v>481988</v>
      </c>
      <c r="K14" s="88">
        <f>'MONTHLY STATS'!$C$85*2</f>
        <v>631292</v>
      </c>
      <c r="L14" s="88">
        <f>'MONTHLY STATS'!$C$93*2</f>
        <v>75170</v>
      </c>
      <c r="M14" s="88">
        <f>'MONTHLY STATS'!$C$101*2</f>
        <v>612934</v>
      </c>
      <c r="N14" s="88">
        <f>'MONTHLY STATS'!$C$109*2</f>
        <v>116420</v>
      </c>
      <c r="O14" s="89">
        <f>SUM(B14:N14)</f>
        <v>4540438</v>
      </c>
      <c r="P14" s="82"/>
    </row>
    <row r="15" spans="1:16" ht="15.75" x14ac:dyDescent="0.25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9"/>
      <c r="P15" s="82"/>
    </row>
    <row r="16" spans="1:16" ht="15.75" x14ac:dyDescent="0.25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9"/>
      <c r="P16" s="82"/>
    </row>
    <row r="17" spans="1:16" ht="15.75" x14ac:dyDescent="0.25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9"/>
      <c r="P17" s="82"/>
    </row>
    <row r="18" spans="1:16" ht="15.75" x14ac:dyDescent="0.25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82"/>
    </row>
    <row r="19" spans="1:16" ht="15.75" x14ac:dyDescent="0.25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9"/>
      <c r="P19" s="82"/>
    </row>
    <row r="20" spans="1:16" ht="15.75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  <c r="P20" s="82"/>
    </row>
    <row r="21" spans="1:16" ht="15.75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9"/>
      <c r="P21" s="82"/>
    </row>
    <row r="22" spans="1:16" ht="15.75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2"/>
    </row>
    <row r="23" spans="1:16" ht="15.75" x14ac:dyDescent="0.25">
      <c r="A23" s="90" t="s">
        <v>27</v>
      </c>
      <c r="B23" s="89">
        <f t="shared" ref="B23:O23" si="0">SUM(B10:B21)</f>
        <v>1738820</v>
      </c>
      <c r="C23" s="89">
        <f t="shared" si="0"/>
        <v>1039730</v>
      </c>
      <c r="D23" s="89">
        <f t="shared" si="0"/>
        <v>718956</v>
      </c>
      <c r="E23" s="89">
        <f t="shared" si="0"/>
        <v>3101510</v>
      </c>
      <c r="F23" s="89">
        <f t="shared" si="0"/>
        <v>1832520</v>
      </c>
      <c r="G23" s="89">
        <f>SUM(G10:G21)</f>
        <v>920594</v>
      </c>
      <c r="H23" s="89">
        <f t="shared" si="0"/>
        <v>2080130</v>
      </c>
      <c r="I23" s="89">
        <f>SUM(I10:I21)</f>
        <v>2098412</v>
      </c>
      <c r="J23" s="89">
        <f t="shared" si="0"/>
        <v>2467604</v>
      </c>
      <c r="K23" s="89">
        <f>SUM(K10:K21)</f>
        <v>3259992</v>
      </c>
      <c r="L23" s="89">
        <f t="shared" si="0"/>
        <v>406896</v>
      </c>
      <c r="M23" s="89">
        <f t="shared" si="0"/>
        <v>3173904</v>
      </c>
      <c r="N23" s="89">
        <f t="shared" si="0"/>
        <v>609968</v>
      </c>
      <c r="O23" s="89">
        <f t="shared" si="0"/>
        <v>23449036</v>
      </c>
      <c r="P23" s="82"/>
    </row>
    <row r="24" spans="1:16" ht="16.5" thickBot="1" x14ac:dyDescent="0.3">
      <c r="A24" s="91"/>
      <c r="B24" s="89"/>
      <c r="C24" s="89"/>
      <c r="D24" s="89"/>
      <c r="E24" s="88"/>
      <c r="F24" s="88"/>
      <c r="G24" s="88"/>
      <c r="H24" s="88"/>
      <c r="I24" s="88"/>
      <c r="J24" s="89"/>
      <c r="K24" s="89"/>
      <c r="L24" s="89"/>
      <c r="M24" s="89"/>
      <c r="N24" s="89"/>
      <c r="O24" s="89"/>
      <c r="P24" s="82"/>
    </row>
    <row r="25" spans="1:16" ht="15.75" thickTop="1" x14ac:dyDescent="0.2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4"/>
      <c r="L25" s="94"/>
      <c r="M25" s="94"/>
      <c r="N25" s="94"/>
      <c r="O25" s="94"/>
    </row>
    <row r="26" spans="1:16" ht="24" thickBot="1" x14ac:dyDescent="0.4">
      <c r="A26" s="95" t="s">
        <v>28</v>
      </c>
      <c r="B26" s="96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8"/>
      <c r="O26" s="98"/>
    </row>
    <row r="27" spans="1:16" ht="16.5" thickTop="1" x14ac:dyDescent="0.25">
      <c r="A27" s="99"/>
      <c r="B27" s="100"/>
      <c r="C27" s="100"/>
      <c r="D27" s="100"/>
      <c r="E27" s="101"/>
      <c r="F27" s="101"/>
      <c r="G27" s="101"/>
      <c r="H27" s="101"/>
      <c r="I27" s="101"/>
      <c r="J27" s="100"/>
      <c r="K27" s="102"/>
      <c r="L27" s="102"/>
      <c r="M27" s="102"/>
      <c r="N27" s="102"/>
      <c r="O27" s="103" t="s">
        <v>23</v>
      </c>
      <c r="P27" s="82"/>
    </row>
    <row r="28" spans="1:16" ht="15.75" x14ac:dyDescent="0.25">
      <c r="A28" s="104" t="s">
        <v>24</v>
      </c>
      <c r="B28" s="83" t="s">
        <v>13</v>
      </c>
      <c r="C28" s="83" t="s">
        <v>15</v>
      </c>
      <c r="D28" s="83" t="s">
        <v>62</v>
      </c>
      <c r="E28" s="274" t="s">
        <v>55</v>
      </c>
      <c r="F28" s="83" t="s">
        <v>60</v>
      </c>
      <c r="G28" s="83" t="s">
        <v>63</v>
      </c>
      <c r="H28" s="83" t="s">
        <v>68</v>
      </c>
      <c r="I28" s="83" t="s">
        <v>70</v>
      </c>
      <c r="J28" s="83" t="s">
        <v>25</v>
      </c>
      <c r="K28" s="105" t="s">
        <v>52</v>
      </c>
      <c r="L28" s="105" t="s">
        <v>50</v>
      </c>
      <c r="M28" s="105" t="s">
        <v>17</v>
      </c>
      <c r="N28" s="105" t="s">
        <v>51</v>
      </c>
      <c r="O28" s="105" t="s">
        <v>26</v>
      </c>
      <c r="P28" s="82"/>
    </row>
    <row r="29" spans="1:16" ht="16.5" thickBot="1" x14ac:dyDescent="0.3">
      <c r="A29" s="106"/>
      <c r="B29" s="107"/>
      <c r="C29" s="107"/>
      <c r="D29" s="107"/>
      <c r="E29" s="275"/>
      <c r="F29" s="83"/>
      <c r="G29" s="83"/>
      <c r="H29" s="83"/>
      <c r="I29" s="83"/>
      <c r="J29" s="107"/>
      <c r="K29" s="108"/>
      <c r="L29" s="108"/>
      <c r="M29" s="108"/>
      <c r="N29" s="108"/>
      <c r="O29" s="108"/>
      <c r="P29" s="82"/>
    </row>
    <row r="30" spans="1:16" ht="15.75" thickTop="1" x14ac:dyDescent="0.2">
      <c r="A30" s="109"/>
      <c r="B30" s="110"/>
      <c r="C30" s="110"/>
      <c r="D30" s="110"/>
      <c r="E30" s="111"/>
      <c r="F30" s="111"/>
      <c r="G30" s="111"/>
      <c r="H30" s="111"/>
      <c r="I30" s="111"/>
      <c r="J30" s="110"/>
      <c r="K30" s="112"/>
      <c r="L30" s="112"/>
      <c r="M30" s="112"/>
      <c r="N30" s="112"/>
      <c r="O30" s="112"/>
      <c r="P30" s="82"/>
    </row>
    <row r="31" spans="1:16" ht="15.75" x14ac:dyDescent="0.25">
      <c r="A31" s="87">
        <f>DATE(2025,7,1)</f>
        <v>45839</v>
      </c>
      <c r="B31" s="88">
        <f>'MONTHLY STATS'!$K$9*0.21</f>
        <v>2868662.3742</v>
      </c>
      <c r="C31" s="88">
        <f>'MONTHLY STATS'!$K$17*0.21</f>
        <v>1755725.4372</v>
      </c>
      <c r="D31" s="88">
        <f>'MONTHLY STATS'!$K$25*0.21</f>
        <v>1071613.5759000001</v>
      </c>
      <c r="E31" s="88">
        <f>'MONTHLY STATS'!$K$33*0.21</f>
        <v>4632434.1272999998</v>
      </c>
      <c r="F31" s="88">
        <f>'MONTHLY STATS'!$K$41*0.21</f>
        <v>3046383.8201999995</v>
      </c>
      <c r="G31" s="88">
        <f>'MONTHLY STATS'!$K$49*0.21</f>
        <v>1232192.7890999999</v>
      </c>
      <c r="H31" s="88">
        <f>'MONTHLY STATS'!$K$57*0.21</f>
        <v>2324377.5155999996</v>
      </c>
      <c r="I31" s="88">
        <f>'MONTHLY STATS'!$K$65*0.21</f>
        <v>3036431.0718</v>
      </c>
      <c r="J31" s="88">
        <f>'MONTHLY STATS'!$K$73*0.21</f>
        <v>3669881.8905000002</v>
      </c>
      <c r="K31" s="88">
        <f>'MONTHLY STATS'!$K$81*0.21</f>
        <v>4675936.7675999999</v>
      </c>
      <c r="L31" s="88">
        <f>'MONTHLY STATS'!$K$89*0.21</f>
        <v>618653.44169999997</v>
      </c>
      <c r="M31" s="88">
        <f>'MONTHLY STATS'!$K$97*0.21</f>
        <v>5378563.3292999994</v>
      </c>
      <c r="N31" s="88">
        <f>'MONTHLY STATS'!$K$105*0.21</f>
        <v>908066.38439999986</v>
      </c>
      <c r="O31" s="89">
        <f>SUM(B31:N31)</f>
        <v>35218922.524800003</v>
      </c>
      <c r="P31" s="82"/>
    </row>
    <row r="32" spans="1:16" ht="15.75" x14ac:dyDescent="0.25">
      <c r="A32" s="87">
        <f>DATE(2025,8,1)</f>
        <v>45870</v>
      </c>
      <c r="B32" s="88">
        <f>'MONTHLY STATS'!$K$10*0.21</f>
        <v>3109937.1596999997</v>
      </c>
      <c r="C32" s="88">
        <f>'MONTHLY STATS'!$K$18*0.21</f>
        <v>1755120.5027999999</v>
      </c>
      <c r="D32" s="88">
        <f>'MONTHLY STATS'!$K$26*0.21</f>
        <v>1127483.3870999999</v>
      </c>
      <c r="E32" s="88">
        <f>'MONTHLY STATS'!$K$34*0.21</f>
        <v>4983170.1402000003</v>
      </c>
      <c r="F32" s="88">
        <f>'MONTHLY STATS'!$K$42*0.21</f>
        <v>3390595.3514999999</v>
      </c>
      <c r="G32" s="88">
        <f>'MONTHLY STATS'!$K$50*0.21</f>
        <v>1278646.3158</v>
      </c>
      <c r="H32" s="88">
        <f>'MONTHLY STATS'!$K$58*0.21</f>
        <v>2370996.7658999995</v>
      </c>
      <c r="I32" s="88">
        <f>'MONTHLY STATS'!$K$66*0.21</f>
        <v>3222736.7528999997</v>
      </c>
      <c r="J32" s="88">
        <f>'MONTHLY STATS'!$K$74*0.21</f>
        <v>3735813.1733999997</v>
      </c>
      <c r="K32" s="88">
        <f>'MONTHLY STATS'!$K$82*0.21</f>
        <v>5049494.1441000002</v>
      </c>
      <c r="L32" s="88">
        <f>'MONTHLY STATS'!$K$90*0.21</f>
        <v>634301.99699999997</v>
      </c>
      <c r="M32" s="88">
        <f>'MONTHLY STATS'!$K$98*0.21</f>
        <v>5731629.0339000002</v>
      </c>
      <c r="N32" s="88">
        <f>'MONTHLY STATS'!$K$106*0.21</f>
        <v>881846.07630000007</v>
      </c>
      <c r="O32" s="89">
        <f>SUM(B32:N32)</f>
        <v>37271770.8006</v>
      </c>
      <c r="P32" s="82"/>
    </row>
    <row r="33" spans="1:16" ht="15.75" x14ac:dyDescent="0.25">
      <c r="A33" s="87">
        <f>DATE(2025,9,1)</f>
        <v>45901</v>
      </c>
      <c r="B33" s="88">
        <f>'MONTHLY STATS'!$K$11*0.21</f>
        <v>2539965.5882999999</v>
      </c>
      <c r="C33" s="88">
        <f>'MONTHLY STATS'!$K$19*0.21</f>
        <v>1663269.1697999998</v>
      </c>
      <c r="D33" s="88">
        <f>'MONTHLY STATS'!$K$27*0.21</f>
        <v>970767.66150000005</v>
      </c>
      <c r="E33" s="88">
        <f>'MONTHLY STATS'!$K$35*0.21</f>
        <v>4418000.9600999998</v>
      </c>
      <c r="F33" s="88">
        <f>'MONTHLY STATS'!$K$43*0.21</f>
        <v>3151143.3764999998</v>
      </c>
      <c r="G33" s="88">
        <f>'MONTHLY STATS'!$K$51*0.21</f>
        <v>1174943.8637999999</v>
      </c>
      <c r="H33" s="88">
        <f>'MONTHLY STATS'!$K$59*0.21</f>
        <v>2136883.2765000002</v>
      </c>
      <c r="I33" s="88">
        <f>'MONTHLY STATS'!$K$67*0.21</f>
        <v>2788465.3041000003</v>
      </c>
      <c r="J33" s="88">
        <f>'MONTHLY STATS'!$K$75*0.21</f>
        <v>3308929.2999</v>
      </c>
      <c r="K33" s="88">
        <f>'MONTHLY STATS'!$K$83*0.21</f>
        <v>4515897.9264000002</v>
      </c>
      <c r="L33" s="88">
        <f>'MONTHLY STATS'!$K$91*0.21</f>
        <v>582705.3456</v>
      </c>
      <c r="M33" s="88">
        <f>'MONTHLY STATS'!$K$99*0.21</f>
        <v>4887908.2560000001</v>
      </c>
      <c r="N33" s="88">
        <f>'MONTHLY STATS'!$K$107*0.21</f>
        <v>729219.46019999997</v>
      </c>
      <c r="O33" s="89">
        <f>SUM(B33:N33)</f>
        <v>32868099.488700002</v>
      </c>
      <c r="P33" s="82"/>
    </row>
    <row r="34" spans="1:16" ht="15.75" x14ac:dyDescent="0.25">
      <c r="A34" s="87">
        <f>DATE(2025,10,1)</f>
        <v>45931</v>
      </c>
      <c r="B34" s="88">
        <f>'MONTHLY STATS'!$K$12*0.21</f>
        <v>2790013.0460999999</v>
      </c>
      <c r="C34" s="88">
        <f>'MONTHLY STATS'!$K$20*0.21</f>
        <v>1661041.7879999999</v>
      </c>
      <c r="D34" s="88">
        <f>'MONTHLY STATS'!$K$28*0.21</f>
        <v>1023968.7842999999</v>
      </c>
      <c r="E34" s="88">
        <f>'MONTHLY STATS'!$K$36*0.21</f>
        <v>4836059.0921999998</v>
      </c>
      <c r="F34" s="88">
        <f>'MONTHLY STATS'!$K$44*0.21</f>
        <v>2914948.8227999997</v>
      </c>
      <c r="G34" s="88">
        <f>'MONTHLY STATS'!$K$52*0.21</f>
        <v>1127128.9616999999</v>
      </c>
      <c r="H34" s="88">
        <f>'MONTHLY STATS'!$K$60*0.21</f>
        <v>2463282.0575999999</v>
      </c>
      <c r="I34" s="88">
        <f>'MONTHLY STATS'!$K$68*0.21</f>
        <v>2741088.4724999997</v>
      </c>
      <c r="J34" s="88">
        <f>'MONTHLY STATS'!$K$76*0.21</f>
        <v>3530379.7577999998</v>
      </c>
      <c r="K34" s="88">
        <f>'MONTHLY STATS'!$K$84*0.21</f>
        <v>4759469.9607000006</v>
      </c>
      <c r="L34" s="88">
        <f>'MONTHLY STATS'!$K$92*0.21</f>
        <v>612080.67059999995</v>
      </c>
      <c r="M34" s="88">
        <f>'MONTHLY STATS'!$K$100*0.21</f>
        <v>5301386.5674000001</v>
      </c>
      <c r="N34" s="88">
        <f>'MONTHLY STATS'!$K$108*0.21</f>
        <v>861859.36829999997</v>
      </c>
      <c r="O34" s="89">
        <f>SUM(B34:N34)</f>
        <v>34622707.350000001</v>
      </c>
      <c r="P34" s="82"/>
    </row>
    <row r="35" spans="1:16" ht="15.75" x14ac:dyDescent="0.25">
      <c r="A35" s="87">
        <f>DATE(2025,11,1)</f>
        <v>45962</v>
      </c>
      <c r="B35" s="88">
        <f>'MONTHLY STATS'!$K$13*0.21</f>
        <v>2780853.8226000001</v>
      </c>
      <c r="C35" s="88">
        <f>'MONTHLY STATS'!$K$21*0.21</f>
        <v>1593264.5231999999</v>
      </c>
      <c r="D35" s="88">
        <f>'MONTHLY STATS'!$K$29*0.21</f>
        <v>1051732.0695</v>
      </c>
      <c r="E35" s="88">
        <f>'MONTHLY STATS'!$K$37*0.21</f>
        <v>4397914.2479999997</v>
      </c>
      <c r="F35" s="88">
        <f>'MONTHLY STATS'!$K$45*0.21</f>
        <v>2905503.9068999998</v>
      </c>
      <c r="G35" s="88">
        <f>'MONTHLY STATS'!$K$53*0.21</f>
        <v>1229168.0141999999</v>
      </c>
      <c r="H35" s="88">
        <f>'MONTHLY STATS'!$K$61*0.21</f>
        <v>2231875.1301000002</v>
      </c>
      <c r="I35" s="88">
        <f>'MONTHLY STATS'!$K$69*0.21</f>
        <v>2682743.5991999996</v>
      </c>
      <c r="J35" s="88">
        <f>'MONTHLY STATS'!$K$77*0.21</f>
        <v>3354761.6655000001</v>
      </c>
      <c r="K35" s="88">
        <f>'MONTHLY STATS'!$K$85*0.21</f>
        <v>4585596.3236999996</v>
      </c>
      <c r="L35" s="88">
        <f>'MONTHLY STATS'!$K$93*0.21</f>
        <v>562712.97809999995</v>
      </c>
      <c r="M35" s="88">
        <f>'MONTHLY STATS'!$K$101*0.21</f>
        <v>5108770.2665999997</v>
      </c>
      <c r="N35" s="88">
        <f>'MONTHLY STATS'!$K$109*0.21</f>
        <v>814971.40409999993</v>
      </c>
      <c r="O35" s="89">
        <f>SUM(B35:N35)</f>
        <v>33299867.951700002</v>
      </c>
      <c r="P35" s="82"/>
    </row>
    <row r="36" spans="1:16" ht="15.75" x14ac:dyDescent="0.2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9"/>
      <c r="P36" s="82"/>
    </row>
    <row r="37" spans="1:16" ht="15.75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9"/>
      <c r="P37" s="82"/>
    </row>
    <row r="38" spans="1:16" ht="15.75" x14ac:dyDescent="0.2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9"/>
      <c r="P38" s="82"/>
    </row>
    <row r="39" spans="1:16" ht="15.75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9"/>
      <c r="P39" s="82"/>
    </row>
    <row r="40" spans="1:16" ht="15.75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9"/>
      <c r="P40" s="82"/>
    </row>
    <row r="41" spans="1:16" ht="15.75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82"/>
    </row>
    <row r="42" spans="1:16" ht="15.75" x14ac:dyDescent="0.2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  <c r="P42" s="82"/>
    </row>
    <row r="43" spans="1:16" ht="15.75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82"/>
    </row>
    <row r="44" spans="1:16" ht="15.75" x14ac:dyDescent="0.25">
      <c r="A44" s="90" t="s">
        <v>27</v>
      </c>
      <c r="B44" s="89">
        <f t="shared" ref="B44:O44" si="1">SUM(B31:B42)</f>
        <v>14089431.990900001</v>
      </c>
      <c r="C44" s="89">
        <f t="shared" si="1"/>
        <v>8428421.4210000001</v>
      </c>
      <c r="D44" s="89">
        <f t="shared" si="1"/>
        <v>5245565.4782999996</v>
      </c>
      <c r="E44" s="89">
        <f t="shared" si="1"/>
        <v>23267578.5678</v>
      </c>
      <c r="F44" s="89">
        <f t="shared" si="1"/>
        <v>15408575.277899997</v>
      </c>
      <c r="G44" s="89">
        <f t="shared" si="1"/>
        <v>6042079.9445999991</v>
      </c>
      <c r="H44" s="89">
        <f t="shared" si="1"/>
        <v>11527414.745699998</v>
      </c>
      <c r="I44" s="89">
        <f>SUM(I31:I42)</f>
        <v>14471465.2005</v>
      </c>
      <c r="J44" s="89">
        <f t="shared" si="1"/>
        <v>17599765.787100002</v>
      </c>
      <c r="K44" s="89">
        <f>SUM(K31:K42)</f>
        <v>23586395.122499999</v>
      </c>
      <c r="L44" s="89">
        <f t="shared" si="1"/>
        <v>3010454.4329999997</v>
      </c>
      <c r="M44" s="89">
        <f t="shared" si="1"/>
        <v>26408257.453199998</v>
      </c>
      <c r="N44" s="89">
        <f t="shared" si="1"/>
        <v>4195962.6932999995</v>
      </c>
      <c r="O44" s="89">
        <f t="shared" si="1"/>
        <v>173281368.11579999</v>
      </c>
      <c r="P44" s="82"/>
    </row>
    <row r="45" spans="1:16" ht="16.5" thickBot="1" x14ac:dyDescent="0.3">
      <c r="A45" s="91"/>
      <c r="B45" s="89"/>
      <c r="C45" s="89"/>
      <c r="D45" s="89"/>
      <c r="E45" s="88"/>
      <c r="F45" s="88"/>
      <c r="G45" s="88"/>
      <c r="H45" s="88"/>
      <c r="I45" s="88"/>
      <c r="J45" s="89"/>
      <c r="K45" s="89"/>
      <c r="L45" s="89"/>
      <c r="M45" s="89"/>
      <c r="N45" s="89"/>
      <c r="O45" s="89"/>
      <c r="P45" s="82"/>
    </row>
    <row r="46" spans="1:16" ht="15.75" thickTop="1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6" x14ac:dyDescent="0.2">
      <c r="A47" s="28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</row>
    <row r="48" spans="1:16" ht="15.75" x14ac:dyDescent="0.25">
      <c r="A48" s="114" t="s">
        <v>29</v>
      </c>
      <c r="B48" s="97"/>
      <c r="C48" s="97"/>
      <c r="D48" s="97"/>
      <c r="E48" s="97"/>
      <c r="F48" s="97"/>
      <c r="G48" s="97"/>
      <c r="H48" s="97"/>
      <c r="I48" s="97"/>
    </row>
    <row r="49" spans="1:9" ht="15.75" x14ac:dyDescent="0.25">
      <c r="A49" s="114"/>
      <c r="B49" s="97"/>
      <c r="C49" s="97"/>
      <c r="D49" s="97"/>
      <c r="E49" s="97"/>
      <c r="F49" s="97"/>
      <c r="G49" s="97"/>
      <c r="H49" s="97"/>
      <c r="I49" s="97"/>
    </row>
    <row r="50" spans="1:9" ht="15.75" x14ac:dyDescent="0.25">
      <c r="A50" s="71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18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7" customWidth="1"/>
    <col min="2" max="2" width="9.6640625" style="117" customWidth="1"/>
    <col min="3" max="3" width="16.6640625" style="208" customWidth="1"/>
    <col min="4" max="5" width="15.6640625" style="208" customWidth="1"/>
    <col min="6" max="6" width="9.6640625" style="117" customWidth="1"/>
    <col min="7" max="7" width="10.5546875" style="220" customWidth="1"/>
    <col min="8" max="16384" width="9.6640625" style="117"/>
  </cols>
  <sheetData>
    <row r="1" spans="1:8" ht="18" x14ac:dyDescent="0.25">
      <c r="A1" s="115" t="s">
        <v>0</v>
      </c>
      <c r="B1" s="116"/>
      <c r="C1" s="199"/>
      <c r="D1" s="199"/>
      <c r="E1" s="199"/>
      <c r="F1" s="116"/>
      <c r="G1" s="209"/>
    </row>
    <row r="2" spans="1:8" ht="18" customHeight="1" x14ac:dyDescent="0.3">
      <c r="A2" s="118" t="s">
        <v>30</v>
      </c>
      <c r="B2" s="116"/>
      <c r="C2" s="199"/>
      <c r="D2" s="199"/>
      <c r="E2" s="199"/>
      <c r="F2" s="116"/>
      <c r="G2" s="209"/>
    </row>
    <row r="3" spans="1:8" ht="18" customHeight="1" x14ac:dyDescent="0.25">
      <c r="A3" s="282" t="s">
        <v>74</v>
      </c>
      <c r="B3" s="116"/>
      <c r="C3" s="199"/>
      <c r="D3" s="199"/>
      <c r="E3" s="199"/>
      <c r="F3" s="116"/>
      <c r="G3" s="209"/>
    </row>
    <row r="4" spans="1:8" x14ac:dyDescent="0.2">
      <c r="A4" s="283" t="s">
        <v>75</v>
      </c>
      <c r="B4" s="116"/>
      <c r="C4" s="199"/>
      <c r="D4" s="199"/>
      <c r="E4" s="199"/>
      <c r="F4" s="116"/>
      <c r="G4" s="209"/>
    </row>
    <row r="5" spans="1:8" ht="15.75" x14ac:dyDescent="0.25">
      <c r="A5" s="116"/>
      <c r="B5" s="116"/>
      <c r="C5" s="199"/>
      <c r="D5" s="199"/>
      <c r="E5" s="199"/>
      <c r="F5" s="116"/>
      <c r="G5" s="210" t="s">
        <v>1</v>
      </c>
    </row>
    <row r="6" spans="1:8" ht="16.5" thickTop="1" x14ac:dyDescent="0.25">
      <c r="A6" s="119"/>
      <c r="B6" s="120" t="s">
        <v>2</v>
      </c>
      <c r="C6" s="200" t="s">
        <v>31</v>
      </c>
      <c r="D6" s="200" t="s">
        <v>31</v>
      </c>
      <c r="E6" s="200" t="s">
        <v>3</v>
      </c>
      <c r="F6" s="121"/>
      <c r="G6" s="211" t="s">
        <v>32</v>
      </c>
      <c r="H6" s="122"/>
    </row>
    <row r="7" spans="1:8" ht="16.5" thickBot="1" x14ac:dyDescent="0.3">
      <c r="A7" s="123" t="s">
        <v>5</v>
      </c>
      <c r="B7" s="124" t="s">
        <v>6</v>
      </c>
      <c r="C7" s="261" t="s">
        <v>33</v>
      </c>
      <c r="D7" s="201" t="s">
        <v>34</v>
      </c>
      <c r="E7" s="201" t="s">
        <v>34</v>
      </c>
      <c r="F7" s="125" t="s">
        <v>8</v>
      </c>
      <c r="G7" s="212" t="s">
        <v>35</v>
      </c>
      <c r="H7" s="122"/>
    </row>
    <row r="8" spans="1:8" ht="15.75" customHeight="1" thickTop="1" x14ac:dyDescent="0.25">
      <c r="A8" s="126"/>
      <c r="B8" s="127"/>
      <c r="C8" s="202"/>
      <c r="D8" s="202"/>
      <c r="E8" s="202"/>
      <c r="F8" s="128"/>
      <c r="G8" s="213"/>
      <c r="H8" s="122"/>
    </row>
    <row r="9" spans="1:8" ht="15.75" x14ac:dyDescent="0.25">
      <c r="A9" s="129" t="s">
        <v>36</v>
      </c>
      <c r="B9" s="130">
        <f>DATE(2025,7,1)</f>
        <v>45839</v>
      </c>
      <c r="C9" s="203">
        <v>15157408</v>
      </c>
      <c r="D9" s="203">
        <v>2471172.5</v>
      </c>
      <c r="E9" s="203">
        <v>2142172</v>
      </c>
      <c r="F9" s="131">
        <f>(+D9-E9)/E9</f>
        <v>0.15358267216638066</v>
      </c>
      <c r="G9" s="214">
        <f>D9/C9</f>
        <v>0.16303397652157942</v>
      </c>
      <c r="H9" s="122"/>
    </row>
    <row r="10" spans="1:8" ht="15.75" x14ac:dyDescent="0.25">
      <c r="A10" s="129"/>
      <c r="B10" s="130">
        <f>DATE(2025,8,1)</f>
        <v>45870</v>
      </c>
      <c r="C10" s="203">
        <v>15784114</v>
      </c>
      <c r="D10" s="203">
        <v>2783309</v>
      </c>
      <c r="E10" s="203">
        <v>2238159.9</v>
      </c>
      <c r="F10" s="131">
        <f>(+D10-E10)/E10</f>
        <v>0.24357022034037878</v>
      </c>
      <c r="G10" s="214">
        <f>D10/C10</f>
        <v>0.17633609336577269</v>
      </c>
      <c r="H10" s="122"/>
    </row>
    <row r="11" spans="1:8" ht="15.75" x14ac:dyDescent="0.25">
      <c r="A11" s="129"/>
      <c r="B11" s="130">
        <f>DATE(2025,9,1)</f>
        <v>45901</v>
      </c>
      <c r="C11" s="203">
        <v>14041863</v>
      </c>
      <c r="D11" s="203">
        <v>2434170</v>
      </c>
      <c r="E11" s="203">
        <v>1892412</v>
      </c>
      <c r="F11" s="131">
        <f>(+D11-E11)/E11</f>
        <v>0.28627909778631716</v>
      </c>
      <c r="G11" s="214">
        <f>D11/C11</f>
        <v>0.17335092928908366</v>
      </c>
      <c r="H11" s="122"/>
    </row>
    <row r="12" spans="1:8" ht="15.75" x14ac:dyDescent="0.25">
      <c r="A12" s="129"/>
      <c r="B12" s="130">
        <f>DATE(2025,10,1)</f>
        <v>45931</v>
      </c>
      <c r="C12" s="203">
        <v>14624061</v>
      </c>
      <c r="D12" s="203">
        <v>2183432.5</v>
      </c>
      <c r="E12" s="203">
        <v>1986740.5</v>
      </c>
      <c r="F12" s="131">
        <f>(+D12-E12)/E12</f>
        <v>9.9002360902191305E-2</v>
      </c>
      <c r="G12" s="214">
        <f>D12/C12</f>
        <v>0.14930411600443955</v>
      </c>
      <c r="H12" s="122"/>
    </row>
    <row r="13" spans="1:8" ht="15.75" x14ac:dyDescent="0.25">
      <c r="A13" s="129"/>
      <c r="B13" s="130">
        <f>DATE(2025,11,1)</f>
        <v>45962</v>
      </c>
      <c r="C13" s="203">
        <v>14072429</v>
      </c>
      <c r="D13" s="203">
        <v>2351476</v>
      </c>
      <c r="E13" s="203">
        <v>2262943</v>
      </c>
      <c r="F13" s="131">
        <f>(+D13-E13)/E13</f>
        <v>3.9122947418472317E-2</v>
      </c>
      <c r="G13" s="214">
        <f>D13/C13</f>
        <v>0.16709808946273597</v>
      </c>
      <c r="H13" s="122"/>
    </row>
    <row r="14" spans="1:8" ht="15.75" thickBot="1" x14ac:dyDescent="0.25">
      <c r="A14" s="132"/>
      <c r="B14" s="133"/>
      <c r="C14" s="203"/>
      <c r="D14" s="203"/>
      <c r="E14" s="203"/>
      <c r="F14" s="131"/>
      <c r="G14" s="214"/>
      <c r="H14" s="122"/>
    </row>
    <row r="15" spans="1:8" ht="17.25" thickTop="1" thickBot="1" x14ac:dyDescent="0.3">
      <c r="A15" s="134" t="s">
        <v>14</v>
      </c>
      <c r="B15" s="135"/>
      <c r="C15" s="200">
        <f>SUM(C9:C14)</f>
        <v>73679875</v>
      </c>
      <c r="D15" s="200">
        <f>SUM(D9:D14)</f>
        <v>12223560</v>
      </c>
      <c r="E15" s="200">
        <f>SUM(E9:E14)</f>
        <v>10522427.4</v>
      </c>
      <c r="F15" s="136">
        <f>(+D15-E15)/E15</f>
        <v>0.16166731642168419</v>
      </c>
      <c r="G15" s="211">
        <f>D15/C15</f>
        <v>0.16590093292096383</v>
      </c>
      <c r="H15" s="122"/>
    </row>
    <row r="16" spans="1:8" ht="15.75" customHeight="1" thickTop="1" x14ac:dyDescent="0.25">
      <c r="A16" s="137"/>
      <c r="B16" s="138"/>
      <c r="C16" s="204"/>
      <c r="D16" s="204"/>
      <c r="E16" s="204"/>
      <c r="F16" s="139"/>
      <c r="G16" s="215"/>
      <c r="H16" s="122"/>
    </row>
    <row r="17" spans="1:8" ht="15.75" x14ac:dyDescent="0.25">
      <c r="A17" s="19" t="s">
        <v>15</v>
      </c>
      <c r="B17" s="130">
        <f>DATE(2025,7,1)</f>
        <v>45839</v>
      </c>
      <c r="C17" s="203">
        <v>2659383</v>
      </c>
      <c r="D17" s="203">
        <v>660688.5</v>
      </c>
      <c r="E17" s="203">
        <v>481789</v>
      </c>
      <c r="F17" s="131">
        <f>(+D17-E17)/E17</f>
        <v>0.37132333863994404</v>
      </c>
      <c r="G17" s="214">
        <f>D17/C17</f>
        <v>0.24843676145933097</v>
      </c>
      <c r="H17" s="122"/>
    </row>
    <row r="18" spans="1:8" ht="15.75" x14ac:dyDescent="0.25">
      <c r="A18" s="19"/>
      <c r="B18" s="130">
        <f>DATE(2025,8,1)</f>
        <v>45870</v>
      </c>
      <c r="C18" s="203">
        <v>2981006</v>
      </c>
      <c r="D18" s="203">
        <v>701335</v>
      </c>
      <c r="E18" s="203">
        <v>713769.5</v>
      </c>
      <c r="F18" s="131">
        <f>(+D18-E18)/E18</f>
        <v>-1.7420890077258836E-2</v>
      </c>
      <c r="G18" s="214">
        <f>D18/C18</f>
        <v>0.23526789278518728</v>
      </c>
      <c r="H18" s="122"/>
    </row>
    <row r="19" spans="1:8" ht="15.75" x14ac:dyDescent="0.25">
      <c r="A19" s="19"/>
      <c r="B19" s="130">
        <f>DATE(2025,9,1)</f>
        <v>45901</v>
      </c>
      <c r="C19" s="203">
        <v>2576166</v>
      </c>
      <c r="D19" s="203">
        <v>579552.5</v>
      </c>
      <c r="E19" s="203">
        <v>548040</v>
      </c>
      <c r="F19" s="131">
        <f>(+D19-E19)/E19</f>
        <v>5.7500364936865923E-2</v>
      </c>
      <c r="G19" s="214">
        <f>D19/C19</f>
        <v>0.22496706345786724</v>
      </c>
      <c r="H19" s="122"/>
    </row>
    <row r="20" spans="1:8" ht="15.75" x14ac:dyDescent="0.25">
      <c r="A20" s="19"/>
      <c r="B20" s="130">
        <f>DATE(2025,10,1)</f>
        <v>45931</v>
      </c>
      <c r="C20" s="203">
        <v>2742922</v>
      </c>
      <c r="D20" s="203">
        <v>741986.5</v>
      </c>
      <c r="E20" s="203">
        <v>525427.5</v>
      </c>
      <c r="F20" s="131">
        <f>(+D20-E20)/E20</f>
        <v>0.41215771919056388</v>
      </c>
      <c r="G20" s="214">
        <f>D20/C20</f>
        <v>0.27050951503542575</v>
      </c>
      <c r="H20" s="122"/>
    </row>
    <row r="21" spans="1:8" ht="15.75" x14ac:dyDescent="0.25">
      <c r="A21" s="19"/>
      <c r="B21" s="130">
        <f>DATE(2025,11,1)</f>
        <v>45962</v>
      </c>
      <c r="C21" s="203">
        <v>2884858</v>
      </c>
      <c r="D21" s="203">
        <v>790617.85</v>
      </c>
      <c r="E21" s="203">
        <v>841667.5</v>
      </c>
      <c r="F21" s="131">
        <f>(+D21-E21)/E21</f>
        <v>-6.065298945248572E-2</v>
      </c>
      <c r="G21" s="214">
        <f>D21/C21</f>
        <v>0.27405780457824958</v>
      </c>
      <c r="H21" s="122"/>
    </row>
    <row r="22" spans="1:8" ht="15.75" thickBot="1" x14ac:dyDescent="0.25">
      <c r="A22" s="132"/>
      <c r="B22" s="130"/>
      <c r="C22" s="203"/>
      <c r="D22" s="203"/>
      <c r="E22" s="203"/>
      <c r="F22" s="131"/>
      <c r="G22" s="214"/>
      <c r="H22" s="122"/>
    </row>
    <row r="23" spans="1:8" ht="17.25" thickTop="1" thickBot="1" x14ac:dyDescent="0.3">
      <c r="A23" s="134" t="s">
        <v>14</v>
      </c>
      <c r="B23" s="135"/>
      <c r="C23" s="200">
        <f>SUM(C17:C22)</f>
        <v>13844335</v>
      </c>
      <c r="D23" s="200">
        <f>SUM(D17:D22)</f>
        <v>3474180.35</v>
      </c>
      <c r="E23" s="200">
        <f>SUM(E17:E22)</f>
        <v>3110693.5</v>
      </c>
      <c r="F23" s="136">
        <f>(+D23-E23)/E23</f>
        <v>0.11685074405434033</v>
      </c>
      <c r="G23" s="211">
        <f>D23/C23</f>
        <v>0.25094598982182964</v>
      </c>
      <c r="H23" s="122"/>
    </row>
    <row r="24" spans="1:8" ht="15.75" customHeight="1" thickTop="1" x14ac:dyDescent="0.25">
      <c r="A24" s="254"/>
      <c r="B24" s="138"/>
      <c r="C24" s="204"/>
      <c r="D24" s="204"/>
      <c r="E24" s="204"/>
      <c r="F24" s="139"/>
      <c r="G24" s="218"/>
      <c r="H24" s="122"/>
    </row>
    <row r="25" spans="1:8" ht="15.75" x14ac:dyDescent="0.25">
      <c r="A25" s="19" t="s">
        <v>62</v>
      </c>
      <c r="B25" s="130">
        <f>DATE(2025,7,1)</f>
        <v>45839</v>
      </c>
      <c r="C25" s="203">
        <v>1369130</v>
      </c>
      <c r="D25" s="203">
        <v>348272</v>
      </c>
      <c r="E25" s="203">
        <v>281475</v>
      </c>
      <c r="F25" s="131">
        <f>(+D25-E25)/E25</f>
        <v>0.23731059596767032</v>
      </c>
      <c r="G25" s="214">
        <f>D25/C25</f>
        <v>0.25437467588906826</v>
      </c>
      <c r="H25" s="122"/>
    </row>
    <row r="26" spans="1:8" ht="15.75" x14ac:dyDescent="0.25">
      <c r="A26" s="19"/>
      <c r="B26" s="130">
        <f>DATE(2025,8,1)</f>
        <v>45870</v>
      </c>
      <c r="C26" s="203">
        <v>1473657</v>
      </c>
      <c r="D26" s="203">
        <v>338220.5</v>
      </c>
      <c r="E26" s="203">
        <v>304278.5</v>
      </c>
      <c r="F26" s="131">
        <f>(+D26-E26)/E26</f>
        <v>0.11154912358250747</v>
      </c>
      <c r="G26" s="214">
        <f>D26/C26</f>
        <v>0.2295110056139251</v>
      </c>
      <c r="H26" s="122"/>
    </row>
    <row r="27" spans="1:8" ht="15.75" x14ac:dyDescent="0.25">
      <c r="A27" s="19"/>
      <c r="B27" s="130">
        <f>DATE(2025,9,1)</f>
        <v>45901</v>
      </c>
      <c r="C27" s="203">
        <v>1169185</v>
      </c>
      <c r="D27" s="203">
        <v>224864</v>
      </c>
      <c r="E27" s="203">
        <v>260316</v>
      </c>
      <c r="F27" s="131">
        <f>(+D27-E27)/E27</f>
        <v>-0.1361883249588961</v>
      </c>
      <c r="G27" s="214">
        <f>D27/C27</f>
        <v>0.19232542326492386</v>
      </c>
      <c r="H27" s="122"/>
    </row>
    <row r="28" spans="1:8" ht="15.75" x14ac:dyDescent="0.25">
      <c r="A28" s="19"/>
      <c r="B28" s="130">
        <f>DATE(2025,10,1)</f>
        <v>45931</v>
      </c>
      <c r="C28" s="203">
        <v>1255924</v>
      </c>
      <c r="D28" s="203">
        <v>281184</v>
      </c>
      <c r="E28" s="203">
        <v>198689</v>
      </c>
      <c r="F28" s="131">
        <f>(+D28-E28)/E28</f>
        <v>0.41519661380348183</v>
      </c>
      <c r="G28" s="214">
        <f>D28/C28</f>
        <v>0.22388615871661025</v>
      </c>
      <c r="H28" s="122"/>
    </row>
    <row r="29" spans="1:8" ht="15.75" x14ac:dyDescent="0.25">
      <c r="A29" s="19"/>
      <c r="B29" s="130">
        <f>DATE(2025,11,1)</f>
        <v>45962</v>
      </c>
      <c r="C29" s="203">
        <v>1219942</v>
      </c>
      <c r="D29" s="203">
        <v>312142.5</v>
      </c>
      <c r="E29" s="203">
        <v>414768.5</v>
      </c>
      <c r="F29" s="131">
        <f>(+D29-E29)/E29</f>
        <v>-0.24742959024130329</v>
      </c>
      <c r="G29" s="214">
        <f>D29/C29</f>
        <v>0.25586667234999699</v>
      </c>
      <c r="H29" s="122"/>
    </row>
    <row r="30" spans="1:8" ht="15.75" thickBot="1" x14ac:dyDescent="0.25">
      <c r="A30" s="132"/>
      <c r="B30" s="130"/>
      <c r="C30" s="203"/>
      <c r="D30" s="203"/>
      <c r="E30" s="203"/>
      <c r="F30" s="131"/>
      <c r="G30" s="214"/>
      <c r="H30" s="122"/>
    </row>
    <row r="31" spans="1:8" ht="17.25" thickTop="1" thickBot="1" x14ac:dyDescent="0.3">
      <c r="A31" s="140" t="s">
        <v>14</v>
      </c>
      <c r="B31" s="141"/>
      <c r="C31" s="205">
        <f>SUM(C25:C30)</f>
        <v>6487838</v>
      </c>
      <c r="D31" s="205">
        <f>SUM(D25:D30)</f>
        <v>1504683</v>
      </c>
      <c r="E31" s="205">
        <f>SUM(E25:E30)</f>
        <v>1459527</v>
      </c>
      <c r="F31" s="142">
        <f>(+D31-E31)/E31</f>
        <v>3.0938790443753354E-2</v>
      </c>
      <c r="G31" s="216">
        <f>D31/C31</f>
        <v>0.23192363927705964</v>
      </c>
      <c r="H31" s="122"/>
    </row>
    <row r="32" spans="1:8" ht="15.75" thickTop="1" x14ac:dyDescent="0.2">
      <c r="A32" s="132"/>
      <c r="B32" s="133"/>
      <c r="C32" s="203"/>
      <c r="D32" s="203"/>
      <c r="E32" s="203"/>
      <c r="F32" s="131"/>
      <c r="G32" s="217"/>
      <c r="H32" s="122"/>
    </row>
    <row r="33" spans="1:8" ht="15.75" x14ac:dyDescent="0.25">
      <c r="A33" s="176" t="s">
        <v>58</v>
      </c>
      <c r="B33" s="130">
        <f>DATE(2025,7,1)</f>
        <v>45839</v>
      </c>
      <c r="C33" s="203">
        <v>16216115</v>
      </c>
      <c r="D33" s="203">
        <v>2993259</v>
      </c>
      <c r="E33" s="203">
        <v>2924457.34</v>
      </c>
      <c r="F33" s="131">
        <f>(+D33-E33)/E33</f>
        <v>2.3526299754470056E-2</v>
      </c>
      <c r="G33" s="214">
        <f>D33/C33</f>
        <v>0.18458545712089486</v>
      </c>
      <c r="H33" s="122"/>
    </row>
    <row r="34" spans="1:8" ht="15.75" x14ac:dyDescent="0.25">
      <c r="A34" s="176"/>
      <c r="B34" s="130">
        <f>DATE(2025,8,1)</f>
        <v>45870</v>
      </c>
      <c r="C34" s="203">
        <v>18602092</v>
      </c>
      <c r="D34" s="203">
        <v>4103671.65</v>
      </c>
      <c r="E34" s="203">
        <v>4174786.65</v>
      </c>
      <c r="F34" s="131">
        <f>(+D34-E34)/E34</f>
        <v>-1.7034403422747365E-2</v>
      </c>
      <c r="G34" s="214">
        <f>D34/C34</f>
        <v>0.2206026961913746</v>
      </c>
      <c r="H34" s="122"/>
    </row>
    <row r="35" spans="1:8" ht="15.75" x14ac:dyDescent="0.25">
      <c r="A35" s="176"/>
      <c r="B35" s="130">
        <f>DATE(2025,9,1)</f>
        <v>45901</v>
      </c>
      <c r="C35" s="203">
        <v>14563965</v>
      </c>
      <c r="D35" s="203">
        <v>3602227.39</v>
      </c>
      <c r="E35" s="203">
        <v>3153365.16</v>
      </c>
      <c r="F35" s="131">
        <f>(+D35-E35)/E35</f>
        <v>0.14234387938756829</v>
      </c>
      <c r="G35" s="214">
        <f>D35/C35</f>
        <v>0.24733837179641671</v>
      </c>
      <c r="H35" s="122"/>
    </row>
    <row r="36" spans="1:8" ht="15.75" x14ac:dyDescent="0.25">
      <c r="A36" s="176"/>
      <c r="B36" s="130">
        <f>DATE(2025,10,1)</f>
        <v>45931</v>
      </c>
      <c r="C36" s="203">
        <v>16207851</v>
      </c>
      <c r="D36" s="203">
        <v>3268929.1</v>
      </c>
      <c r="E36" s="203">
        <v>3337567.1</v>
      </c>
      <c r="F36" s="131">
        <f>(+D36-E36)/E36</f>
        <v>-2.056527942164818E-2</v>
      </c>
      <c r="G36" s="214">
        <f>D36/C36</f>
        <v>0.20168800293141886</v>
      </c>
      <c r="H36" s="122"/>
    </row>
    <row r="37" spans="1:8" ht="15.75" x14ac:dyDescent="0.25">
      <c r="A37" s="176"/>
      <c r="B37" s="130">
        <f>DATE(2025,11,1)</f>
        <v>45962</v>
      </c>
      <c r="C37" s="203">
        <v>15972168</v>
      </c>
      <c r="D37" s="203">
        <v>3050821.8</v>
      </c>
      <c r="E37" s="203">
        <v>2609189.4300000002</v>
      </c>
      <c r="F37" s="131">
        <f>(+D37-E37)/E37</f>
        <v>0.16926037064315397</v>
      </c>
      <c r="G37" s="214">
        <f>D37/C37</f>
        <v>0.19100862199796545</v>
      </c>
      <c r="H37" s="122"/>
    </row>
    <row r="38" spans="1:8" ht="15.75" customHeight="1" thickBot="1" x14ac:dyDescent="0.25">
      <c r="A38" s="132"/>
      <c r="B38" s="133"/>
      <c r="C38" s="203"/>
      <c r="D38" s="203"/>
      <c r="E38" s="203"/>
      <c r="F38" s="131"/>
      <c r="G38" s="214"/>
      <c r="H38" s="122"/>
    </row>
    <row r="39" spans="1:8" ht="17.25" customHeight="1" thickTop="1" thickBot="1" x14ac:dyDescent="0.3">
      <c r="A39" s="140" t="s">
        <v>14</v>
      </c>
      <c r="B39" s="141"/>
      <c r="C39" s="205">
        <f>SUM(C33:C38)</f>
        <v>81562191</v>
      </c>
      <c r="D39" s="205">
        <f>SUM(D33:D38)</f>
        <v>17018908.940000001</v>
      </c>
      <c r="E39" s="205">
        <f>SUM(E33:E38)</f>
        <v>16199365.68</v>
      </c>
      <c r="F39" s="142">
        <f>(+D39-E39)/E39</f>
        <v>5.0591071044949809E-2</v>
      </c>
      <c r="G39" s="216">
        <f>D39/C39</f>
        <v>0.20866174303728552</v>
      </c>
      <c r="H39" s="122"/>
    </row>
    <row r="40" spans="1:8" ht="15.75" customHeight="1" thickTop="1" x14ac:dyDescent="0.2">
      <c r="A40" s="132"/>
      <c r="B40" s="133"/>
      <c r="C40" s="203"/>
      <c r="D40" s="203"/>
      <c r="E40" s="203"/>
      <c r="F40" s="131"/>
      <c r="G40" s="217"/>
      <c r="H40" s="122"/>
    </row>
    <row r="41" spans="1:8" ht="15" customHeight="1" x14ac:dyDescent="0.25">
      <c r="A41" s="129" t="s">
        <v>60</v>
      </c>
      <c r="B41" s="130">
        <f>DATE(2025,7,1)</f>
        <v>45839</v>
      </c>
      <c r="C41" s="203">
        <v>14883360</v>
      </c>
      <c r="D41" s="203">
        <v>3222320.5</v>
      </c>
      <c r="E41" s="203">
        <v>2983132</v>
      </c>
      <c r="F41" s="131">
        <f>(+D41-E41)/E41</f>
        <v>8.0180327253369946E-2</v>
      </c>
      <c r="G41" s="214">
        <f>D41/C41</f>
        <v>0.21650490883778931</v>
      </c>
      <c r="H41" s="122"/>
    </row>
    <row r="42" spans="1:8" ht="15" customHeight="1" x14ac:dyDescent="0.25">
      <c r="A42" s="129"/>
      <c r="B42" s="130">
        <f>DATE(2025,8,1)</f>
        <v>45870</v>
      </c>
      <c r="C42" s="203">
        <v>16264831</v>
      </c>
      <c r="D42" s="203">
        <v>3938155</v>
      </c>
      <c r="E42" s="203">
        <v>3594985</v>
      </c>
      <c r="F42" s="131">
        <f>(+D42-E42)/E42</f>
        <v>9.5457978266946866E-2</v>
      </c>
      <c r="G42" s="214">
        <f>D42/C42</f>
        <v>0.2421270162598062</v>
      </c>
      <c r="H42" s="122"/>
    </row>
    <row r="43" spans="1:8" ht="15" customHeight="1" x14ac:dyDescent="0.25">
      <c r="A43" s="129"/>
      <c r="B43" s="130">
        <f>DATE(2025,9,1)</f>
        <v>45901</v>
      </c>
      <c r="C43" s="203">
        <v>14529351</v>
      </c>
      <c r="D43" s="203">
        <v>4156517.5</v>
      </c>
      <c r="E43" s="203">
        <v>3439229.31</v>
      </c>
      <c r="F43" s="131">
        <f>(+D43-E43)/E43</f>
        <v>0.20856073420704824</v>
      </c>
      <c r="G43" s="214">
        <f>D43/C43</f>
        <v>0.28607729966741113</v>
      </c>
      <c r="H43" s="122"/>
    </row>
    <row r="44" spans="1:8" ht="15" customHeight="1" x14ac:dyDescent="0.25">
      <c r="A44" s="129"/>
      <c r="B44" s="130">
        <f>DATE(2025,10,1)</f>
        <v>45931</v>
      </c>
      <c r="C44" s="203">
        <v>16497311</v>
      </c>
      <c r="D44" s="203">
        <v>2284188.5</v>
      </c>
      <c r="E44" s="203">
        <v>3362463</v>
      </c>
      <c r="F44" s="131">
        <f>(+D44-E44)/E44</f>
        <v>-0.3206799598984435</v>
      </c>
      <c r="G44" s="214">
        <f>D44/C44</f>
        <v>0.13845823116264219</v>
      </c>
      <c r="H44" s="122"/>
    </row>
    <row r="45" spans="1:8" ht="15" customHeight="1" x14ac:dyDescent="0.25">
      <c r="A45" s="129"/>
      <c r="B45" s="130">
        <f>DATE(2025,11,1)</f>
        <v>45962</v>
      </c>
      <c r="C45" s="203">
        <v>16036910</v>
      </c>
      <c r="D45" s="203">
        <v>2799237</v>
      </c>
      <c r="E45" s="203">
        <v>3369905</v>
      </c>
      <c r="F45" s="131">
        <f>(+D45-E45)/E45</f>
        <v>-0.16934245920879076</v>
      </c>
      <c r="G45" s="214">
        <f>D45/C45</f>
        <v>0.17454964828012379</v>
      </c>
      <c r="H45" s="122"/>
    </row>
    <row r="46" spans="1:8" ht="15.75" thickBot="1" x14ac:dyDescent="0.25">
      <c r="A46" s="132"/>
      <c r="B46" s="130"/>
      <c r="C46" s="203"/>
      <c r="D46" s="203"/>
      <c r="E46" s="203"/>
      <c r="F46" s="131"/>
      <c r="G46" s="214"/>
      <c r="H46" s="122"/>
    </row>
    <row r="47" spans="1:8" ht="17.25" customHeight="1" thickTop="1" thickBot="1" x14ac:dyDescent="0.3">
      <c r="A47" s="140" t="s">
        <v>14</v>
      </c>
      <c r="B47" s="141"/>
      <c r="C47" s="206">
        <f>SUM(C41:C46)</f>
        <v>78211763</v>
      </c>
      <c r="D47" s="260">
        <f>SUM(D41:D46)</f>
        <v>16400418.5</v>
      </c>
      <c r="E47" s="205">
        <f>SUM(E41:E46)</f>
        <v>16749714.310000001</v>
      </c>
      <c r="F47" s="267">
        <f>(+D47-E47)/E47</f>
        <v>-2.0853836879561709E-2</v>
      </c>
      <c r="G47" s="266">
        <f>D47/C47</f>
        <v>0.20969247937807003</v>
      </c>
      <c r="H47" s="122"/>
    </row>
    <row r="48" spans="1:8" ht="15.75" customHeight="1" thickTop="1" x14ac:dyDescent="0.25">
      <c r="A48" s="129"/>
      <c r="B48" s="133"/>
      <c r="C48" s="203"/>
      <c r="D48" s="203"/>
      <c r="E48" s="203"/>
      <c r="F48" s="131"/>
      <c r="G48" s="217"/>
      <c r="H48" s="122"/>
    </row>
    <row r="49" spans="1:8" ht="15.75" x14ac:dyDescent="0.25">
      <c r="A49" s="129" t="s">
        <v>64</v>
      </c>
      <c r="B49" s="130">
        <f>DATE(2025,7,1)</f>
        <v>45839</v>
      </c>
      <c r="C49" s="203">
        <v>3331757</v>
      </c>
      <c r="D49" s="203">
        <v>734009.5</v>
      </c>
      <c r="E49" s="203">
        <v>749499</v>
      </c>
      <c r="F49" s="131">
        <f>(+D49-E49)/E49</f>
        <v>-2.0666471869875743E-2</v>
      </c>
      <c r="G49" s="214">
        <f>D49/C49</f>
        <v>0.2203070331959984</v>
      </c>
      <c r="H49" s="122"/>
    </row>
    <row r="50" spans="1:8" ht="15.75" x14ac:dyDescent="0.25">
      <c r="A50" s="129"/>
      <c r="B50" s="130">
        <f>DATE(2025,8,1)</f>
        <v>45870</v>
      </c>
      <c r="C50" s="203">
        <v>3602540</v>
      </c>
      <c r="D50" s="203">
        <v>626879.5</v>
      </c>
      <c r="E50" s="203">
        <v>714655.5</v>
      </c>
      <c r="F50" s="131">
        <f>(+D50-E50)/E50</f>
        <v>-0.12282281462886664</v>
      </c>
      <c r="G50" s="214">
        <f>D50/C50</f>
        <v>0.17401042042558862</v>
      </c>
      <c r="H50" s="122"/>
    </row>
    <row r="51" spans="1:8" ht="15.75" x14ac:dyDescent="0.25">
      <c r="A51" s="129"/>
      <c r="B51" s="130">
        <f>DATE(2025,9,1)</f>
        <v>45901</v>
      </c>
      <c r="C51" s="203">
        <v>3228814</v>
      </c>
      <c r="D51" s="203">
        <v>822920.5</v>
      </c>
      <c r="E51" s="203">
        <v>930975</v>
      </c>
      <c r="F51" s="131">
        <f>(+D51-E51)/E51</f>
        <v>-0.11606595236177127</v>
      </c>
      <c r="G51" s="214">
        <f>D51/C51</f>
        <v>0.25486773161910226</v>
      </c>
      <c r="H51" s="122"/>
    </row>
    <row r="52" spans="1:8" ht="15.75" x14ac:dyDescent="0.25">
      <c r="A52" s="129"/>
      <c r="B52" s="130">
        <f>DATE(2025,10,1)</f>
        <v>45931</v>
      </c>
      <c r="C52" s="203">
        <v>2806028</v>
      </c>
      <c r="D52" s="203">
        <v>608944.5</v>
      </c>
      <c r="E52" s="203">
        <v>723018.5</v>
      </c>
      <c r="F52" s="131">
        <f>(+D52-E52)/E52</f>
        <v>-0.1577746627506765</v>
      </c>
      <c r="G52" s="214">
        <f>D52/C52</f>
        <v>0.21701298062599517</v>
      </c>
      <c r="H52" s="122"/>
    </row>
    <row r="53" spans="1:8" ht="15.75" x14ac:dyDescent="0.25">
      <c r="A53" s="129"/>
      <c r="B53" s="130">
        <f>DATE(2025,11,1)</f>
        <v>45962</v>
      </c>
      <c r="C53" s="203">
        <v>3088319</v>
      </c>
      <c r="D53" s="203">
        <v>710777</v>
      </c>
      <c r="E53" s="203">
        <v>655674</v>
      </c>
      <c r="F53" s="131">
        <f>(+D53-E53)/E53</f>
        <v>8.4040239509268325E-2</v>
      </c>
      <c r="G53" s="214">
        <f>D53/C53</f>
        <v>0.23015012374045557</v>
      </c>
      <c r="H53" s="122"/>
    </row>
    <row r="54" spans="1:8" ht="15.75" customHeight="1" thickBot="1" x14ac:dyDescent="0.3">
      <c r="A54" s="129"/>
      <c r="B54" s="130"/>
      <c r="C54" s="203"/>
      <c r="D54" s="203"/>
      <c r="E54" s="203"/>
      <c r="F54" s="131"/>
      <c r="G54" s="214"/>
      <c r="H54" s="122"/>
    </row>
    <row r="55" spans="1:8" ht="17.25" thickTop="1" thickBot="1" x14ac:dyDescent="0.3">
      <c r="A55" s="140" t="s">
        <v>14</v>
      </c>
      <c r="B55" s="141"/>
      <c r="C55" s="206">
        <f>SUM(C49:C54)</f>
        <v>16057458</v>
      </c>
      <c r="D55" s="260">
        <f>SUM(D49:D54)</f>
        <v>3503531</v>
      </c>
      <c r="E55" s="206">
        <f>SUM(E49:E54)</f>
        <v>3773822</v>
      </c>
      <c r="F55" s="267">
        <f>(+D55-E55)/E55</f>
        <v>-7.1622614951102628E-2</v>
      </c>
      <c r="G55" s="266">
        <f>D55/C55</f>
        <v>0.21818715017034451</v>
      </c>
      <c r="H55" s="122"/>
    </row>
    <row r="56" spans="1:8" ht="15.75" customHeight="1" thickTop="1" x14ac:dyDescent="0.25">
      <c r="A56" s="129"/>
      <c r="B56" s="133"/>
      <c r="C56" s="203"/>
      <c r="D56" s="203"/>
      <c r="E56" s="203"/>
      <c r="F56" s="131"/>
      <c r="G56" s="217"/>
      <c r="H56" s="122"/>
    </row>
    <row r="57" spans="1:8" ht="15.75" x14ac:dyDescent="0.25">
      <c r="A57" s="129" t="s">
        <v>67</v>
      </c>
      <c r="B57" s="130">
        <f>DATE(2025,7,1)</f>
        <v>45839</v>
      </c>
      <c r="C57" s="203">
        <v>3744976</v>
      </c>
      <c r="D57" s="203">
        <v>651025.5</v>
      </c>
      <c r="E57" s="203">
        <v>1112358.5</v>
      </c>
      <c r="F57" s="131">
        <f>(+D57-E57)/E57</f>
        <v>-0.41473409876402256</v>
      </c>
      <c r="G57" s="214">
        <f>D57/C57</f>
        <v>0.17383969883919148</v>
      </c>
      <c r="H57" s="122"/>
    </row>
    <row r="58" spans="1:8" ht="15.75" x14ac:dyDescent="0.25">
      <c r="A58" s="129"/>
      <c r="B58" s="130">
        <f>DATE(2025,8,1)</f>
        <v>45870</v>
      </c>
      <c r="C58" s="203">
        <v>4062461</v>
      </c>
      <c r="D58" s="203">
        <v>722686</v>
      </c>
      <c r="E58" s="203">
        <v>743956</v>
      </c>
      <c r="F58" s="131">
        <f>(+D58-E58)/E58</f>
        <v>-2.8590400507556898E-2</v>
      </c>
      <c r="G58" s="214">
        <f>D58/C58</f>
        <v>0.17789364624054238</v>
      </c>
      <c r="H58" s="122"/>
    </row>
    <row r="59" spans="1:8" ht="15.75" x14ac:dyDescent="0.25">
      <c r="A59" s="129"/>
      <c r="B59" s="130">
        <f>DATE(2025,9,1)</f>
        <v>45901</v>
      </c>
      <c r="C59" s="203">
        <v>3460423</v>
      </c>
      <c r="D59" s="203">
        <v>651690.5</v>
      </c>
      <c r="E59" s="203">
        <v>865028.5</v>
      </c>
      <c r="F59" s="131">
        <f>(+D59-E59)/E59</f>
        <v>-0.24662540020357709</v>
      </c>
      <c r="G59" s="214">
        <f>D59/C59</f>
        <v>0.18832683171970593</v>
      </c>
      <c r="H59" s="122"/>
    </row>
    <row r="60" spans="1:8" ht="15.75" x14ac:dyDescent="0.25">
      <c r="A60" s="129"/>
      <c r="B60" s="130">
        <f>DATE(2025,10,1)</f>
        <v>45931</v>
      </c>
      <c r="C60" s="203">
        <v>3680288</v>
      </c>
      <c r="D60" s="203">
        <v>602434</v>
      </c>
      <c r="E60" s="203">
        <v>1107084</v>
      </c>
      <c r="F60" s="131">
        <f>(+D60-E60)/E60</f>
        <v>-0.45583713611613935</v>
      </c>
      <c r="G60" s="214">
        <f>D60/C60</f>
        <v>0.16369208061977758</v>
      </c>
      <c r="H60" s="122"/>
    </row>
    <row r="61" spans="1:8" ht="15.75" x14ac:dyDescent="0.25">
      <c r="A61" s="129"/>
      <c r="B61" s="130">
        <f>DATE(2025,11,1)</f>
        <v>45962</v>
      </c>
      <c r="C61" s="203">
        <v>3491764</v>
      </c>
      <c r="D61" s="203">
        <v>509595</v>
      </c>
      <c r="E61" s="203">
        <v>422535.5</v>
      </c>
      <c r="F61" s="131">
        <f>(+D61-E61)/E61</f>
        <v>0.20604067587220481</v>
      </c>
      <c r="G61" s="214">
        <f>D61/C61</f>
        <v>0.14594199378881276</v>
      </c>
      <c r="H61" s="122"/>
    </row>
    <row r="62" spans="1:8" ht="15.75" customHeight="1" thickBot="1" x14ac:dyDescent="0.3">
      <c r="A62" s="129"/>
      <c r="B62" s="130"/>
      <c r="C62" s="203"/>
      <c r="D62" s="203"/>
      <c r="E62" s="203"/>
      <c r="F62" s="131"/>
      <c r="G62" s="214"/>
      <c r="H62" s="122"/>
    </row>
    <row r="63" spans="1:8" ht="17.25" thickTop="1" thickBot="1" x14ac:dyDescent="0.3">
      <c r="A63" s="140" t="s">
        <v>14</v>
      </c>
      <c r="B63" s="141"/>
      <c r="C63" s="206">
        <f>SUM(C57:C62)</f>
        <v>18439912</v>
      </c>
      <c r="D63" s="260">
        <f>SUM(D57:D62)</f>
        <v>3137431</v>
      </c>
      <c r="E63" s="206">
        <f>SUM(E57:E62)</f>
        <v>4250962.5</v>
      </c>
      <c r="F63" s="268">
        <f>(+D63-E63)/E63</f>
        <v>-0.26194808822707799</v>
      </c>
      <c r="G63" s="266">
        <f>D63/C63</f>
        <v>0.17014349092338402</v>
      </c>
      <c r="H63" s="122"/>
    </row>
    <row r="64" spans="1:8" ht="15.75" customHeight="1" thickTop="1" x14ac:dyDescent="0.25">
      <c r="A64" s="129"/>
      <c r="B64" s="138"/>
      <c r="C64" s="204"/>
      <c r="D64" s="204"/>
      <c r="E64" s="204"/>
      <c r="F64" s="139"/>
      <c r="G64" s="215"/>
      <c r="H64" s="122"/>
    </row>
    <row r="65" spans="1:8" ht="15.75" x14ac:dyDescent="0.25">
      <c r="A65" s="129" t="s">
        <v>69</v>
      </c>
      <c r="B65" s="130">
        <f>DATE(2025,7,1)</f>
        <v>45839</v>
      </c>
      <c r="C65" s="203">
        <v>7856217</v>
      </c>
      <c r="D65" s="203">
        <v>1689752.84</v>
      </c>
      <c r="E65" s="203">
        <v>1491620.4</v>
      </c>
      <c r="F65" s="131">
        <f>(+D65-E65)/E65</f>
        <v>0.13283033672642194</v>
      </c>
      <c r="G65" s="214">
        <f>D65/C65</f>
        <v>0.21508479717400883</v>
      </c>
      <c r="H65" s="122"/>
    </row>
    <row r="66" spans="1:8" ht="15.75" x14ac:dyDescent="0.25">
      <c r="A66" s="129"/>
      <c r="B66" s="130">
        <f>DATE(2025,8,1)</f>
        <v>45870</v>
      </c>
      <c r="C66" s="203">
        <v>8255461</v>
      </c>
      <c r="D66" s="203">
        <v>2210201.46</v>
      </c>
      <c r="E66" s="203">
        <v>1342748.66</v>
      </c>
      <c r="F66" s="131">
        <f>(+D66-E66)/E66</f>
        <v>0.6460276787764585</v>
      </c>
      <c r="G66" s="214">
        <f>D66/C66</f>
        <v>0.26772598889389704</v>
      </c>
      <c r="H66" s="122"/>
    </row>
    <row r="67" spans="1:8" ht="15.75" x14ac:dyDescent="0.25">
      <c r="A67" s="129"/>
      <c r="B67" s="130">
        <f>DATE(2025,9,1)</f>
        <v>45901</v>
      </c>
      <c r="C67" s="203">
        <v>7703181.5</v>
      </c>
      <c r="D67" s="203">
        <v>1784251.36</v>
      </c>
      <c r="E67" s="203">
        <v>1469217.16</v>
      </c>
      <c r="F67" s="131">
        <f>(+D67-E67)/E67</f>
        <v>0.21442316941084474</v>
      </c>
      <c r="G67" s="214">
        <f>D67/C67</f>
        <v>0.23162525250119059</v>
      </c>
      <c r="H67" s="122"/>
    </row>
    <row r="68" spans="1:8" ht="15.75" x14ac:dyDescent="0.25">
      <c r="A68" s="129"/>
      <c r="B68" s="130">
        <f>DATE(2025,10,1)</f>
        <v>45931</v>
      </c>
      <c r="C68" s="203">
        <v>7807917</v>
      </c>
      <c r="D68" s="203">
        <v>1573225</v>
      </c>
      <c r="E68" s="203">
        <v>1142918.93</v>
      </c>
      <c r="F68" s="131">
        <f>(+D68-E68)/E68</f>
        <v>0.37649745638564242</v>
      </c>
      <c r="G68" s="214">
        <f>D68/C68</f>
        <v>0.20149099945606491</v>
      </c>
      <c r="H68" s="122"/>
    </row>
    <row r="69" spans="1:8" ht="15.75" x14ac:dyDescent="0.25">
      <c r="A69" s="129"/>
      <c r="B69" s="130">
        <f>DATE(2025,11,1)</f>
        <v>45962</v>
      </c>
      <c r="C69" s="203">
        <v>8357680</v>
      </c>
      <c r="D69" s="203">
        <v>1842690.87</v>
      </c>
      <c r="E69" s="203">
        <v>1529575.8</v>
      </c>
      <c r="F69" s="131">
        <f>(+D69-E69)/E69</f>
        <v>0.2047071286038914</v>
      </c>
      <c r="G69" s="214">
        <f>D69/C69</f>
        <v>0.22047875367326819</v>
      </c>
      <c r="H69" s="122"/>
    </row>
    <row r="70" spans="1:8" ht="15.75" customHeight="1" thickBot="1" x14ac:dyDescent="0.3">
      <c r="A70" s="129"/>
      <c r="B70" s="130"/>
      <c r="C70" s="203"/>
      <c r="D70" s="203"/>
      <c r="E70" s="203"/>
      <c r="F70" s="131"/>
      <c r="G70" s="214"/>
      <c r="H70" s="122"/>
    </row>
    <row r="71" spans="1:8" ht="17.25" thickTop="1" thickBot="1" x14ac:dyDescent="0.3">
      <c r="A71" s="140" t="s">
        <v>14</v>
      </c>
      <c r="B71" s="141"/>
      <c r="C71" s="205">
        <f>SUM(C65:C70)</f>
        <v>39980456.5</v>
      </c>
      <c r="D71" s="205">
        <f>SUM(D65:D70)</f>
        <v>9100121.5300000012</v>
      </c>
      <c r="E71" s="205">
        <f>SUM(E65:E70)</f>
        <v>6976080.9499999993</v>
      </c>
      <c r="F71" s="142">
        <f>(+D71-E71)/E71</f>
        <v>0.3044747610046013</v>
      </c>
      <c r="G71" s="216">
        <f>D71/C71</f>
        <v>0.22761424772626099</v>
      </c>
      <c r="H71" s="122"/>
    </row>
    <row r="72" spans="1:8" ht="15.75" customHeight="1" thickTop="1" x14ac:dyDescent="0.25">
      <c r="A72" s="137"/>
      <c r="B72" s="138"/>
      <c r="C72" s="204"/>
      <c r="D72" s="204"/>
      <c r="E72" s="204"/>
      <c r="F72" s="139"/>
      <c r="G72" s="215"/>
      <c r="H72" s="122"/>
    </row>
    <row r="73" spans="1:8" ht="15.75" x14ac:dyDescent="0.25">
      <c r="A73" s="129" t="s">
        <v>16</v>
      </c>
      <c r="B73" s="130">
        <f>DATE(2025,7,1)</f>
        <v>45839</v>
      </c>
      <c r="C73" s="203">
        <v>9457573</v>
      </c>
      <c r="D73" s="203">
        <v>2213338.5</v>
      </c>
      <c r="E73" s="203">
        <v>2089350</v>
      </c>
      <c r="F73" s="131">
        <f>(+D73-E73)/E73</f>
        <v>5.9343097135472755E-2</v>
      </c>
      <c r="G73" s="214">
        <f>D73/C73</f>
        <v>0.23402816980635519</v>
      </c>
      <c r="H73" s="122"/>
    </row>
    <row r="74" spans="1:8" ht="15.75" x14ac:dyDescent="0.25">
      <c r="A74" s="129"/>
      <c r="B74" s="130">
        <f>DATE(2025,8,1)</f>
        <v>45870</v>
      </c>
      <c r="C74" s="203">
        <v>9990142</v>
      </c>
      <c r="D74" s="203">
        <v>1935718.5</v>
      </c>
      <c r="E74" s="203">
        <v>2032596</v>
      </c>
      <c r="F74" s="131">
        <f>(+D74-E74)/E74</f>
        <v>-4.7661955450074685E-2</v>
      </c>
      <c r="G74" s="214">
        <f>D74/C74</f>
        <v>0.19376286142879651</v>
      </c>
      <c r="H74" s="122"/>
    </row>
    <row r="75" spans="1:8" ht="15.75" x14ac:dyDescent="0.25">
      <c r="A75" s="129"/>
      <c r="B75" s="130">
        <f>DATE(2025,9,1)</f>
        <v>45901</v>
      </c>
      <c r="C75" s="203">
        <v>9229587</v>
      </c>
      <c r="D75" s="203">
        <v>1857060</v>
      </c>
      <c r="E75" s="203">
        <v>2006849.5</v>
      </c>
      <c r="F75" s="131">
        <f>(+D75-E75)/E75</f>
        <v>-7.4639129640762802E-2</v>
      </c>
      <c r="G75" s="214">
        <f>D75/C75</f>
        <v>0.20120726962105673</v>
      </c>
      <c r="H75" s="122"/>
    </row>
    <row r="76" spans="1:8" ht="15.75" x14ac:dyDescent="0.25">
      <c r="A76" s="129"/>
      <c r="B76" s="130">
        <f>DATE(2025,10,1)</f>
        <v>45931</v>
      </c>
      <c r="C76" s="203">
        <v>10041578</v>
      </c>
      <c r="D76" s="203">
        <v>1785644</v>
      </c>
      <c r="E76" s="203">
        <v>1749191</v>
      </c>
      <c r="F76" s="131">
        <f>(+D76-E76)/E76</f>
        <v>2.0839919711455181E-2</v>
      </c>
      <c r="G76" s="214">
        <f>D76/C76</f>
        <v>0.17782503905262698</v>
      </c>
      <c r="H76" s="122"/>
    </row>
    <row r="77" spans="1:8" ht="15.75" x14ac:dyDescent="0.25">
      <c r="A77" s="129"/>
      <c r="B77" s="130">
        <f>DATE(2025,11,1)</f>
        <v>45962</v>
      </c>
      <c r="C77" s="203">
        <v>9732288</v>
      </c>
      <c r="D77" s="203">
        <v>1892637.5</v>
      </c>
      <c r="E77" s="203">
        <v>1908483</v>
      </c>
      <c r="F77" s="131">
        <f>(+D77-E77)/E77</f>
        <v>-8.3026676161118539E-3</v>
      </c>
      <c r="G77" s="214">
        <f>D77/C77</f>
        <v>0.19446994375834337</v>
      </c>
      <c r="H77" s="122"/>
    </row>
    <row r="78" spans="1:8" ht="15.75" customHeight="1" thickBot="1" x14ac:dyDescent="0.3">
      <c r="A78" s="129"/>
      <c r="B78" s="130"/>
      <c r="C78" s="203"/>
      <c r="D78" s="203"/>
      <c r="E78" s="203"/>
      <c r="F78" s="131"/>
      <c r="G78" s="214"/>
      <c r="H78" s="122"/>
    </row>
    <row r="79" spans="1:8" ht="17.25" thickTop="1" thickBot="1" x14ac:dyDescent="0.3">
      <c r="A79" s="140" t="s">
        <v>14</v>
      </c>
      <c r="B79" s="141"/>
      <c r="C79" s="205">
        <f>SUM(C73:C78)</f>
        <v>48451168</v>
      </c>
      <c r="D79" s="205">
        <f>SUM(D73:D78)</f>
        <v>9684398.5</v>
      </c>
      <c r="E79" s="205">
        <f>SUM(E73:E78)</f>
        <v>9786469.5</v>
      </c>
      <c r="F79" s="142">
        <f>(+D79-E79)/E79</f>
        <v>-1.0429808216333786E-2</v>
      </c>
      <c r="G79" s="216">
        <f>D79/C79</f>
        <v>0.19987956740279203</v>
      </c>
      <c r="H79" s="122"/>
    </row>
    <row r="80" spans="1:8" ht="15.75" customHeight="1" thickTop="1" x14ac:dyDescent="0.25">
      <c r="A80" s="137"/>
      <c r="B80" s="138"/>
      <c r="C80" s="204"/>
      <c r="D80" s="204"/>
      <c r="E80" s="204"/>
      <c r="F80" s="139"/>
      <c r="G80" s="215"/>
      <c r="H80" s="122"/>
    </row>
    <row r="81" spans="1:8" ht="15.75" x14ac:dyDescent="0.25">
      <c r="A81" s="129" t="s">
        <v>53</v>
      </c>
      <c r="B81" s="130">
        <f>DATE(2025,7,1)</f>
        <v>45839</v>
      </c>
      <c r="C81" s="203">
        <v>15237163</v>
      </c>
      <c r="D81" s="203">
        <v>2238507.35</v>
      </c>
      <c r="E81" s="203">
        <v>2603604.12</v>
      </c>
      <c r="F81" s="131">
        <f>(+D81-E81)/E81</f>
        <v>-0.14022745132236156</v>
      </c>
      <c r="G81" s="214">
        <f>D81/C81</f>
        <v>0.14691103258526539</v>
      </c>
      <c r="H81" s="122"/>
    </row>
    <row r="82" spans="1:8" ht="15.75" x14ac:dyDescent="0.25">
      <c r="A82" s="129"/>
      <c r="B82" s="130">
        <f>DATE(2025,8,1)</f>
        <v>45870</v>
      </c>
      <c r="C82" s="203">
        <v>15717335</v>
      </c>
      <c r="D82" s="203">
        <v>3124514.38</v>
      </c>
      <c r="E82" s="203">
        <v>2949818.5</v>
      </c>
      <c r="F82" s="131">
        <f>(+D82-E82)/E82</f>
        <v>5.922258606758344E-2</v>
      </c>
      <c r="G82" s="214">
        <f>D82/C82</f>
        <v>0.1987941581699442</v>
      </c>
      <c r="H82" s="122"/>
    </row>
    <row r="83" spans="1:8" ht="15.75" x14ac:dyDescent="0.25">
      <c r="A83" s="129"/>
      <c r="B83" s="130">
        <f>DATE(2025,9,1)</f>
        <v>45901</v>
      </c>
      <c r="C83" s="203">
        <v>13914068</v>
      </c>
      <c r="D83" s="203">
        <v>2710984.71</v>
      </c>
      <c r="E83" s="203">
        <v>2558580.2400000002</v>
      </c>
      <c r="F83" s="131">
        <f>(+D83-E83)/E83</f>
        <v>5.9566031042278249E-2</v>
      </c>
      <c r="G83" s="214">
        <f>D83/C83</f>
        <v>0.1948376786716868</v>
      </c>
      <c r="H83" s="122"/>
    </row>
    <row r="84" spans="1:8" ht="15.75" x14ac:dyDescent="0.25">
      <c r="A84" s="129"/>
      <c r="B84" s="130">
        <f>DATE(2025,10,1)</f>
        <v>45931</v>
      </c>
      <c r="C84" s="203">
        <v>13536511</v>
      </c>
      <c r="D84" s="203">
        <v>2921217.18</v>
      </c>
      <c r="E84" s="203">
        <v>2936056.53</v>
      </c>
      <c r="F84" s="131">
        <f>(+D84-E84)/E84</f>
        <v>-5.0541772095919514E-3</v>
      </c>
      <c r="G84" s="214">
        <f>D84/C84</f>
        <v>0.21580281506807775</v>
      </c>
      <c r="H84" s="122"/>
    </row>
    <row r="85" spans="1:8" ht="15.75" x14ac:dyDescent="0.25">
      <c r="A85" s="129"/>
      <c r="B85" s="130">
        <f>DATE(2025,11,1)</f>
        <v>45962</v>
      </c>
      <c r="C85" s="203">
        <v>13406644</v>
      </c>
      <c r="D85" s="203">
        <v>2575229.36</v>
      </c>
      <c r="E85" s="203">
        <v>2560428.5</v>
      </c>
      <c r="F85" s="131">
        <f>(+D85-E85)/E85</f>
        <v>5.7806183613406384E-3</v>
      </c>
      <c r="G85" s="214">
        <f>D85/C85</f>
        <v>0.19208605524246036</v>
      </c>
      <c r="H85" s="122"/>
    </row>
    <row r="86" spans="1:8" ht="15.75" thickBot="1" x14ac:dyDescent="0.25">
      <c r="A86" s="132"/>
      <c r="B86" s="130"/>
      <c r="C86" s="203"/>
      <c r="D86" s="203"/>
      <c r="E86" s="203"/>
      <c r="F86" s="131"/>
      <c r="G86" s="214"/>
      <c r="H86" s="122"/>
    </row>
    <row r="87" spans="1:8" ht="17.25" thickTop="1" thickBot="1" x14ac:dyDescent="0.3">
      <c r="A87" s="140" t="s">
        <v>14</v>
      </c>
      <c r="B87" s="141"/>
      <c r="C87" s="206">
        <f>SUM(C81:C86)</f>
        <v>71811721</v>
      </c>
      <c r="D87" s="206">
        <f>SUM(D81:D86)</f>
        <v>13570452.98</v>
      </c>
      <c r="E87" s="206">
        <f>SUM(E81:E86)</f>
        <v>13608487.890000001</v>
      </c>
      <c r="F87" s="142">
        <f>(+D87-E87)/E87</f>
        <v>-2.7949402099221874E-3</v>
      </c>
      <c r="G87" s="266">
        <f>D87/C87</f>
        <v>0.1889726745303876</v>
      </c>
      <c r="H87" s="122"/>
    </row>
    <row r="88" spans="1:8" ht="15.75" customHeight="1" thickTop="1" x14ac:dyDescent="0.25">
      <c r="A88" s="137"/>
      <c r="B88" s="138"/>
      <c r="C88" s="204"/>
      <c r="D88" s="204"/>
      <c r="E88" s="204"/>
      <c r="F88" s="139"/>
      <c r="G88" s="218"/>
      <c r="H88" s="122"/>
    </row>
    <row r="89" spans="1:8" ht="15.75" x14ac:dyDescent="0.25">
      <c r="A89" s="129" t="s">
        <v>54</v>
      </c>
      <c r="B89" s="130">
        <f>DATE(2025,7,1)</f>
        <v>45839</v>
      </c>
      <c r="C89" s="203">
        <v>0</v>
      </c>
      <c r="D89" s="203">
        <v>0</v>
      </c>
      <c r="E89" s="203">
        <v>0</v>
      </c>
      <c r="F89" s="131">
        <v>0</v>
      </c>
      <c r="G89" s="214">
        <v>0</v>
      </c>
      <c r="H89" s="122"/>
    </row>
    <row r="90" spans="1:8" ht="15.75" x14ac:dyDescent="0.25">
      <c r="A90" s="129"/>
      <c r="B90" s="130">
        <f>DATE(2025,8,1)</f>
        <v>45870</v>
      </c>
      <c r="C90" s="203">
        <v>0</v>
      </c>
      <c r="D90" s="203">
        <v>0</v>
      </c>
      <c r="E90" s="203">
        <v>0</v>
      </c>
      <c r="F90" s="131">
        <v>0</v>
      </c>
      <c r="G90" s="214">
        <v>0</v>
      </c>
      <c r="H90" s="122"/>
    </row>
    <row r="91" spans="1:8" ht="15.75" x14ac:dyDescent="0.25">
      <c r="A91" s="129"/>
      <c r="B91" s="130">
        <f>DATE(2025,9,1)</f>
        <v>45901</v>
      </c>
      <c r="C91" s="203">
        <v>0</v>
      </c>
      <c r="D91" s="203">
        <v>0</v>
      </c>
      <c r="E91" s="203">
        <v>0</v>
      </c>
      <c r="F91" s="131">
        <v>0</v>
      </c>
      <c r="G91" s="214">
        <v>0</v>
      </c>
      <c r="H91" s="122"/>
    </row>
    <row r="92" spans="1:8" ht="15.75" x14ac:dyDescent="0.25">
      <c r="A92" s="129"/>
      <c r="B92" s="130">
        <f>DATE(2025,10,1)</f>
        <v>45931</v>
      </c>
      <c r="C92" s="203">
        <v>0</v>
      </c>
      <c r="D92" s="203">
        <v>0</v>
      </c>
      <c r="E92" s="203">
        <v>0</v>
      </c>
      <c r="F92" s="131">
        <v>0</v>
      </c>
      <c r="G92" s="214">
        <v>0</v>
      </c>
      <c r="H92" s="122"/>
    </row>
    <row r="93" spans="1:8" ht="15.75" x14ac:dyDescent="0.25">
      <c r="A93" s="129"/>
      <c r="B93" s="130">
        <f>DATE(2025,11,1)</f>
        <v>45962</v>
      </c>
      <c r="C93" s="203">
        <v>0</v>
      </c>
      <c r="D93" s="203">
        <v>0</v>
      </c>
      <c r="E93" s="203">
        <v>0</v>
      </c>
      <c r="F93" s="131">
        <v>0</v>
      </c>
      <c r="G93" s="214">
        <v>0</v>
      </c>
      <c r="H93" s="122"/>
    </row>
    <row r="94" spans="1:8" ht="15.75" thickBot="1" x14ac:dyDescent="0.25">
      <c r="A94" s="132"/>
      <c r="B94" s="133"/>
      <c r="C94" s="203"/>
      <c r="D94" s="203"/>
      <c r="E94" s="203"/>
      <c r="F94" s="131"/>
      <c r="G94" s="214"/>
      <c r="H94" s="122"/>
    </row>
    <row r="95" spans="1:8" ht="17.25" thickTop="1" thickBot="1" x14ac:dyDescent="0.3">
      <c r="A95" s="143" t="s">
        <v>14</v>
      </c>
      <c r="B95" s="144"/>
      <c r="C95" s="206">
        <f>SUM(C89:C94)</f>
        <v>0</v>
      </c>
      <c r="D95" s="206">
        <f>SUM(D89:D94)</f>
        <v>0</v>
      </c>
      <c r="E95" s="206">
        <f>SUM(E89:E94)</f>
        <v>0</v>
      </c>
      <c r="F95" s="142">
        <v>0</v>
      </c>
      <c r="G95" s="216">
        <v>0</v>
      </c>
      <c r="H95" s="122"/>
    </row>
    <row r="96" spans="1:8" ht="15.75" customHeight="1" thickTop="1" x14ac:dyDescent="0.25">
      <c r="A96" s="129"/>
      <c r="B96" s="133"/>
      <c r="C96" s="203"/>
      <c r="D96" s="203"/>
      <c r="E96" s="203"/>
      <c r="F96" s="131"/>
      <c r="G96" s="217"/>
      <c r="H96" s="122"/>
    </row>
    <row r="97" spans="1:8" ht="15.75" x14ac:dyDescent="0.25">
      <c r="A97" s="129" t="s">
        <v>37</v>
      </c>
      <c r="B97" s="130">
        <f>DATE(2025,7,1)</f>
        <v>45839</v>
      </c>
      <c r="C97" s="203">
        <v>22987346</v>
      </c>
      <c r="D97" s="203">
        <v>4388523.87</v>
      </c>
      <c r="E97" s="203">
        <v>4532513.72</v>
      </c>
      <c r="F97" s="131">
        <f>(+D97-E97)/E97</f>
        <v>-3.1768210510789062E-2</v>
      </c>
      <c r="G97" s="214">
        <f>D97/C97</f>
        <v>0.19091041958475763</v>
      </c>
      <c r="H97" s="122"/>
    </row>
    <row r="98" spans="1:8" ht="15.75" x14ac:dyDescent="0.25">
      <c r="A98" s="129"/>
      <c r="B98" s="130">
        <f>DATE(2025,8,1)</f>
        <v>45870</v>
      </c>
      <c r="C98" s="203">
        <v>22289536</v>
      </c>
      <c r="D98" s="203">
        <v>4972073.57</v>
      </c>
      <c r="E98" s="203">
        <v>4951353.17</v>
      </c>
      <c r="F98" s="131">
        <f>(+D98-E98)/E98</f>
        <v>4.1847954061415447E-3</v>
      </c>
      <c r="G98" s="214">
        <f>D98/C98</f>
        <v>0.22306761208488146</v>
      </c>
      <c r="H98" s="122"/>
    </row>
    <row r="99" spans="1:8" ht="15.75" x14ac:dyDescent="0.25">
      <c r="A99" s="129"/>
      <c r="B99" s="130">
        <f>DATE(2025,9,1)</f>
        <v>45901</v>
      </c>
      <c r="C99" s="203">
        <v>19909806</v>
      </c>
      <c r="D99" s="203">
        <v>4174161.5</v>
      </c>
      <c r="E99" s="203">
        <v>4582987.34</v>
      </c>
      <c r="F99" s="131">
        <f>(+D99-E99)/E99</f>
        <v>-8.9205099135185456E-2</v>
      </c>
      <c r="G99" s="214">
        <f>D99/C99</f>
        <v>0.20965354961268834</v>
      </c>
      <c r="H99" s="122"/>
    </row>
    <row r="100" spans="1:8" ht="15.75" x14ac:dyDescent="0.25">
      <c r="A100" s="129"/>
      <c r="B100" s="130">
        <f>DATE(2025,10,1)</f>
        <v>45931</v>
      </c>
      <c r="C100" s="203">
        <v>20889933</v>
      </c>
      <c r="D100" s="203">
        <v>4997786.5999999996</v>
      </c>
      <c r="E100" s="203">
        <v>4731206.4800000004</v>
      </c>
      <c r="F100" s="131">
        <f>(+D100-E100)/E100</f>
        <v>5.6345061482076589E-2</v>
      </c>
      <c r="G100" s="214">
        <f>D100/C100</f>
        <v>0.23924378311792574</v>
      </c>
      <c r="H100" s="122"/>
    </row>
    <row r="101" spans="1:8" ht="15.75" x14ac:dyDescent="0.25">
      <c r="A101" s="129"/>
      <c r="B101" s="130">
        <f>DATE(2025,11,1)</f>
        <v>45962</v>
      </c>
      <c r="C101" s="203">
        <v>20136033</v>
      </c>
      <c r="D101" s="203">
        <v>4513957</v>
      </c>
      <c r="E101" s="203">
        <v>4056375.5</v>
      </c>
      <c r="F101" s="131">
        <f>(+D101-E101)/E101</f>
        <v>0.11280550826717102</v>
      </c>
      <c r="G101" s="214">
        <f>D101/C101</f>
        <v>0.2241731030138856</v>
      </c>
      <c r="H101" s="122"/>
    </row>
    <row r="102" spans="1:8" ht="15.75" thickBot="1" x14ac:dyDescent="0.25">
      <c r="A102" s="132"/>
      <c r="B102" s="133"/>
      <c r="C102" s="203"/>
      <c r="D102" s="203"/>
      <c r="E102" s="203"/>
      <c r="F102" s="131"/>
      <c r="G102" s="214"/>
      <c r="H102" s="122"/>
    </row>
    <row r="103" spans="1:8" ht="17.25" thickTop="1" thickBot="1" x14ac:dyDescent="0.3">
      <c r="A103" s="140" t="s">
        <v>14</v>
      </c>
      <c r="B103" s="141"/>
      <c r="C103" s="205">
        <f>SUM(C97:C102)</f>
        <v>106212654</v>
      </c>
      <c r="D103" s="206">
        <f>SUM(D97:D102)</f>
        <v>23046502.539999999</v>
      </c>
      <c r="E103" s="205">
        <f>SUM(E97:E102)</f>
        <v>22854436.210000001</v>
      </c>
      <c r="F103" s="142">
        <f>(+D103-E103)/E103</f>
        <v>8.4038970918022139E-3</v>
      </c>
      <c r="G103" s="216">
        <f>D103/C103</f>
        <v>0.21698452747447586</v>
      </c>
      <c r="H103" s="122"/>
    </row>
    <row r="104" spans="1:8" ht="15.75" customHeight="1" thickTop="1" x14ac:dyDescent="0.25">
      <c r="A104" s="129"/>
      <c r="B104" s="133"/>
      <c r="C104" s="203"/>
      <c r="D104" s="203"/>
      <c r="E104" s="203"/>
      <c r="F104" s="131"/>
      <c r="G104" s="217"/>
      <c r="H104" s="122"/>
    </row>
    <row r="105" spans="1:8" ht="15.75" x14ac:dyDescent="0.25">
      <c r="A105" s="129" t="s">
        <v>57</v>
      </c>
      <c r="B105" s="130">
        <f>DATE(2025,7,1)</f>
        <v>45839</v>
      </c>
      <c r="C105" s="203">
        <v>603284</v>
      </c>
      <c r="D105" s="203">
        <v>176713.5</v>
      </c>
      <c r="E105" s="203">
        <v>133926.5</v>
      </c>
      <c r="F105" s="131">
        <f>(+D105-E105)/E105</f>
        <v>0.3194812079760167</v>
      </c>
      <c r="G105" s="214">
        <f>D105/C105</f>
        <v>0.292919255276122</v>
      </c>
      <c r="H105" s="122"/>
    </row>
    <row r="106" spans="1:8" ht="15.75" x14ac:dyDescent="0.25">
      <c r="A106" s="129"/>
      <c r="B106" s="130">
        <f>DATE(2025,8,1)</f>
        <v>45870</v>
      </c>
      <c r="C106" s="203">
        <v>600824</v>
      </c>
      <c r="D106" s="203">
        <v>225401</v>
      </c>
      <c r="E106" s="203">
        <v>188568.5</v>
      </c>
      <c r="F106" s="131">
        <f>(+D106-E106)/E106</f>
        <v>0.19532689712226592</v>
      </c>
      <c r="G106" s="214">
        <f>D106/C106</f>
        <v>0.37515312304435244</v>
      </c>
      <c r="H106" s="122"/>
    </row>
    <row r="107" spans="1:8" ht="15.75" x14ac:dyDescent="0.25">
      <c r="A107" s="129"/>
      <c r="B107" s="130">
        <f>DATE(2025,9,1)</f>
        <v>45901</v>
      </c>
      <c r="C107" s="203">
        <v>478325</v>
      </c>
      <c r="D107" s="203">
        <v>-59552.65</v>
      </c>
      <c r="E107" s="203">
        <v>118770</v>
      </c>
      <c r="F107" s="131">
        <f>(+D107-E107)/E107</f>
        <v>-1.5014115517386546</v>
      </c>
      <c r="G107" s="214">
        <f>D107/C107</f>
        <v>-0.12450248262164847</v>
      </c>
      <c r="H107" s="122"/>
    </row>
    <row r="108" spans="1:8" ht="15.75" x14ac:dyDescent="0.25">
      <c r="A108" s="129"/>
      <c r="B108" s="130">
        <f>DATE(2025,10,1)</f>
        <v>45931</v>
      </c>
      <c r="C108" s="203">
        <v>480228</v>
      </c>
      <c r="D108" s="203">
        <v>116653.5</v>
      </c>
      <c r="E108" s="203">
        <v>142953</v>
      </c>
      <c r="F108" s="131">
        <f>(+D108-E108)/E108</f>
        <v>-0.18397305408071185</v>
      </c>
      <c r="G108" s="214">
        <f>D108/C108</f>
        <v>0.2429127414478123</v>
      </c>
      <c r="H108" s="122"/>
    </row>
    <row r="109" spans="1:8" ht="15.75" x14ac:dyDescent="0.25">
      <c r="A109" s="129"/>
      <c r="B109" s="130">
        <f>DATE(2025,11,1)</f>
        <v>45962</v>
      </c>
      <c r="C109" s="203">
        <v>427136</v>
      </c>
      <c r="D109" s="203">
        <v>129553</v>
      </c>
      <c r="E109" s="203">
        <v>139907.5</v>
      </c>
      <c r="F109" s="131">
        <f>(+D109-E109)/E109</f>
        <v>-7.400961349463038E-2</v>
      </c>
      <c r="G109" s="214">
        <f>D109/C109</f>
        <v>0.30330620692238536</v>
      </c>
      <c r="H109" s="122"/>
    </row>
    <row r="110" spans="1:8" ht="15.75" thickBot="1" x14ac:dyDescent="0.25">
      <c r="A110" s="132"/>
      <c r="B110" s="133"/>
      <c r="C110" s="203"/>
      <c r="D110" s="203"/>
      <c r="E110" s="203"/>
      <c r="F110" s="131"/>
      <c r="G110" s="214"/>
      <c r="H110" s="122"/>
    </row>
    <row r="111" spans="1:8" ht="17.25" thickTop="1" thickBot="1" x14ac:dyDescent="0.3">
      <c r="A111" s="134" t="s">
        <v>14</v>
      </c>
      <c r="B111" s="135"/>
      <c r="C111" s="200">
        <f>SUM(C105:C110)</f>
        <v>2589797</v>
      </c>
      <c r="D111" s="206">
        <f>SUM(D105:D110)</f>
        <v>588768.35</v>
      </c>
      <c r="E111" s="206">
        <f>SUM(E105:E110)</f>
        <v>724125.5</v>
      </c>
      <c r="F111" s="142">
        <f>(+D111-E111)/E111</f>
        <v>-0.18692498745037983</v>
      </c>
      <c r="G111" s="216">
        <f>D111/C111</f>
        <v>0.22734150591725916</v>
      </c>
      <c r="H111" s="122"/>
    </row>
    <row r="112" spans="1:8" ht="16.5" thickTop="1" thickBot="1" x14ac:dyDescent="0.25">
      <c r="A112" s="145"/>
      <c r="B112" s="138"/>
      <c r="C112" s="204"/>
      <c r="D112" s="204"/>
      <c r="E112" s="204"/>
      <c r="F112" s="139"/>
      <c r="G112" s="215"/>
      <c r="H112" s="122"/>
    </row>
    <row r="113" spans="1:8" ht="17.25" thickTop="1" thickBot="1" x14ac:dyDescent="0.3">
      <c r="A113" s="146" t="s">
        <v>38</v>
      </c>
      <c r="B113" s="120"/>
      <c r="C113" s="200">
        <f>C111+C103+C79+C63+C47+C31+C15+C39+C95+C23+C71+C87+C55</f>
        <v>557329168.5</v>
      </c>
      <c r="D113" s="200">
        <f>D111+D103+D79+D63+D47+D31+D15+D39+D95+D23+D71+D87+D55</f>
        <v>113252956.69</v>
      </c>
      <c r="E113" s="200">
        <f>E111+E103+E79+E63+E47+E31+E15+E39+E95+E23+E71+E87+E55</f>
        <v>110016112.44</v>
      </c>
      <c r="F113" s="136">
        <f>(+D113-E113)/E113</f>
        <v>2.942154724622989E-2</v>
      </c>
      <c r="G113" s="211">
        <f>D113/C113</f>
        <v>0.2032065843508781</v>
      </c>
      <c r="H113" s="122"/>
    </row>
    <row r="114" spans="1:8" ht="17.25" thickTop="1" thickBot="1" x14ac:dyDescent="0.3">
      <c r="A114" s="146"/>
      <c r="B114" s="120"/>
      <c r="C114" s="200"/>
      <c r="D114" s="200"/>
      <c r="E114" s="200"/>
      <c r="F114" s="136"/>
      <c r="G114" s="211"/>
      <c r="H114" s="122"/>
    </row>
    <row r="115" spans="1:8" ht="17.25" thickTop="1" thickBot="1" x14ac:dyDescent="0.3">
      <c r="A115" s="264" t="s">
        <v>39</v>
      </c>
      <c r="B115" s="265"/>
      <c r="C115" s="205">
        <f>+C13+C21+C29+C37+C45+C53+C61+C69+C77+C85+C93+C101+C109</f>
        <v>108826171</v>
      </c>
      <c r="D115" s="205">
        <f>+D13+D21+D29+D37+D45+D53+D61+D69+D77+D85+D93+D101+D109</f>
        <v>21478734.879999999</v>
      </c>
      <c r="E115" s="205">
        <f>+E13+E21+E29+E37+E45+E53+E61+E69+E77+E85+E93+E101+E109</f>
        <v>20771453.23</v>
      </c>
      <c r="F115" s="267">
        <f>(+D115-E115)/E115</f>
        <v>3.4050657995295136E-2</v>
      </c>
      <c r="G115" s="216">
        <f>D115/C115</f>
        <v>0.19736736745061073</v>
      </c>
      <c r="H115" s="122"/>
    </row>
    <row r="116" spans="1:8" ht="16.5" thickTop="1" x14ac:dyDescent="0.25">
      <c r="A116" s="255"/>
      <c r="B116" s="257"/>
      <c r="C116" s="258"/>
      <c r="D116" s="258"/>
      <c r="E116" s="258"/>
      <c r="F116" s="259"/>
      <c r="G116" s="256"/>
      <c r="H116" s="256"/>
    </row>
    <row r="117" spans="1:8" ht="18.75" x14ac:dyDescent="0.3">
      <c r="A117" s="262" t="s">
        <v>40</v>
      </c>
      <c r="B117" s="116"/>
      <c r="C117" s="207"/>
      <c r="D117" s="207"/>
      <c r="E117" s="207"/>
      <c r="F117" s="147"/>
      <c r="G117" s="219"/>
    </row>
    <row r="118" spans="1:8" ht="15.75" x14ac:dyDescent="0.25">
      <c r="A118" s="71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2" manualBreakCount="2">
    <brk id="55" max="7" man="1"/>
    <brk id="10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8" t="s">
        <v>0</v>
      </c>
      <c r="B1" s="149"/>
      <c r="C1" s="221"/>
      <c r="D1" s="221"/>
      <c r="E1" s="221"/>
      <c r="F1" s="149"/>
      <c r="G1" s="233"/>
      <c r="H1" s="233"/>
    </row>
    <row r="2" spans="1:8" ht="18.75" x14ac:dyDescent="0.3">
      <c r="A2" s="152" t="s">
        <v>59</v>
      </c>
      <c r="B2" s="149"/>
      <c r="C2" s="221"/>
      <c r="D2" s="221"/>
      <c r="E2" s="221"/>
      <c r="F2" s="149"/>
      <c r="G2" s="233"/>
      <c r="H2" s="233"/>
    </row>
    <row r="3" spans="1:8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</row>
    <row r="4" spans="1:8" ht="18" x14ac:dyDescent="0.25">
      <c r="A4" s="284" t="s">
        <v>76</v>
      </c>
      <c r="B4" s="149"/>
      <c r="C4" s="221"/>
      <c r="D4" s="221"/>
      <c r="E4" s="221"/>
      <c r="F4" s="149"/>
      <c r="G4" s="233"/>
      <c r="H4" s="233"/>
    </row>
    <row r="5" spans="1:8" x14ac:dyDescent="0.2">
      <c r="A5" s="285" t="s">
        <v>73</v>
      </c>
      <c r="B5" s="149"/>
      <c r="C5" s="221"/>
      <c r="D5" s="221"/>
      <c r="E5" s="221"/>
      <c r="F5" s="149"/>
      <c r="G5" s="233"/>
      <c r="H5" s="233"/>
    </row>
    <row r="6" spans="1:8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</row>
    <row r="7" spans="1:8" ht="16.5" thickTop="1" x14ac:dyDescent="0.25">
      <c r="A7" s="153"/>
      <c r="B7" s="154" t="s">
        <v>2</v>
      </c>
      <c r="C7" s="222" t="s">
        <v>65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</row>
    <row r="8" spans="1:8" ht="16.5" thickBot="1" x14ac:dyDescent="0.3">
      <c r="A8" s="157" t="s">
        <v>5</v>
      </c>
      <c r="B8" s="158" t="s">
        <v>6</v>
      </c>
      <c r="C8" s="223" t="s">
        <v>45</v>
      </c>
      <c r="D8" s="223" t="s">
        <v>66</v>
      </c>
      <c r="E8" s="223" t="s">
        <v>66</v>
      </c>
      <c r="F8" s="159" t="s">
        <v>8</v>
      </c>
      <c r="G8" s="237" t="s">
        <v>35</v>
      </c>
      <c r="H8" s="253" t="s">
        <v>47</v>
      </c>
    </row>
    <row r="9" spans="1:8" ht="16.5" thickTop="1" x14ac:dyDescent="0.25">
      <c r="A9" s="160"/>
      <c r="B9" s="161"/>
      <c r="C9" s="224"/>
      <c r="D9" s="224"/>
      <c r="E9" s="224"/>
      <c r="F9" s="162"/>
      <c r="G9" s="238"/>
      <c r="H9" s="239"/>
    </row>
    <row r="10" spans="1:8" ht="15.75" x14ac:dyDescent="0.25">
      <c r="A10" s="163" t="s">
        <v>36</v>
      </c>
      <c r="B10" s="164">
        <f>DATE(25,7,1)</f>
        <v>9314</v>
      </c>
      <c r="C10" s="225">
        <v>0</v>
      </c>
      <c r="D10" s="225">
        <v>0</v>
      </c>
      <c r="E10" s="225">
        <v>0</v>
      </c>
      <c r="F10" s="165">
        <v>0</v>
      </c>
      <c r="G10" s="240">
        <v>0</v>
      </c>
      <c r="H10" s="288">
        <v>0</v>
      </c>
    </row>
    <row r="11" spans="1:8" ht="15.75" x14ac:dyDescent="0.25">
      <c r="A11" s="163"/>
      <c r="B11" s="164">
        <f>DATE(25,8,1)</f>
        <v>9345</v>
      </c>
      <c r="C11" s="225">
        <v>0</v>
      </c>
      <c r="D11" s="225">
        <v>0</v>
      </c>
      <c r="E11" s="225">
        <v>0</v>
      </c>
      <c r="F11" s="165">
        <v>0</v>
      </c>
      <c r="G11" s="240">
        <v>0</v>
      </c>
      <c r="H11" s="288">
        <v>0</v>
      </c>
    </row>
    <row r="12" spans="1:8" ht="15.75" x14ac:dyDescent="0.25">
      <c r="A12" s="163"/>
      <c r="B12" s="164">
        <f>DATE(25,9,1)</f>
        <v>9376</v>
      </c>
      <c r="C12" s="225">
        <v>0</v>
      </c>
      <c r="D12" s="225">
        <v>0</v>
      </c>
      <c r="E12" s="225">
        <v>0</v>
      </c>
      <c r="F12" s="165">
        <v>0</v>
      </c>
      <c r="G12" s="240">
        <v>0</v>
      </c>
      <c r="H12" s="288">
        <v>0</v>
      </c>
    </row>
    <row r="13" spans="1:8" ht="15.75" x14ac:dyDescent="0.25">
      <c r="A13" s="163"/>
      <c r="B13" s="164">
        <f>DATE(25,10,1)</f>
        <v>9406</v>
      </c>
      <c r="C13" s="225">
        <v>0</v>
      </c>
      <c r="D13" s="225">
        <v>0</v>
      </c>
      <c r="E13" s="225">
        <v>0</v>
      </c>
      <c r="F13" s="165">
        <v>0</v>
      </c>
      <c r="G13" s="240">
        <v>0</v>
      </c>
      <c r="H13" s="288">
        <v>0</v>
      </c>
    </row>
    <row r="14" spans="1:8" ht="15.75" x14ac:dyDescent="0.25">
      <c r="A14" s="163"/>
      <c r="B14" s="164">
        <f>DATE(25,11,1)</f>
        <v>9437</v>
      </c>
      <c r="C14" s="225">
        <v>0</v>
      </c>
      <c r="D14" s="225">
        <v>0</v>
      </c>
      <c r="E14" s="225">
        <v>0</v>
      </c>
      <c r="F14" s="165">
        <v>0</v>
      </c>
      <c r="G14" s="240">
        <v>0</v>
      </c>
      <c r="H14" s="288">
        <v>0</v>
      </c>
    </row>
    <row r="15" spans="1:8" ht="15.75" thickBot="1" x14ac:dyDescent="0.25">
      <c r="A15" s="166"/>
      <c r="B15" s="167"/>
      <c r="C15" s="225"/>
      <c r="D15" s="225"/>
      <c r="E15" s="225"/>
      <c r="F15" s="165"/>
      <c r="G15" s="240"/>
      <c r="H15" s="241"/>
    </row>
    <row r="16" spans="1:8" ht="17.25" thickTop="1" thickBot="1" x14ac:dyDescent="0.3">
      <c r="A16" s="168" t="s">
        <v>14</v>
      </c>
      <c r="B16" s="154"/>
      <c r="C16" s="222">
        <f>SUM(C10:C15)</f>
        <v>0</v>
      </c>
      <c r="D16" s="222">
        <f>SUM(D10:D15)</f>
        <v>0</v>
      </c>
      <c r="E16" s="222">
        <f>SUM(E10:E15)</f>
        <v>0</v>
      </c>
      <c r="F16" s="175">
        <v>0</v>
      </c>
      <c r="G16" s="244">
        <v>0</v>
      </c>
      <c r="H16" s="245">
        <v>0</v>
      </c>
    </row>
    <row r="17" spans="1:8" ht="15.75" thickTop="1" x14ac:dyDescent="0.2">
      <c r="A17" s="170"/>
      <c r="B17" s="171"/>
      <c r="C17" s="226"/>
      <c r="D17" s="226"/>
      <c r="E17" s="226"/>
      <c r="F17" s="172"/>
      <c r="G17" s="242"/>
      <c r="H17" s="243"/>
    </row>
    <row r="18" spans="1:8" ht="15.75" x14ac:dyDescent="0.25">
      <c r="A18" s="19" t="s">
        <v>48</v>
      </c>
      <c r="B18" s="164">
        <f>DATE(25,7,1)</f>
        <v>9314</v>
      </c>
      <c r="C18" s="225">
        <v>0</v>
      </c>
      <c r="D18" s="225">
        <v>0</v>
      </c>
      <c r="E18" s="225">
        <v>0</v>
      </c>
      <c r="F18" s="165">
        <v>0</v>
      </c>
      <c r="G18" s="240">
        <v>0</v>
      </c>
      <c r="H18" s="241">
        <v>0</v>
      </c>
    </row>
    <row r="19" spans="1:8" ht="15.75" x14ac:dyDescent="0.25">
      <c r="A19" s="19"/>
      <c r="B19" s="164">
        <f>DATE(25,8,1)</f>
        <v>9345</v>
      </c>
      <c r="C19" s="225">
        <v>0</v>
      </c>
      <c r="D19" s="225">
        <v>0</v>
      </c>
      <c r="E19" s="225">
        <v>0</v>
      </c>
      <c r="F19" s="165">
        <v>0</v>
      </c>
      <c r="G19" s="240">
        <v>0</v>
      </c>
      <c r="H19" s="288">
        <v>0</v>
      </c>
    </row>
    <row r="20" spans="1:8" ht="15.75" x14ac:dyDescent="0.25">
      <c r="A20" s="19"/>
      <c r="B20" s="164">
        <f>DATE(25,9,1)</f>
        <v>9376</v>
      </c>
      <c r="C20" s="225">
        <v>0</v>
      </c>
      <c r="D20" s="225">
        <v>0</v>
      </c>
      <c r="E20" s="225">
        <v>0</v>
      </c>
      <c r="F20" s="165">
        <v>0</v>
      </c>
      <c r="G20" s="240">
        <v>0</v>
      </c>
      <c r="H20" s="288">
        <v>0</v>
      </c>
    </row>
    <row r="21" spans="1:8" ht="15.75" x14ac:dyDescent="0.25">
      <c r="A21" s="19"/>
      <c r="B21" s="164">
        <f>DATE(25,10,1)</f>
        <v>9406</v>
      </c>
      <c r="C21" s="225">
        <v>0</v>
      </c>
      <c r="D21" s="225">
        <v>0</v>
      </c>
      <c r="E21" s="225">
        <v>0</v>
      </c>
      <c r="F21" s="165">
        <v>0</v>
      </c>
      <c r="G21" s="240">
        <v>0</v>
      </c>
      <c r="H21" s="288">
        <v>0</v>
      </c>
    </row>
    <row r="22" spans="1:8" ht="15.75" x14ac:dyDescent="0.25">
      <c r="A22" s="19"/>
      <c r="B22" s="164">
        <f>DATE(25,11,1)</f>
        <v>9437</v>
      </c>
      <c r="C22" s="225">
        <v>0</v>
      </c>
      <c r="D22" s="225">
        <v>0</v>
      </c>
      <c r="E22" s="225">
        <v>0</v>
      </c>
      <c r="F22" s="165">
        <v>0</v>
      </c>
      <c r="G22" s="240">
        <v>0</v>
      </c>
      <c r="H22" s="288">
        <v>0</v>
      </c>
    </row>
    <row r="23" spans="1:8" ht="15.75" thickBot="1" x14ac:dyDescent="0.25">
      <c r="A23" s="166"/>
      <c r="B23" s="164"/>
      <c r="C23" s="225"/>
      <c r="D23" s="225"/>
      <c r="E23" s="225"/>
      <c r="F23" s="165"/>
      <c r="G23" s="240"/>
      <c r="H23" s="241"/>
    </row>
    <row r="24" spans="1:8" ht="17.25" thickTop="1" thickBot="1" x14ac:dyDescent="0.3">
      <c r="A24" s="168" t="s">
        <v>14</v>
      </c>
      <c r="B24" s="154"/>
      <c r="C24" s="222">
        <f>SUM(C18:C23)</f>
        <v>0</v>
      </c>
      <c r="D24" s="222">
        <f>SUM(D18:D23)</f>
        <v>0</v>
      </c>
      <c r="E24" s="222">
        <f>SUM(E18:E23)</f>
        <v>0</v>
      </c>
      <c r="F24" s="169">
        <v>0</v>
      </c>
      <c r="G24" s="235">
        <v>0</v>
      </c>
      <c r="H24" s="236">
        <v>0</v>
      </c>
    </row>
    <row r="25" spans="1:8" ht="15.75" thickTop="1" x14ac:dyDescent="0.2">
      <c r="A25" s="170"/>
      <c r="B25" s="171"/>
      <c r="C25" s="226"/>
      <c r="D25" s="226"/>
      <c r="E25" s="226"/>
      <c r="F25" s="172"/>
      <c r="G25" s="242"/>
      <c r="H25" s="243"/>
    </row>
    <row r="26" spans="1:8" ht="15.75" x14ac:dyDescent="0.25">
      <c r="A26" s="19" t="s">
        <v>62</v>
      </c>
      <c r="B26" s="164">
        <f>DATE(25,7,1)</f>
        <v>9314</v>
      </c>
      <c r="C26" s="225">
        <v>0</v>
      </c>
      <c r="D26" s="225">
        <v>0</v>
      </c>
      <c r="E26" s="225">
        <v>0</v>
      </c>
      <c r="F26" s="165">
        <v>0</v>
      </c>
      <c r="G26" s="240">
        <v>0</v>
      </c>
      <c r="H26" s="241">
        <v>0</v>
      </c>
    </row>
    <row r="27" spans="1:8" ht="15.75" x14ac:dyDescent="0.25">
      <c r="A27" s="19"/>
      <c r="B27" s="164">
        <f>DATE(25,8,1)</f>
        <v>9345</v>
      </c>
      <c r="C27" s="225">
        <v>0</v>
      </c>
      <c r="D27" s="225">
        <v>0</v>
      </c>
      <c r="E27" s="225">
        <v>0</v>
      </c>
      <c r="F27" s="165">
        <v>0</v>
      </c>
      <c r="G27" s="240">
        <v>0</v>
      </c>
      <c r="H27" s="288">
        <v>0</v>
      </c>
    </row>
    <row r="28" spans="1:8" ht="15.75" x14ac:dyDescent="0.25">
      <c r="A28" s="19"/>
      <c r="B28" s="164">
        <f>DATE(25,9,1)</f>
        <v>9376</v>
      </c>
      <c r="C28" s="225">
        <v>0</v>
      </c>
      <c r="D28" s="225">
        <v>0</v>
      </c>
      <c r="E28" s="225">
        <v>0</v>
      </c>
      <c r="F28" s="165">
        <v>0</v>
      </c>
      <c r="G28" s="240">
        <v>0</v>
      </c>
      <c r="H28" s="288">
        <v>0</v>
      </c>
    </row>
    <row r="29" spans="1:8" ht="15.75" x14ac:dyDescent="0.25">
      <c r="A29" s="19"/>
      <c r="B29" s="164">
        <f>DATE(25,10,1)</f>
        <v>9406</v>
      </c>
      <c r="C29" s="225">
        <v>0</v>
      </c>
      <c r="D29" s="225">
        <v>0</v>
      </c>
      <c r="E29" s="225">
        <v>0</v>
      </c>
      <c r="F29" s="165">
        <v>0</v>
      </c>
      <c r="G29" s="240">
        <v>0</v>
      </c>
      <c r="H29" s="288">
        <v>0</v>
      </c>
    </row>
    <row r="30" spans="1:8" ht="15.75" x14ac:dyDescent="0.25">
      <c r="A30" s="19"/>
      <c r="B30" s="164">
        <f>DATE(25,11,1)</f>
        <v>9437</v>
      </c>
      <c r="C30" s="225">
        <v>0</v>
      </c>
      <c r="D30" s="225">
        <v>0</v>
      </c>
      <c r="E30" s="225">
        <v>0</v>
      </c>
      <c r="F30" s="165">
        <v>0</v>
      </c>
      <c r="G30" s="240">
        <v>0</v>
      </c>
      <c r="H30" s="288">
        <v>0</v>
      </c>
    </row>
    <row r="31" spans="1:8" ht="15.75" thickBot="1" x14ac:dyDescent="0.25">
      <c r="A31" s="166"/>
      <c r="B31" s="164"/>
      <c r="C31" s="225"/>
      <c r="D31" s="225"/>
      <c r="E31" s="225"/>
      <c r="F31" s="165"/>
      <c r="G31" s="240"/>
      <c r="H31" s="241"/>
    </row>
    <row r="32" spans="1:8" ht="17.25" thickTop="1" thickBot="1" x14ac:dyDescent="0.3">
      <c r="A32" s="173" t="s">
        <v>14</v>
      </c>
      <c r="B32" s="174"/>
      <c r="C32" s="227">
        <f>SUM(C26:C31)</f>
        <v>0</v>
      </c>
      <c r="D32" s="227">
        <f>SUM(D26:D31)</f>
        <v>0</v>
      </c>
      <c r="E32" s="227">
        <f>SUM(E26:E31)</f>
        <v>0</v>
      </c>
      <c r="F32" s="175">
        <v>0</v>
      </c>
      <c r="G32" s="244">
        <v>0</v>
      </c>
      <c r="H32" s="245">
        <v>0</v>
      </c>
    </row>
    <row r="33" spans="1:8" ht="15.75" thickTop="1" x14ac:dyDescent="0.2">
      <c r="A33" s="166"/>
      <c r="B33" s="167"/>
      <c r="C33" s="225"/>
      <c r="D33" s="225"/>
      <c r="E33" s="225"/>
      <c r="F33" s="165"/>
      <c r="G33" s="240"/>
      <c r="H33" s="241"/>
    </row>
    <row r="34" spans="1:8" ht="15.75" x14ac:dyDescent="0.25">
      <c r="A34" s="176" t="s">
        <v>58</v>
      </c>
      <c r="B34" s="164">
        <f>DATE(25,7,1)</f>
        <v>9314</v>
      </c>
      <c r="C34" s="225">
        <v>0</v>
      </c>
      <c r="D34" s="225">
        <v>0</v>
      </c>
      <c r="E34" s="225">
        <v>0</v>
      </c>
      <c r="F34" s="165">
        <v>0</v>
      </c>
      <c r="G34" s="240">
        <v>0</v>
      </c>
      <c r="H34" s="288">
        <v>0</v>
      </c>
    </row>
    <row r="35" spans="1:8" ht="15.75" x14ac:dyDescent="0.25">
      <c r="A35" s="176"/>
      <c r="B35" s="164">
        <f>DATE(25,8,1)</f>
        <v>9345</v>
      </c>
      <c r="C35" s="225">
        <v>0</v>
      </c>
      <c r="D35" s="225">
        <v>0</v>
      </c>
      <c r="E35" s="225">
        <v>0</v>
      </c>
      <c r="F35" s="165">
        <v>0</v>
      </c>
      <c r="G35" s="240">
        <v>0</v>
      </c>
      <c r="H35" s="288">
        <v>0</v>
      </c>
    </row>
    <row r="36" spans="1:8" ht="15.75" x14ac:dyDescent="0.25">
      <c r="A36" s="176"/>
      <c r="B36" s="164">
        <f>DATE(25,9,1)</f>
        <v>9376</v>
      </c>
      <c r="C36" s="225">
        <v>0</v>
      </c>
      <c r="D36" s="225">
        <v>0</v>
      </c>
      <c r="E36" s="225">
        <v>0</v>
      </c>
      <c r="F36" s="165">
        <v>0</v>
      </c>
      <c r="G36" s="240">
        <v>0</v>
      </c>
      <c r="H36" s="288">
        <v>0</v>
      </c>
    </row>
    <row r="37" spans="1:8" ht="15.75" x14ac:dyDescent="0.25">
      <c r="A37" s="176"/>
      <c r="B37" s="164">
        <f>DATE(25,10,1)</f>
        <v>9406</v>
      </c>
      <c r="C37" s="225">
        <v>0</v>
      </c>
      <c r="D37" s="225">
        <v>0</v>
      </c>
      <c r="E37" s="225">
        <v>0</v>
      </c>
      <c r="F37" s="165">
        <v>0</v>
      </c>
      <c r="G37" s="240">
        <v>0</v>
      </c>
      <c r="H37" s="288">
        <v>0</v>
      </c>
    </row>
    <row r="38" spans="1:8" ht="15.75" x14ac:dyDescent="0.25">
      <c r="A38" s="176"/>
      <c r="B38" s="164">
        <f>DATE(25,11,1)</f>
        <v>9437</v>
      </c>
      <c r="C38" s="225">
        <v>0</v>
      </c>
      <c r="D38" s="225">
        <v>0</v>
      </c>
      <c r="E38" s="225">
        <v>0</v>
      </c>
      <c r="F38" s="165">
        <v>0</v>
      </c>
      <c r="G38" s="240">
        <v>0</v>
      </c>
      <c r="H38" s="288">
        <v>0</v>
      </c>
    </row>
    <row r="39" spans="1:8" ht="15.75" thickBot="1" x14ac:dyDescent="0.25">
      <c r="A39" s="166"/>
      <c r="B39" s="167"/>
      <c r="C39" s="225"/>
      <c r="D39" s="225"/>
      <c r="E39" s="225"/>
      <c r="F39" s="165"/>
      <c r="G39" s="240"/>
      <c r="H39" s="241"/>
    </row>
    <row r="40" spans="1:8" ht="17.25" thickTop="1" thickBot="1" x14ac:dyDescent="0.3">
      <c r="A40" s="173" t="s">
        <v>14</v>
      </c>
      <c r="B40" s="177"/>
      <c r="C40" s="227">
        <f>SUM(C34:C39)</f>
        <v>0</v>
      </c>
      <c r="D40" s="227">
        <f>SUM(D34:D39)</f>
        <v>0</v>
      </c>
      <c r="E40" s="227">
        <f>SUM(E34:E39)</f>
        <v>0</v>
      </c>
      <c r="F40" s="175">
        <v>0</v>
      </c>
      <c r="G40" s="244">
        <v>0</v>
      </c>
      <c r="H40" s="245">
        <v>0</v>
      </c>
    </row>
    <row r="41" spans="1:8" ht="15.75" thickTop="1" x14ac:dyDescent="0.2">
      <c r="A41" s="166"/>
      <c r="B41" s="167"/>
      <c r="C41" s="225"/>
      <c r="D41" s="225"/>
      <c r="E41" s="225"/>
      <c r="F41" s="165"/>
      <c r="G41" s="240"/>
      <c r="H41" s="241"/>
    </row>
    <row r="42" spans="1:8" ht="15.75" x14ac:dyDescent="0.25">
      <c r="A42" s="163" t="s">
        <v>60</v>
      </c>
      <c r="B42" s="164">
        <f>DATE(25,7,1)</f>
        <v>9314</v>
      </c>
      <c r="C42" s="225">
        <v>0</v>
      </c>
      <c r="D42" s="225">
        <v>0</v>
      </c>
      <c r="E42" s="225">
        <v>0</v>
      </c>
      <c r="F42" s="165">
        <v>0</v>
      </c>
      <c r="G42" s="240">
        <v>0</v>
      </c>
      <c r="H42" s="241">
        <v>0</v>
      </c>
    </row>
    <row r="43" spans="1:8" ht="15.75" x14ac:dyDescent="0.25">
      <c r="A43" s="163"/>
      <c r="B43" s="164">
        <f>DATE(25,8,1)</f>
        <v>9345</v>
      </c>
      <c r="C43" s="225">
        <v>0</v>
      </c>
      <c r="D43" s="225">
        <v>0</v>
      </c>
      <c r="E43" s="225">
        <v>0</v>
      </c>
      <c r="F43" s="165">
        <v>0</v>
      </c>
      <c r="G43" s="240">
        <v>0</v>
      </c>
      <c r="H43" s="288">
        <v>0</v>
      </c>
    </row>
    <row r="44" spans="1:8" ht="15.75" x14ac:dyDescent="0.25">
      <c r="A44" s="163"/>
      <c r="B44" s="164">
        <f>DATE(25,9,1)</f>
        <v>9376</v>
      </c>
      <c r="C44" s="225">
        <v>0</v>
      </c>
      <c r="D44" s="225">
        <v>0</v>
      </c>
      <c r="E44" s="225">
        <v>0</v>
      </c>
      <c r="F44" s="165">
        <v>0</v>
      </c>
      <c r="G44" s="240">
        <v>0</v>
      </c>
      <c r="H44" s="288">
        <v>0</v>
      </c>
    </row>
    <row r="45" spans="1:8" ht="15.75" x14ac:dyDescent="0.25">
      <c r="A45" s="163"/>
      <c r="B45" s="164">
        <f>DATE(25,10,1)</f>
        <v>9406</v>
      </c>
      <c r="C45" s="225">
        <v>0</v>
      </c>
      <c r="D45" s="225">
        <v>0</v>
      </c>
      <c r="E45" s="225">
        <v>0</v>
      </c>
      <c r="F45" s="165">
        <v>0</v>
      </c>
      <c r="G45" s="240">
        <v>0</v>
      </c>
      <c r="H45" s="288">
        <v>0</v>
      </c>
    </row>
    <row r="46" spans="1:8" ht="15.75" x14ac:dyDescent="0.25">
      <c r="A46" s="163"/>
      <c r="B46" s="164">
        <f>DATE(25,11,1)</f>
        <v>9437</v>
      </c>
      <c r="C46" s="225">
        <v>0</v>
      </c>
      <c r="D46" s="225">
        <v>0</v>
      </c>
      <c r="E46" s="225">
        <v>0</v>
      </c>
      <c r="F46" s="165">
        <v>0</v>
      </c>
      <c r="G46" s="240">
        <v>0</v>
      </c>
      <c r="H46" s="288">
        <v>0</v>
      </c>
    </row>
    <row r="47" spans="1:8" ht="15.75" thickBot="1" x14ac:dyDescent="0.25">
      <c r="A47" s="166"/>
      <c r="B47" s="164"/>
      <c r="C47" s="225"/>
      <c r="D47" s="225"/>
      <c r="E47" s="225"/>
      <c r="F47" s="165"/>
      <c r="G47" s="240"/>
      <c r="H47" s="241"/>
    </row>
    <row r="48" spans="1:8" ht="17.25" thickTop="1" thickBot="1" x14ac:dyDescent="0.3">
      <c r="A48" s="173" t="s">
        <v>14</v>
      </c>
      <c r="B48" s="174"/>
      <c r="C48" s="227">
        <f>SUM(C42:C47)</f>
        <v>0</v>
      </c>
      <c r="D48" s="229">
        <f>SUM(D42:D47)</f>
        <v>0</v>
      </c>
      <c r="E48" s="270">
        <f>SUM(E42:E47)</f>
        <v>0</v>
      </c>
      <c r="F48" s="175">
        <v>0</v>
      </c>
      <c r="G48" s="244">
        <v>0</v>
      </c>
      <c r="H48" s="245">
        <v>0</v>
      </c>
    </row>
    <row r="49" spans="1:8" ht="15.75" thickTop="1" x14ac:dyDescent="0.2">
      <c r="A49" s="166"/>
      <c r="B49" s="167"/>
      <c r="C49" s="225"/>
      <c r="D49" s="225"/>
      <c r="E49" s="225"/>
      <c r="F49" s="165"/>
      <c r="G49" s="240"/>
      <c r="H49" s="241"/>
    </row>
    <row r="50" spans="1:8" ht="15.75" x14ac:dyDescent="0.25">
      <c r="A50" s="163" t="s">
        <v>64</v>
      </c>
      <c r="B50" s="164">
        <f>DATE(25,7,1)</f>
        <v>9314</v>
      </c>
      <c r="C50" s="225">
        <v>0</v>
      </c>
      <c r="D50" s="225">
        <v>0</v>
      </c>
      <c r="E50" s="225">
        <v>0</v>
      </c>
      <c r="F50" s="165">
        <v>0</v>
      </c>
      <c r="G50" s="240">
        <v>0</v>
      </c>
      <c r="H50" s="241">
        <v>0</v>
      </c>
    </row>
    <row r="51" spans="1:8" ht="15.75" x14ac:dyDescent="0.25">
      <c r="A51" s="163"/>
      <c r="B51" s="164">
        <f>DATE(25,8,1)</f>
        <v>9345</v>
      </c>
      <c r="C51" s="225">
        <v>0</v>
      </c>
      <c r="D51" s="225">
        <v>0</v>
      </c>
      <c r="E51" s="225">
        <v>0</v>
      </c>
      <c r="F51" s="165">
        <v>0</v>
      </c>
      <c r="G51" s="240">
        <v>0</v>
      </c>
      <c r="H51" s="288">
        <v>0</v>
      </c>
    </row>
    <row r="52" spans="1:8" ht="15.75" x14ac:dyDescent="0.25">
      <c r="A52" s="163"/>
      <c r="B52" s="164">
        <f>DATE(25,9,1)</f>
        <v>9376</v>
      </c>
      <c r="C52" s="225">
        <v>0</v>
      </c>
      <c r="D52" s="225">
        <v>0</v>
      </c>
      <c r="E52" s="225">
        <v>0</v>
      </c>
      <c r="F52" s="165">
        <v>0</v>
      </c>
      <c r="G52" s="240">
        <v>0</v>
      </c>
      <c r="H52" s="288">
        <v>0</v>
      </c>
    </row>
    <row r="53" spans="1:8" ht="15.75" x14ac:dyDescent="0.25">
      <c r="A53" s="163"/>
      <c r="B53" s="164">
        <f>DATE(25,10,1)</f>
        <v>9406</v>
      </c>
      <c r="C53" s="225">
        <v>0</v>
      </c>
      <c r="D53" s="225">
        <v>0</v>
      </c>
      <c r="E53" s="225">
        <v>0</v>
      </c>
      <c r="F53" s="165">
        <v>0</v>
      </c>
      <c r="G53" s="240">
        <v>0</v>
      </c>
      <c r="H53" s="288">
        <v>0</v>
      </c>
    </row>
    <row r="54" spans="1:8" ht="15.75" x14ac:dyDescent="0.25">
      <c r="A54" s="163"/>
      <c r="B54" s="164">
        <f>DATE(25,11,1)</f>
        <v>9437</v>
      </c>
      <c r="C54" s="225">
        <v>0</v>
      </c>
      <c r="D54" s="225">
        <v>0</v>
      </c>
      <c r="E54" s="225">
        <v>0</v>
      </c>
      <c r="F54" s="165">
        <v>0</v>
      </c>
      <c r="G54" s="240">
        <v>0</v>
      </c>
      <c r="H54" s="288">
        <v>0</v>
      </c>
    </row>
    <row r="55" spans="1:8" ht="15.75" thickBot="1" x14ac:dyDescent="0.25">
      <c r="A55" s="166"/>
      <c r="B55" s="164"/>
      <c r="C55" s="225"/>
      <c r="D55" s="225"/>
      <c r="E55" s="225"/>
      <c r="F55" s="165"/>
      <c r="G55" s="240"/>
      <c r="H55" s="241"/>
    </row>
    <row r="56" spans="1:8" ht="17.25" thickTop="1" thickBot="1" x14ac:dyDescent="0.3">
      <c r="A56" s="173" t="s">
        <v>14</v>
      </c>
      <c r="B56" s="174"/>
      <c r="C56" s="227">
        <f>SUM(C50:C55)</f>
        <v>0</v>
      </c>
      <c r="D56" s="229">
        <f>SUM(D50:D55)</f>
        <v>0</v>
      </c>
      <c r="E56" s="270">
        <f>SUM(E50:E55)</f>
        <v>0</v>
      </c>
      <c r="F56" s="175">
        <v>0</v>
      </c>
      <c r="G56" s="244">
        <v>0</v>
      </c>
      <c r="H56" s="245">
        <v>0</v>
      </c>
    </row>
    <row r="57" spans="1:8" ht="15.75" thickTop="1" x14ac:dyDescent="0.2">
      <c r="A57" s="166"/>
      <c r="B57" s="167"/>
      <c r="C57" s="225"/>
      <c r="D57" s="225"/>
      <c r="E57" s="225"/>
      <c r="F57" s="165"/>
      <c r="G57" s="240"/>
      <c r="H57" s="241"/>
    </row>
    <row r="58" spans="1:8" ht="15.75" x14ac:dyDescent="0.25">
      <c r="A58" s="163" t="s">
        <v>67</v>
      </c>
      <c r="B58" s="164">
        <f>DATE(25,7,1)</f>
        <v>9314</v>
      </c>
      <c r="C58" s="225">
        <v>0</v>
      </c>
      <c r="D58" s="225">
        <v>0</v>
      </c>
      <c r="E58" s="225">
        <v>0</v>
      </c>
      <c r="F58" s="165">
        <v>0</v>
      </c>
      <c r="G58" s="240">
        <v>0</v>
      </c>
      <c r="H58" s="241">
        <v>0</v>
      </c>
    </row>
    <row r="59" spans="1:8" ht="15.75" x14ac:dyDescent="0.25">
      <c r="A59" s="163"/>
      <c r="B59" s="164">
        <f>DATE(25,8,1)</f>
        <v>9345</v>
      </c>
      <c r="C59" s="225">
        <v>0</v>
      </c>
      <c r="D59" s="225">
        <v>0</v>
      </c>
      <c r="E59" s="225">
        <v>0</v>
      </c>
      <c r="F59" s="165">
        <v>0</v>
      </c>
      <c r="G59" s="240">
        <v>0</v>
      </c>
      <c r="H59" s="288">
        <v>0</v>
      </c>
    </row>
    <row r="60" spans="1:8" ht="15.75" x14ac:dyDescent="0.25">
      <c r="A60" s="163"/>
      <c r="B60" s="164">
        <f>DATE(25,9,1)</f>
        <v>9376</v>
      </c>
      <c r="C60" s="225">
        <v>0</v>
      </c>
      <c r="D60" s="225">
        <v>0</v>
      </c>
      <c r="E60" s="225">
        <v>0</v>
      </c>
      <c r="F60" s="165">
        <v>0</v>
      </c>
      <c r="G60" s="240">
        <v>0</v>
      </c>
      <c r="H60" s="288">
        <v>0</v>
      </c>
    </row>
    <row r="61" spans="1:8" ht="15.75" x14ac:dyDescent="0.25">
      <c r="A61" s="163"/>
      <c r="B61" s="164">
        <f>DATE(25,10,1)</f>
        <v>9406</v>
      </c>
      <c r="C61" s="225">
        <v>0</v>
      </c>
      <c r="D61" s="225">
        <v>0</v>
      </c>
      <c r="E61" s="225">
        <v>0</v>
      </c>
      <c r="F61" s="165">
        <v>0</v>
      </c>
      <c r="G61" s="240">
        <v>0</v>
      </c>
      <c r="H61" s="288">
        <v>0</v>
      </c>
    </row>
    <row r="62" spans="1:8" ht="15.75" x14ac:dyDescent="0.25">
      <c r="A62" s="163"/>
      <c r="B62" s="164">
        <f>DATE(25,11,1)</f>
        <v>9437</v>
      </c>
      <c r="C62" s="225">
        <v>0</v>
      </c>
      <c r="D62" s="225">
        <v>0</v>
      </c>
      <c r="E62" s="225">
        <v>0</v>
      </c>
      <c r="F62" s="165">
        <v>0</v>
      </c>
      <c r="G62" s="240">
        <v>0</v>
      </c>
      <c r="H62" s="288">
        <v>0</v>
      </c>
    </row>
    <row r="63" spans="1:8" ht="15.75" thickBot="1" x14ac:dyDescent="0.25">
      <c r="A63" s="166"/>
      <c r="B63" s="164"/>
      <c r="C63" s="225"/>
      <c r="D63" s="225"/>
      <c r="E63" s="225"/>
      <c r="F63" s="165"/>
      <c r="G63" s="240"/>
      <c r="H63" s="241"/>
    </row>
    <row r="64" spans="1:8" ht="17.25" thickTop="1" thickBot="1" x14ac:dyDescent="0.3">
      <c r="A64" s="173" t="s">
        <v>14</v>
      </c>
      <c r="B64" s="174"/>
      <c r="C64" s="227">
        <f>SUM(C58:C63)</f>
        <v>0</v>
      </c>
      <c r="D64" s="229">
        <f>SUM(D58:D63)</f>
        <v>0</v>
      </c>
      <c r="E64" s="270">
        <f>SUM(E58:E63)</f>
        <v>0</v>
      </c>
      <c r="F64" s="175">
        <v>0</v>
      </c>
      <c r="G64" s="244">
        <v>0</v>
      </c>
      <c r="H64" s="245">
        <v>0</v>
      </c>
    </row>
    <row r="65" spans="1:8" ht="15.75" thickTop="1" x14ac:dyDescent="0.2">
      <c r="A65" s="166"/>
      <c r="B65" s="167"/>
      <c r="C65" s="225"/>
      <c r="D65" s="225"/>
      <c r="E65" s="225"/>
      <c r="F65" s="165"/>
      <c r="G65" s="240"/>
      <c r="H65" s="241"/>
    </row>
    <row r="66" spans="1:8" ht="15.75" x14ac:dyDescent="0.25">
      <c r="A66" s="163" t="s">
        <v>69</v>
      </c>
      <c r="B66" s="164">
        <f>DATE(25,7,1)</f>
        <v>9314</v>
      </c>
      <c r="C66" s="225">
        <v>0</v>
      </c>
      <c r="D66" s="225">
        <v>0</v>
      </c>
      <c r="E66" s="225">
        <v>0</v>
      </c>
      <c r="F66" s="165">
        <v>0</v>
      </c>
      <c r="G66" s="240">
        <v>0</v>
      </c>
      <c r="H66" s="241">
        <v>0</v>
      </c>
    </row>
    <row r="67" spans="1:8" ht="15.75" x14ac:dyDescent="0.25">
      <c r="A67" s="163"/>
      <c r="B67" s="164">
        <f>DATE(25,8,1)</f>
        <v>9345</v>
      </c>
      <c r="C67" s="225">
        <v>0</v>
      </c>
      <c r="D67" s="225">
        <v>0</v>
      </c>
      <c r="E67" s="225">
        <v>0</v>
      </c>
      <c r="F67" s="165">
        <v>0</v>
      </c>
      <c r="G67" s="240">
        <v>0</v>
      </c>
      <c r="H67" s="288">
        <v>0</v>
      </c>
    </row>
    <row r="68" spans="1:8" ht="15.75" x14ac:dyDescent="0.25">
      <c r="A68" s="163"/>
      <c r="B68" s="164">
        <f>DATE(25,9,1)</f>
        <v>9376</v>
      </c>
      <c r="C68" s="225">
        <v>0</v>
      </c>
      <c r="D68" s="225">
        <v>0</v>
      </c>
      <c r="E68" s="225">
        <v>0</v>
      </c>
      <c r="F68" s="165">
        <v>0</v>
      </c>
      <c r="G68" s="240">
        <v>0</v>
      </c>
      <c r="H68" s="288">
        <v>0</v>
      </c>
    </row>
    <row r="69" spans="1:8" ht="15.75" x14ac:dyDescent="0.25">
      <c r="A69" s="163"/>
      <c r="B69" s="164">
        <f>DATE(25,10,1)</f>
        <v>9406</v>
      </c>
      <c r="C69" s="225">
        <v>0</v>
      </c>
      <c r="D69" s="225">
        <v>0</v>
      </c>
      <c r="E69" s="225">
        <v>0</v>
      </c>
      <c r="F69" s="165">
        <v>0</v>
      </c>
      <c r="G69" s="240">
        <v>0</v>
      </c>
      <c r="H69" s="288">
        <v>0</v>
      </c>
    </row>
    <row r="70" spans="1:8" ht="15.75" x14ac:dyDescent="0.25">
      <c r="A70" s="163"/>
      <c r="B70" s="164">
        <f>DATE(25,11,1)</f>
        <v>9437</v>
      </c>
      <c r="C70" s="225">
        <v>0</v>
      </c>
      <c r="D70" s="225">
        <v>0</v>
      </c>
      <c r="E70" s="225">
        <v>0</v>
      </c>
      <c r="F70" s="165">
        <v>0</v>
      </c>
      <c r="G70" s="240">
        <v>0</v>
      </c>
      <c r="H70" s="288">
        <v>0</v>
      </c>
    </row>
    <row r="71" spans="1:8" ht="15.75" thickBot="1" x14ac:dyDescent="0.25">
      <c r="A71" s="166"/>
      <c r="B71" s="164"/>
      <c r="C71" s="225"/>
      <c r="D71" s="225"/>
      <c r="E71" s="225"/>
      <c r="F71" s="165"/>
      <c r="G71" s="240"/>
      <c r="H71" s="241"/>
    </row>
    <row r="72" spans="1:8" ht="17.25" thickTop="1" thickBot="1" x14ac:dyDescent="0.3">
      <c r="A72" s="173" t="s">
        <v>14</v>
      </c>
      <c r="B72" s="174"/>
      <c r="C72" s="227">
        <f>SUM(C66:C71)</f>
        <v>0</v>
      </c>
      <c r="D72" s="229">
        <f>SUM(D66:D71)</f>
        <v>0</v>
      </c>
      <c r="E72" s="270">
        <f>SUM(E66:E71)</f>
        <v>0</v>
      </c>
      <c r="F72" s="175">
        <v>0</v>
      </c>
      <c r="G72" s="248">
        <v>0</v>
      </c>
      <c r="H72" s="269">
        <v>0</v>
      </c>
    </row>
    <row r="73" spans="1:8" ht="15.75" thickTop="1" x14ac:dyDescent="0.2">
      <c r="A73" s="166"/>
      <c r="B73" s="178"/>
      <c r="C73" s="228"/>
      <c r="D73" s="228"/>
      <c r="E73" s="228"/>
      <c r="F73" s="179"/>
      <c r="G73" s="246"/>
      <c r="H73" s="247"/>
    </row>
    <row r="74" spans="1:8" ht="15.75" x14ac:dyDescent="0.25">
      <c r="A74" s="163" t="s">
        <v>16</v>
      </c>
      <c r="B74" s="164">
        <f>DATE(25,7,1)</f>
        <v>9314</v>
      </c>
      <c r="C74" s="225">
        <v>0</v>
      </c>
      <c r="D74" s="225">
        <v>0</v>
      </c>
      <c r="E74" s="225">
        <v>0</v>
      </c>
      <c r="F74" s="165">
        <v>0</v>
      </c>
      <c r="G74" s="240">
        <v>0</v>
      </c>
      <c r="H74" s="241">
        <v>0</v>
      </c>
    </row>
    <row r="75" spans="1:8" ht="15.75" x14ac:dyDescent="0.25">
      <c r="A75" s="163"/>
      <c r="B75" s="164">
        <f>DATE(25,8,1)</f>
        <v>9345</v>
      </c>
      <c r="C75" s="225">
        <v>0</v>
      </c>
      <c r="D75" s="225">
        <v>0</v>
      </c>
      <c r="E75" s="225">
        <v>0</v>
      </c>
      <c r="F75" s="165">
        <v>0</v>
      </c>
      <c r="G75" s="240">
        <v>0</v>
      </c>
      <c r="H75" s="288">
        <v>0</v>
      </c>
    </row>
    <row r="76" spans="1:8" ht="15.75" x14ac:dyDescent="0.25">
      <c r="A76" s="163"/>
      <c r="B76" s="164">
        <f>DATE(25,9,1)</f>
        <v>9376</v>
      </c>
      <c r="C76" s="225">
        <v>0</v>
      </c>
      <c r="D76" s="225">
        <v>0</v>
      </c>
      <c r="E76" s="225">
        <v>0</v>
      </c>
      <c r="F76" s="165">
        <v>0</v>
      </c>
      <c r="G76" s="240">
        <v>0</v>
      </c>
      <c r="H76" s="288">
        <v>0</v>
      </c>
    </row>
    <row r="77" spans="1:8" ht="15.75" x14ac:dyDescent="0.25">
      <c r="A77" s="163"/>
      <c r="B77" s="164">
        <f>DATE(25,10,1)</f>
        <v>9406</v>
      </c>
      <c r="C77" s="225">
        <v>0</v>
      </c>
      <c r="D77" s="225">
        <v>0</v>
      </c>
      <c r="E77" s="225">
        <v>0</v>
      </c>
      <c r="F77" s="165">
        <v>0</v>
      </c>
      <c r="G77" s="240">
        <v>0</v>
      </c>
      <c r="H77" s="288">
        <v>0</v>
      </c>
    </row>
    <row r="78" spans="1:8" ht="15.75" x14ac:dyDescent="0.25">
      <c r="A78" s="163"/>
      <c r="B78" s="164">
        <f>DATE(25,11,1)</f>
        <v>9437</v>
      </c>
      <c r="C78" s="225">
        <v>0</v>
      </c>
      <c r="D78" s="225">
        <v>0</v>
      </c>
      <c r="E78" s="225">
        <v>0</v>
      </c>
      <c r="F78" s="165">
        <v>0</v>
      </c>
      <c r="G78" s="240">
        <v>0</v>
      </c>
      <c r="H78" s="288">
        <v>0</v>
      </c>
    </row>
    <row r="79" spans="1:8" ht="16.5" thickBot="1" x14ac:dyDescent="0.3">
      <c r="A79" s="163"/>
      <c r="B79" s="164"/>
      <c r="C79" s="225"/>
      <c r="D79" s="225"/>
      <c r="E79" s="225"/>
      <c r="F79" s="165"/>
      <c r="G79" s="240"/>
      <c r="H79" s="241"/>
    </row>
    <row r="80" spans="1:8" ht="17.25" thickTop="1" thickBot="1" x14ac:dyDescent="0.3">
      <c r="A80" s="173" t="s">
        <v>14</v>
      </c>
      <c r="B80" s="180"/>
      <c r="C80" s="227">
        <f>SUM(C74:C79)</f>
        <v>0</v>
      </c>
      <c r="D80" s="227">
        <f>SUM(D74:D79)</f>
        <v>0</v>
      </c>
      <c r="E80" s="227">
        <f>SUM(E74:E79)</f>
        <v>0</v>
      </c>
      <c r="F80" s="175">
        <v>0</v>
      </c>
      <c r="G80" s="244">
        <v>0</v>
      </c>
      <c r="H80" s="245">
        <v>0</v>
      </c>
    </row>
    <row r="81" spans="1:8" ht="15.75" thickTop="1" x14ac:dyDescent="0.2">
      <c r="A81" s="170"/>
      <c r="B81" s="171"/>
      <c r="C81" s="226"/>
      <c r="D81" s="226"/>
      <c r="E81" s="226"/>
      <c r="F81" s="172"/>
      <c r="G81" s="242"/>
      <c r="H81" s="243"/>
    </row>
    <row r="82" spans="1:8" ht="15.75" x14ac:dyDescent="0.25">
      <c r="A82" s="163" t="s">
        <v>53</v>
      </c>
      <c r="B82" s="164">
        <f>DATE(25,7,1)</f>
        <v>9314</v>
      </c>
      <c r="C82" s="225">
        <v>0</v>
      </c>
      <c r="D82" s="225">
        <v>0</v>
      </c>
      <c r="E82" s="225">
        <v>68164.28</v>
      </c>
      <c r="F82" s="165">
        <v>-1</v>
      </c>
      <c r="G82" s="240">
        <v>0</v>
      </c>
      <c r="H82" s="288">
        <v>0</v>
      </c>
    </row>
    <row r="83" spans="1:8" ht="15.75" x14ac:dyDescent="0.25">
      <c r="A83" s="163"/>
      <c r="B83" s="164">
        <f>DATE(25,8,1)</f>
        <v>9345</v>
      </c>
      <c r="C83" s="225">
        <v>0</v>
      </c>
      <c r="D83" s="225">
        <v>0</v>
      </c>
      <c r="E83" s="225">
        <v>71751.61</v>
      </c>
      <c r="F83" s="165">
        <v>-1</v>
      </c>
      <c r="G83" s="240">
        <v>0</v>
      </c>
      <c r="H83" s="288">
        <v>0</v>
      </c>
    </row>
    <row r="84" spans="1:8" ht="15.75" x14ac:dyDescent="0.25">
      <c r="A84" s="163"/>
      <c r="B84" s="164">
        <f>DATE(25,9,1)</f>
        <v>9376</v>
      </c>
      <c r="C84" s="225">
        <v>0</v>
      </c>
      <c r="D84" s="225">
        <v>0</v>
      </c>
      <c r="E84" s="225">
        <v>43866.52</v>
      </c>
      <c r="F84" s="165">
        <v>-1</v>
      </c>
      <c r="G84" s="240">
        <v>0</v>
      </c>
      <c r="H84" s="288">
        <v>0</v>
      </c>
    </row>
    <row r="85" spans="1:8" ht="15.75" x14ac:dyDescent="0.25">
      <c r="A85" s="163"/>
      <c r="B85" s="164">
        <f>DATE(25,10,1)</f>
        <v>9406</v>
      </c>
      <c r="C85" s="225">
        <v>0</v>
      </c>
      <c r="D85" s="225">
        <v>0</v>
      </c>
      <c r="E85" s="225">
        <v>65540.570000000007</v>
      </c>
      <c r="F85" s="165">
        <v>-1</v>
      </c>
      <c r="G85" s="240">
        <v>0</v>
      </c>
      <c r="H85" s="288">
        <v>0</v>
      </c>
    </row>
    <row r="86" spans="1:8" ht="15.75" x14ac:dyDescent="0.25">
      <c r="A86" s="163"/>
      <c r="B86" s="164">
        <f>DATE(25,11,1)</f>
        <v>9437</v>
      </c>
      <c r="C86" s="225">
        <v>0</v>
      </c>
      <c r="D86" s="225">
        <v>0</v>
      </c>
      <c r="E86" s="225">
        <v>95014</v>
      </c>
      <c r="F86" s="165">
        <v>-1</v>
      </c>
      <c r="G86" s="240">
        <v>0</v>
      </c>
      <c r="H86" s="288">
        <v>0</v>
      </c>
    </row>
    <row r="87" spans="1:8" ht="15.75" thickBot="1" x14ac:dyDescent="0.25">
      <c r="A87" s="166"/>
      <c r="B87" s="167"/>
      <c r="C87" s="225"/>
      <c r="D87" s="225"/>
      <c r="E87" s="225"/>
      <c r="F87" s="165"/>
      <c r="G87" s="240"/>
      <c r="H87" s="241"/>
    </row>
    <row r="88" spans="1:8" ht="17.25" thickTop="1" thickBot="1" x14ac:dyDescent="0.3">
      <c r="A88" s="173" t="s">
        <v>14</v>
      </c>
      <c r="B88" s="174"/>
      <c r="C88" s="227">
        <f>SUM(C82:C87)</f>
        <v>0</v>
      </c>
      <c r="D88" s="227">
        <f>SUM(D82:D87)</f>
        <v>0</v>
      </c>
      <c r="E88" s="227">
        <f>SUM(E82:E87)</f>
        <v>344336.98</v>
      </c>
      <c r="F88" s="175">
        <v>-1</v>
      </c>
      <c r="G88" s="291">
        <v>0</v>
      </c>
      <c r="H88" s="292">
        <v>0</v>
      </c>
    </row>
    <row r="89" spans="1:8" ht="15.75" thickTop="1" x14ac:dyDescent="0.2">
      <c r="A89" s="166"/>
      <c r="B89" s="167"/>
      <c r="C89" s="225"/>
      <c r="D89" s="225"/>
      <c r="E89" s="225"/>
      <c r="F89" s="165"/>
      <c r="G89" s="240"/>
      <c r="H89" s="241"/>
    </row>
    <row r="90" spans="1:8" ht="15.75" x14ac:dyDescent="0.25">
      <c r="A90" s="163" t="s">
        <v>54</v>
      </c>
      <c r="B90" s="164">
        <f>DATE(25,7,1)</f>
        <v>9314</v>
      </c>
      <c r="C90" s="225">
        <v>0</v>
      </c>
      <c r="D90" s="225">
        <v>0</v>
      </c>
      <c r="E90" s="225">
        <v>0</v>
      </c>
      <c r="F90" s="165">
        <v>0</v>
      </c>
      <c r="G90" s="240">
        <v>0</v>
      </c>
      <c r="H90" s="241">
        <v>0</v>
      </c>
    </row>
    <row r="91" spans="1:8" ht="15.75" x14ac:dyDescent="0.25">
      <c r="A91" s="163"/>
      <c r="B91" s="164">
        <f>DATE(25,8,1)</f>
        <v>9345</v>
      </c>
      <c r="C91" s="225">
        <v>0</v>
      </c>
      <c r="D91" s="225">
        <v>0</v>
      </c>
      <c r="E91" s="225">
        <v>0</v>
      </c>
      <c r="F91" s="165">
        <v>0</v>
      </c>
      <c r="G91" s="240">
        <v>0</v>
      </c>
      <c r="H91" s="288">
        <v>0</v>
      </c>
    </row>
    <row r="92" spans="1:8" ht="15.75" x14ac:dyDescent="0.25">
      <c r="A92" s="163"/>
      <c r="B92" s="164">
        <f>DATE(25,9,1)</f>
        <v>9376</v>
      </c>
      <c r="C92" s="225">
        <v>0</v>
      </c>
      <c r="D92" s="225">
        <v>0</v>
      </c>
      <c r="E92" s="225">
        <v>0</v>
      </c>
      <c r="F92" s="165">
        <v>0</v>
      </c>
      <c r="G92" s="240">
        <v>0</v>
      </c>
      <c r="H92" s="288">
        <v>0</v>
      </c>
    </row>
    <row r="93" spans="1:8" ht="15.75" x14ac:dyDescent="0.25">
      <c r="A93" s="163"/>
      <c r="B93" s="164">
        <f>DATE(25,10,1)</f>
        <v>9406</v>
      </c>
      <c r="C93" s="225">
        <v>0</v>
      </c>
      <c r="D93" s="225">
        <v>0</v>
      </c>
      <c r="E93" s="225">
        <v>0</v>
      </c>
      <c r="F93" s="165">
        <v>0</v>
      </c>
      <c r="G93" s="240">
        <v>0</v>
      </c>
      <c r="H93" s="288">
        <v>0</v>
      </c>
    </row>
    <row r="94" spans="1:8" ht="15.75" x14ac:dyDescent="0.25">
      <c r="A94" s="163"/>
      <c r="B94" s="164">
        <f>DATE(25,11,1)</f>
        <v>9437</v>
      </c>
      <c r="C94" s="225">
        <v>0</v>
      </c>
      <c r="D94" s="225">
        <v>0</v>
      </c>
      <c r="E94" s="225">
        <v>0</v>
      </c>
      <c r="F94" s="165">
        <v>0</v>
      </c>
      <c r="G94" s="240">
        <v>0</v>
      </c>
      <c r="H94" s="288">
        <v>0</v>
      </c>
    </row>
    <row r="95" spans="1:8" ht="15.75" thickBot="1" x14ac:dyDescent="0.25">
      <c r="A95" s="166"/>
      <c r="B95" s="167"/>
      <c r="C95" s="225"/>
      <c r="D95" s="225"/>
      <c r="E95" s="225"/>
      <c r="F95" s="165"/>
      <c r="G95" s="240"/>
      <c r="H95" s="241"/>
    </row>
    <row r="96" spans="1:8" ht="17.25" thickTop="1" thickBot="1" x14ac:dyDescent="0.3">
      <c r="A96" s="181" t="s">
        <v>14</v>
      </c>
      <c r="B96" s="182"/>
      <c r="C96" s="229">
        <f>SUM(C90:C95)</f>
        <v>0</v>
      </c>
      <c r="D96" s="229">
        <f>SUM(D90:D95)</f>
        <v>0</v>
      </c>
      <c r="E96" s="229">
        <f>SUM(E90:E95)</f>
        <v>0</v>
      </c>
      <c r="F96" s="175">
        <v>0</v>
      </c>
      <c r="G96" s="244">
        <v>0</v>
      </c>
      <c r="H96" s="245">
        <v>0</v>
      </c>
    </row>
    <row r="97" spans="1:8" ht="15.75" thickTop="1" x14ac:dyDescent="0.2">
      <c r="A97" s="166"/>
      <c r="B97" s="167"/>
      <c r="C97" s="225"/>
      <c r="D97" s="225"/>
      <c r="E97" s="225"/>
      <c r="F97" s="165"/>
      <c r="G97" s="240"/>
      <c r="H97" s="241"/>
    </row>
    <row r="98" spans="1:8" ht="15.75" x14ac:dyDescent="0.25">
      <c r="A98" s="163" t="s">
        <v>37</v>
      </c>
      <c r="B98" s="164">
        <f>DATE(25,7,1)</f>
        <v>9314</v>
      </c>
      <c r="C98" s="225">
        <v>0</v>
      </c>
      <c r="D98" s="225">
        <v>0</v>
      </c>
      <c r="E98" s="225">
        <v>0</v>
      </c>
      <c r="F98" s="165">
        <v>0</v>
      </c>
      <c r="G98" s="240">
        <v>0</v>
      </c>
      <c r="H98" s="288">
        <v>0</v>
      </c>
    </row>
    <row r="99" spans="1:8" ht="15.75" x14ac:dyDescent="0.25">
      <c r="A99" s="163"/>
      <c r="B99" s="164">
        <f>DATE(25,8,1)</f>
        <v>9345</v>
      </c>
      <c r="C99" s="225">
        <v>0</v>
      </c>
      <c r="D99" s="225">
        <v>0</v>
      </c>
      <c r="E99" s="225">
        <v>0</v>
      </c>
      <c r="F99" s="165">
        <v>0</v>
      </c>
      <c r="G99" s="240">
        <v>0</v>
      </c>
      <c r="H99" s="288">
        <v>0</v>
      </c>
    </row>
    <row r="100" spans="1:8" ht="15.75" x14ac:dyDescent="0.25">
      <c r="A100" s="163"/>
      <c r="B100" s="164">
        <f>DATE(25,9,1)</f>
        <v>9376</v>
      </c>
      <c r="C100" s="225">
        <v>0</v>
      </c>
      <c r="D100" s="225">
        <v>0</v>
      </c>
      <c r="E100" s="225">
        <v>0</v>
      </c>
      <c r="F100" s="165">
        <v>0</v>
      </c>
      <c r="G100" s="240">
        <v>0</v>
      </c>
      <c r="H100" s="288">
        <v>0</v>
      </c>
    </row>
    <row r="101" spans="1:8" ht="15.75" x14ac:dyDescent="0.25">
      <c r="A101" s="163"/>
      <c r="B101" s="164">
        <f>DATE(25,10,1)</f>
        <v>9406</v>
      </c>
      <c r="C101" s="225">
        <v>0</v>
      </c>
      <c r="D101" s="225">
        <v>0</v>
      </c>
      <c r="E101" s="225">
        <v>0</v>
      </c>
      <c r="F101" s="165">
        <v>0</v>
      </c>
      <c r="G101" s="240">
        <v>0</v>
      </c>
      <c r="H101" s="288">
        <v>0</v>
      </c>
    </row>
    <row r="102" spans="1:8" ht="15.75" x14ac:dyDescent="0.25">
      <c r="A102" s="163"/>
      <c r="B102" s="164">
        <f>DATE(25,11,1)</f>
        <v>9437</v>
      </c>
      <c r="C102" s="225">
        <v>0</v>
      </c>
      <c r="D102" s="225">
        <v>0</v>
      </c>
      <c r="E102" s="225">
        <v>0</v>
      </c>
      <c r="F102" s="165">
        <v>0</v>
      </c>
      <c r="G102" s="240">
        <v>0</v>
      </c>
      <c r="H102" s="288">
        <v>0</v>
      </c>
    </row>
    <row r="103" spans="1:8" ht="15.75" thickBot="1" x14ac:dyDescent="0.25">
      <c r="A103" s="166"/>
      <c r="B103" s="167"/>
      <c r="C103" s="225"/>
      <c r="D103" s="225"/>
      <c r="E103" s="225"/>
      <c r="F103" s="165"/>
      <c r="G103" s="240"/>
      <c r="H103" s="241"/>
    </row>
    <row r="104" spans="1:8" ht="17.25" thickTop="1" thickBot="1" x14ac:dyDescent="0.3">
      <c r="A104" s="173" t="s">
        <v>14</v>
      </c>
      <c r="B104" s="174"/>
      <c r="C104" s="227">
        <f>SUM(C98:C103)</f>
        <v>0</v>
      </c>
      <c r="D104" s="227">
        <f>SUM(D98:D103)</f>
        <v>0</v>
      </c>
      <c r="E104" s="227">
        <f>SUM(E98:E103)</f>
        <v>0</v>
      </c>
      <c r="F104" s="175">
        <v>0</v>
      </c>
      <c r="G104" s="244">
        <v>0</v>
      </c>
      <c r="H104" s="245">
        <v>0</v>
      </c>
    </row>
    <row r="105" spans="1:8" ht="15.75" thickTop="1" x14ac:dyDescent="0.2">
      <c r="A105" s="166"/>
      <c r="B105" s="167"/>
      <c r="C105" s="225"/>
      <c r="D105" s="225"/>
      <c r="E105" s="225"/>
      <c r="F105" s="165"/>
      <c r="G105" s="240"/>
      <c r="H105" s="288"/>
    </row>
    <row r="106" spans="1:8" ht="15.75" x14ac:dyDescent="0.25">
      <c r="A106" s="163" t="s">
        <v>57</v>
      </c>
      <c r="B106" s="164">
        <f>DATE(25,7,1)</f>
        <v>9314</v>
      </c>
      <c r="C106" s="225">
        <v>747329</v>
      </c>
      <c r="D106" s="225">
        <v>40772.980000000003</v>
      </c>
      <c r="E106" s="225">
        <v>0</v>
      </c>
      <c r="F106" s="165">
        <v>1</v>
      </c>
      <c r="G106" s="240">
        <f>+D106/C106</f>
        <v>5.4558273531470081E-2</v>
      </c>
      <c r="H106" s="288">
        <f>1-G106</f>
        <v>0.94544172646852997</v>
      </c>
    </row>
    <row r="107" spans="1:8" ht="15.75" x14ac:dyDescent="0.25">
      <c r="A107" s="163"/>
      <c r="B107" s="164">
        <f>DATE(25,8,1)</f>
        <v>9345</v>
      </c>
      <c r="C107" s="225">
        <v>591513</v>
      </c>
      <c r="D107" s="225">
        <v>30682.93</v>
      </c>
      <c r="E107" s="225">
        <v>0</v>
      </c>
      <c r="F107" s="165">
        <v>1</v>
      </c>
      <c r="G107" s="240">
        <f>+D107/C107</f>
        <v>5.1871945333407721E-2</v>
      </c>
      <c r="H107" s="288">
        <f>1-G107</f>
        <v>0.94812805466659222</v>
      </c>
    </row>
    <row r="108" spans="1:8" ht="15.75" x14ac:dyDescent="0.25">
      <c r="A108" s="163"/>
      <c r="B108" s="164">
        <f>DATE(25,9,1)</f>
        <v>9376</v>
      </c>
      <c r="C108" s="225">
        <v>640949</v>
      </c>
      <c r="D108" s="225">
        <v>32931.440000000002</v>
      </c>
      <c r="E108" s="225">
        <v>0</v>
      </c>
      <c r="F108" s="165">
        <v>1</v>
      </c>
      <c r="G108" s="240">
        <f>+D108/C108</f>
        <v>5.1379189295872221E-2</v>
      </c>
      <c r="H108" s="288">
        <f>1-G108</f>
        <v>0.94862081070412774</v>
      </c>
    </row>
    <row r="109" spans="1:8" ht="15.75" x14ac:dyDescent="0.25">
      <c r="A109" s="163"/>
      <c r="B109" s="164">
        <f>DATE(25,10,1)</f>
        <v>9406</v>
      </c>
      <c r="C109" s="225">
        <v>484836</v>
      </c>
      <c r="D109" s="225">
        <v>17011.36</v>
      </c>
      <c r="E109" s="225">
        <v>9398.39</v>
      </c>
      <c r="F109" s="165">
        <f>+(D109-E109)/E109</f>
        <v>0.81002916456967644</v>
      </c>
      <c r="G109" s="240">
        <f>+D109/C109</f>
        <v>3.5086833485962261E-2</v>
      </c>
      <c r="H109" s="288">
        <f>1-G109</f>
        <v>0.96491316651403769</v>
      </c>
    </row>
    <row r="110" spans="1:8" ht="15.75" x14ac:dyDescent="0.25">
      <c r="A110" s="163"/>
      <c r="B110" s="164">
        <f>DATE(25,11,1)</f>
        <v>9437</v>
      </c>
      <c r="C110" s="225">
        <v>362276</v>
      </c>
      <c r="D110" s="225">
        <v>6051.92</v>
      </c>
      <c r="E110" s="225">
        <v>46941.19</v>
      </c>
      <c r="F110" s="165"/>
      <c r="G110" s="240">
        <f>+D110/C110</f>
        <v>1.6705274431648799E-2</v>
      </c>
      <c r="H110" s="288">
        <f>1-G110</f>
        <v>0.98329472556835118</v>
      </c>
    </row>
    <row r="111" spans="1:8" ht="15.75" thickBot="1" x14ac:dyDescent="0.25">
      <c r="A111" s="166"/>
      <c r="B111" s="167"/>
      <c r="C111" s="225"/>
      <c r="D111" s="225"/>
      <c r="E111" s="225"/>
      <c r="F111" s="165"/>
      <c r="G111" s="240"/>
      <c r="H111" s="241"/>
    </row>
    <row r="112" spans="1:8" ht="17.25" thickTop="1" thickBot="1" x14ac:dyDescent="0.3">
      <c r="A112" s="168" t="s">
        <v>14</v>
      </c>
      <c r="B112" s="154"/>
      <c r="C112" s="222">
        <f>SUM(C106:C111)</f>
        <v>2826903</v>
      </c>
      <c r="D112" s="222">
        <f>SUM(D106:D111)</f>
        <v>127450.63</v>
      </c>
      <c r="E112" s="222">
        <f>SUM(E106:E111)</f>
        <v>56339.58</v>
      </c>
      <c r="F112" s="175">
        <f>+(D112-E112)/E112</f>
        <v>1.2621863705764225</v>
      </c>
      <c r="G112" s="244">
        <f>+D112/C112</f>
        <v>4.5084896793416686E-2</v>
      </c>
      <c r="H112" s="245">
        <f>1-G112</f>
        <v>0.95491510320658335</v>
      </c>
    </row>
    <row r="113" spans="1:8" ht="16.5" thickTop="1" thickBot="1" x14ac:dyDescent="0.25">
      <c r="A113" s="170"/>
      <c r="B113" s="171"/>
      <c r="C113" s="226"/>
      <c r="D113" s="226"/>
      <c r="E113" s="226"/>
      <c r="F113" s="172"/>
      <c r="G113" s="242"/>
      <c r="H113" s="243"/>
    </row>
    <row r="114" spans="1:8" ht="17.25" thickTop="1" thickBot="1" x14ac:dyDescent="0.3">
      <c r="A114" s="183" t="s">
        <v>38</v>
      </c>
      <c r="B114" s="154"/>
      <c r="C114" s="222">
        <f>C112+C104+C80+C64+C48+C32+C16+C40+C96+C24+C72+C88+C56</f>
        <v>2826903</v>
      </c>
      <c r="D114" s="222">
        <f>D112+D104+D80+D64+D48+D32+D16+D40+D96+D24+D72+D88+D56</f>
        <v>127450.63</v>
      </c>
      <c r="E114" s="222">
        <f>E112+E104+E80+E64+E48+E32+E16+E40+E96+E24+E72+E88+E56</f>
        <v>400676.56</v>
      </c>
      <c r="F114" s="175">
        <f>+(D114-E114)/E114</f>
        <v>-0.68191143999040027</v>
      </c>
      <c r="G114" s="235">
        <f>D114/C114</f>
        <v>4.5084896793416686E-2</v>
      </c>
      <c r="H114" s="236">
        <f>1-G114</f>
        <v>0.95491510320658335</v>
      </c>
    </row>
    <row r="115" spans="1:8" ht="17.25" thickTop="1" thickBot="1" x14ac:dyDescent="0.3">
      <c r="A115" s="183"/>
      <c r="B115" s="154"/>
      <c r="C115" s="222"/>
      <c r="D115" s="222"/>
      <c r="E115" s="222"/>
      <c r="F115" s="169"/>
      <c r="G115" s="235"/>
      <c r="H115" s="236"/>
    </row>
    <row r="116" spans="1:8" ht="17.25" thickTop="1" thickBot="1" x14ac:dyDescent="0.3">
      <c r="A116" s="183" t="s">
        <v>39</v>
      </c>
      <c r="B116" s="154"/>
      <c r="C116" s="222">
        <f>+C14+C22+C30+C38+C46+C54+C62+C70+C78+C86+C94+C102+C110</f>
        <v>362276</v>
      </c>
      <c r="D116" s="222">
        <f>+D14+D22+D30+D38+D46+D54+D62+D70+D78+D86+D94+D102+D110</f>
        <v>6051.92</v>
      </c>
      <c r="E116" s="222">
        <f>+E14+E22+E30+E38+E46+E54+E62+E70+E78+E86+E94+E102+E110</f>
        <v>141955.19</v>
      </c>
      <c r="F116" s="175">
        <f>+(D116-E116)/E116</f>
        <v>-0.95736739178046248</v>
      </c>
      <c r="G116" s="235">
        <f>D116/C116</f>
        <v>1.6705274431648799E-2</v>
      </c>
      <c r="H116" s="245">
        <f>1-G116</f>
        <v>0.98329472556835118</v>
      </c>
    </row>
    <row r="117" spans="1:8" ht="16.5" thickTop="1" x14ac:dyDescent="0.25">
      <c r="A117" s="184"/>
      <c r="B117" s="185"/>
      <c r="C117" s="230"/>
      <c r="D117" s="230"/>
      <c r="E117" s="230"/>
      <c r="F117" s="186"/>
      <c r="G117" s="249"/>
      <c r="H117" s="249"/>
    </row>
    <row r="118" spans="1:8" ht="18.75" x14ac:dyDescent="0.3">
      <c r="A118" s="187" t="s">
        <v>49</v>
      </c>
      <c r="B118" s="188"/>
      <c r="C118" s="231"/>
      <c r="D118" s="231"/>
      <c r="E118" s="231"/>
      <c r="F118" s="189"/>
      <c r="G118" s="250"/>
      <c r="H118" s="250"/>
    </row>
    <row r="119" spans="1:8" ht="15.75" x14ac:dyDescent="0.25">
      <c r="A119" s="190"/>
      <c r="B119" s="188"/>
      <c r="C119" s="231"/>
      <c r="D119" s="231"/>
      <c r="E119" s="231"/>
      <c r="F119" s="189"/>
      <c r="G119" s="256"/>
      <c r="H119" s="256"/>
    </row>
  </sheetData>
  <printOptions horizontalCentered="1"/>
  <pageMargins left="0.7" right="0.45" top="0.25" bottom="0.25" header="0.3" footer="0.3"/>
  <pageSetup scale="64" orientation="landscape" r:id="rId1"/>
  <rowBreaks count="2" manualBreakCount="2">
    <brk id="56" max="16383" man="1"/>
    <brk id="1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20"/>
  <sheetViews>
    <sheetView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1" customWidth="1"/>
    <col min="2" max="2" width="9.6640625" style="151" customWidth="1"/>
    <col min="3" max="3" width="18.33203125" style="232" customWidth="1"/>
    <col min="4" max="4" width="16.44140625" style="232" customWidth="1"/>
    <col min="5" max="5" width="15.5546875" style="232" customWidth="1"/>
    <col min="6" max="6" width="9.6640625" style="151" customWidth="1"/>
    <col min="7" max="7" width="9.6640625" style="251" customWidth="1"/>
    <col min="8" max="8" width="10.88671875" style="251" customWidth="1"/>
    <col min="9" max="9" width="1.6640625" style="151" customWidth="1"/>
    <col min="10" max="16384" width="9.6640625" style="151"/>
  </cols>
  <sheetData>
    <row r="1" spans="1:9" ht="18" x14ac:dyDescent="0.25">
      <c r="A1" s="148" t="s">
        <v>0</v>
      </c>
      <c r="B1" s="149"/>
      <c r="C1" s="221"/>
      <c r="D1" s="221"/>
      <c r="E1" s="221"/>
      <c r="F1" s="149"/>
      <c r="G1" s="233"/>
      <c r="H1" s="233"/>
      <c r="I1" s="150"/>
    </row>
    <row r="2" spans="1:9" ht="18.75" x14ac:dyDescent="0.3">
      <c r="A2" s="152" t="s">
        <v>41</v>
      </c>
      <c r="B2" s="149"/>
      <c r="C2" s="221"/>
      <c r="D2" s="221"/>
      <c r="E2" s="221"/>
      <c r="F2" s="149"/>
      <c r="G2" s="233"/>
      <c r="H2" s="233"/>
      <c r="I2" s="150"/>
    </row>
    <row r="3" spans="1:9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  <c r="I3" s="150"/>
    </row>
    <row r="4" spans="1:9" ht="18" x14ac:dyDescent="0.25">
      <c r="A4" s="284" t="s">
        <v>77</v>
      </c>
      <c r="B4" s="149"/>
      <c r="C4" s="221"/>
      <c r="D4" s="221"/>
      <c r="E4" s="221"/>
      <c r="F4" s="149"/>
      <c r="G4" s="233"/>
      <c r="H4" s="233"/>
      <c r="I4" s="150"/>
    </row>
    <row r="5" spans="1:9" x14ac:dyDescent="0.2">
      <c r="A5" s="285" t="s">
        <v>73</v>
      </c>
      <c r="B5" s="149"/>
      <c r="C5" s="221"/>
      <c r="D5" s="221"/>
      <c r="E5" s="221"/>
      <c r="F5" s="149"/>
      <c r="G5" s="233"/>
      <c r="H5" s="233"/>
      <c r="I5" s="150"/>
    </row>
    <row r="6" spans="1:9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  <c r="I6" s="150"/>
    </row>
    <row r="7" spans="1:9" ht="16.5" thickTop="1" x14ac:dyDescent="0.25">
      <c r="A7" s="153"/>
      <c r="B7" s="154" t="s">
        <v>2</v>
      </c>
      <c r="C7" s="222" t="s">
        <v>44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  <c r="I7" s="156"/>
    </row>
    <row r="8" spans="1:9" ht="16.5" thickBot="1" x14ac:dyDescent="0.3">
      <c r="A8" s="157" t="s">
        <v>5</v>
      </c>
      <c r="B8" s="158" t="s">
        <v>6</v>
      </c>
      <c r="C8" s="223" t="s">
        <v>45</v>
      </c>
      <c r="D8" s="223" t="s">
        <v>46</v>
      </c>
      <c r="E8" s="223" t="s">
        <v>46</v>
      </c>
      <c r="F8" s="159" t="s">
        <v>8</v>
      </c>
      <c r="G8" s="237" t="s">
        <v>35</v>
      </c>
      <c r="H8" s="253" t="s">
        <v>47</v>
      </c>
      <c r="I8" s="156"/>
    </row>
    <row r="9" spans="1:9" ht="15.75" customHeight="1" thickTop="1" x14ac:dyDescent="0.25">
      <c r="A9" s="160"/>
      <c r="B9" s="161"/>
      <c r="C9" s="224"/>
      <c r="D9" s="224"/>
      <c r="E9" s="224"/>
      <c r="F9" s="162"/>
      <c r="G9" s="238"/>
      <c r="H9" s="239"/>
      <c r="I9" s="156"/>
    </row>
    <row r="10" spans="1:9" ht="15.75" x14ac:dyDescent="0.25">
      <c r="A10" s="163" t="s">
        <v>36</v>
      </c>
      <c r="B10" s="164">
        <f>DATE(25,7,1)</f>
        <v>9314</v>
      </c>
      <c r="C10" s="225">
        <v>118765145.81999999</v>
      </c>
      <c r="D10" s="225">
        <v>11189124.52</v>
      </c>
      <c r="E10" s="225">
        <v>11227961.560000001</v>
      </c>
      <c r="F10" s="165">
        <f>(+D10-E10)/E10</f>
        <v>-3.4589573354400554E-3</v>
      </c>
      <c r="G10" s="240">
        <f>D10/C10</f>
        <v>9.4212190308410812E-2</v>
      </c>
      <c r="H10" s="241">
        <f>1-G10</f>
        <v>0.90578780969158923</v>
      </c>
      <c r="I10" s="156"/>
    </row>
    <row r="11" spans="1:9" ht="15.75" x14ac:dyDescent="0.25">
      <c r="A11" s="163"/>
      <c r="B11" s="164">
        <f>DATE(25,8,1)</f>
        <v>9345</v>
      </c>
      <c r="C11" s="225">
        <v>123114683.18000001</v>
      </c>
      <c r="D11" s="225">
        <v>12025915.57</v>
      </c>
      <c r="E11" s="225">
        <v>11755000.6</v>
      </c>
      <c r="F11" s="165">
        <f>(+D11-E11)/E11</f>
        <v>2.304678487213354E-2</v>
      </c>
      <c r="G11" s="240">
        <f>D11/C11</f>
        <v>9.7680595517737653E-2</v>
      </c>
      <c r="H11" s="241">
        <f>1-G11</f>
        <v>0.90231940448226233</v>
      </c>
      <c r="I11" s="156"/>
    </row>
    <row r="12" spans="1:9" ht="15.75" x14ac:dyDescent="0.25">
      <c r="A12" s="163"/>
      <c r="B12" s="164">
        <f>DATE(25,9,1)</f>
        <v>9376</v>
      </c>
      <c r="C12" s="225">
        <v>109442512</v>
      </c>
      <c r="D12" s="225">
        <v>9660904.2300000004</v>
      </c>
      <c r="E12" s="225">
        <v>10612528.25</v>
      </c>
      <c r="F12" s="165">
        <f>(+D12-E12)/E12</f>
        <v>-8.9669869194458879E-2</v>
      </c>
      <c r="G12" s="240">
        <f>D12/C12</f>
        <v>8.8273780028002291E-2</v>
      </c>
      <c r="H12" s="241">
        <f>1-G12</f>
        <v>0.91172621997199776</v>
      </c>
      <c r="I12" s="156"/>
    </row>
    <row r="13" spans="1:9" ht="15.75" x14ac:dyDescent="0.25">
      <c r="A13" s="163"/>
      <c r="B13" s="164">
        <f>DATE(25,10,1)</f>
        <v>9406</v>
      </c>
      <c r="C13" s="225">
        <v>117030493.84</v>
      </c>
      <c r="D13" s="225">
        <v>11102343.91</v>
      </c>
      <c r="E13" s="225">
        <v>10410698.33</v>
      </c>
      <c r="F13" s="165">
        <f>(+D13-E13)/E13</f>
        <v>6.6436040895250889E-2</v>
      </c>
      <c r="G13" s="240">
        <f>D13/C13</f>
        <v>9.4867102972142764E-2</v>
      </c>
      <c r="H13" s="241">
        <f>1-G13</f>
        <v>0.90513289702785726</v>
      </c>
      <c r="I13" s="156"/>
    </row>
    <row r="14" spans="1:9" ht="15.75" x14ac:dyDescent="0.25">
      <c r="A14" s="163"/>
      <c r="B14" s="164">
        <f>DATE(25,11,1)</f>
        <v>9437</v>
      </c>
      <c r="C14" s="225">
        <v>113223158.08</v>
      </c>
      <c r="D14" s="225">
        <v>10890685.060000001</v>
      </c>
      <c r="E14" s="225">
        <v>11351688.85</v>
      </c>
      <c r="F14" s="165">
        <f>(+D14-E14)/E14</f>
        <v>-4.0611031194710656E-2</v>
      </c>
      <c r="G14" s="240">
        <f>D14/C14</f>
        <v>9.618778741628968E-2</v>
      </c>
      <c r="H14" s="241">
        <f>1-G14</f>
        <v>0.90381221258371036</v>
      </c>
      <c r="I14" s="156"/>
    </row>
    <row r="15" spans="1:9" ht="15.75" thickBot="1" x14ac:dyDescent="0.25">
      <c r="A15" s="166"/>
      <c r="B15" s="167"/>
      <c r="C15" s="225"/>
      <c r="D15" s="225"/>
      <c r="E15" s="225"/>
      <c r="F15" s="165"/>
      <c r="G15" s="240"/>
      <c r="H15" s="241"/>
      <c r="I15" s="156"/>
    </row>
    <row r="16" spans="1:9" ht="17.25" thickTop="1" thickBot="1" x14ac:dyDescent="0.3">
      <c r="A16" s="168" t="s">
        <v>14</v>
      </c>
      <c r="B16" s="154"/>
      <c r="C16" s="222">
        <f>SUM(C10:C15)</f>
        <v>581575992.92000008</v>
      </c>
      <c r="D16" s="222">
        <f>SUM(D10:D15)</f>
        <v>54868973.290000007</v>
      </c>
      <c r="E16" s="222">
        <f>SUM(E10:E15)</f>
        <v>55357877.589999996</v>
      </c>
      <c r="F16" s="169">
        <f>(+D16-E16)/E16</f>
        <v>-8.8317023933068318E-3</v>
      </c>
      <c r="G16" s="235">
        <f>D16/C16</f>
        <v>9.4345320229797774E-2</v>
      </c>
      <c r="H16" s="236">
        <f>1-G16</f>
        <v>0.9056546797702022</v>
      </c>
      <c r="I16" s="156"/>
    </row>
    <row r="17" spans="1:9" ht="15.75" thickTop="1" x14ac:dyDescent="0.2">
      <c r="A17" s="170"/>
      <c r="B17" s="171"/>
      <c r="C17" s="226"/>
      <c r="D17" s="226"/>
      <c r="E17" s="226"/>
      <c r="F17" s="172"/>
      <c r="G17" s="242"/>
      <c r="H17" s="243"/>
      <c r="I17" s="156"/>
    </row>
    <row r="18" spans="1:9" ht="15.75" x14ac:dyDescent="0.25">
      <c r="A18" s="19" t="s">
        <v>48</v>
      </c>
      <c r="B18" s="164">
        <f>DATE(25,7,1)</f>
        <v>9314</v>
      </c>
      <c r="C18" s="225">
        <v>75801887.219999999</v>
      </c>
      <c r="D18" s="225">
        <v>7699908.8200000003</v>
      </c>
      <c r="E18" s="225">
        <v>6199829.7599999998</v>
      </c>
      <c r="F18" s="165">
        <f>(+D18-E18)/E18</f>
        <v>0.24195487909655128</v>
      </c>
      <c r="G18" s="240">
        <f>D18/C18</f>
        <v>0.10157938149550995</v>
      </c>
      <c r="H18" s="241">
        <f>1-G18</f>
        <v>0.89842061850449006</v>
      </c>
      <c r="I18" s="156"/>
    </row>
    <row r="19" spans="1:9" ht="15.75" x14ac:dyDescent="0.25">
      <c r="A19" s="19"/>
      <c r="B19" s="164">
        <f>DATE(25,8,1)</f>
        <v>9345</v>
      </c>
      <c r="C19" s="225">
        <v>76875873.920000002</v>
      </c>
      <c r="D19" s="225">
        <v>7656381.6799999997</v>
      </c>
      <c r="E19" s="225">
        <v>6511097.2999999998</v>
      </c>
      <c r="F19" s="165">
        <f>(+D19-E19)/E19</f>
        <v>0.17589729153640507</v>
      </c>
      <c r="G19" s="240">
        <f>D19/C19</f>
        <v>9.9594076653587382E-2</v>
      </c>
      <c r="H19" s="241">
        <f>1-G19</f>
        <v>0.90040592334641256</v>
      </c>
      <c r="I19" s="156"/>
    </row>
    <row r="20" spans="1:9" ht="15.75" x14ac:dyDescent="0.25">
      <c r="A20" s="19"/>
      <c r="B20" s="164">
        <f>DATE(25,9,1)</f>
        <v>9376</v>
      </c>
      <c r="C20" s="225">
        <v>72882283.359999999</v>
      </c>
      <c r="D20" s="225">
        <v>7340776.8799999999</v>
      </c>
      <c r="E20" s="225">
        <v>6272930.8499999996</v>
      </c>
      <c r="F20" s="165">
        <f>(+D20-E20)/E20</f>
        <v>0.17023079889363046</v>
      </c>
      <c r="G20" s="240">
        <f>D20/C20</f>
        <v>0.1007210057311245</v>
      </c>
      <c r="H20" s="241">
        <f>1-G20</f>
        <v>0.89927899426887548</v>
      </c>
      <c r="I20" s="156"/>
    </row>
    <row r="21" spans="1:9" ht="15.75" x14ac:dyDescent="0.25">
      <c r="A21" s="19"/>
      <c r="B21" s="164">
        <f>DATE(25,10,1)</f>
        <v>9406</v>
      </c>
      <c r="C21" s="225">
        <v>75796379.829999998</v>
      </c>
      <c r="D21" s="225">
        <v>7167736.2999999998</v>
      </c>
      <c r="E21" s="225">
        <v>6043389.6600000001</v>
      </c>
      <c r="F21" s="165">
        <f>(+D21-E21)/E21</f>
        <v>0.18604569674562399</v>
      </c>
      <c r="G21" s="240">
        <f>D21/C21</f>
        <v>9.456568131718382E-2</v>
      </c>
      <c r="H21" s="241">
        <f>1-G21</f>
        <v>0.90543431868281621</v>
      </c>
      <c r="I21" s="156"/>
    </row>
    <row r="22" spans="1:9" ht="15.75" x14ac:dyDescent="0.25">
      <c r="A22" s="19"/>
      <c r="B22" s="164">
        <f>DATE(25,11,1)</f>
        <v>9437</v>
      </c>
      <c r="C22" s="225">
        <v>71183214.349999994</v>
      </c>
      <c r="D22" s="225">
        <v>6796356.0700000003</v>
      </c>
      <c r="E22" s="225">
        <v>6494509.6699999999</v>
      </c>
      <c r="F22" s="165">
        <f>(+D22-E22)/E22</f>
        <v>4.6477165380831652E-2</v>
      </c>
      <c r="G22" s="240">
        <f>D22/C22</f>
        <v>9.5476948211176152E-2</v>
      </c>
      <c r="H22" s="241">
        <f>1-G22</f>
        <v>0.90452305178882386</v>
      </c>
      <c r="I22" s="156"/>
    </row>
    <row r="23" spans="1:9" ht="15.75" thickBot="1" x14ac:dyDescent="0.25">
      <c r="A23" s="166"/>
      <c r="B23" s="164"/>
      <c r="C23" s="225"/>
      <c r="D23" s="225"/>
      <c r="E23" s="225"/>
      <c r="F23" s="165"/>
      <c r="G23" s="240"/>
      <c r="H23" s="241"/>
      <c r="I23" s="156"/>
    </row>
    <row r="24" spans="1:9" ht="17.25" thickTop="1" thickBot="1" x14ac:dyDescent="0.3">
      <c r="A24" s="168" t="s">
        <v>14</v>
      </c>
      <c r="B24" s="154"/>
      <c r="C24" s="222">
        <f>SUM(C18:C23)</f>
        <v>372539638.67999995</v>
      </c>
      <c r="D24" s="222">
        <f>SUM(D18:D23)</f>
        <v>36661159.75</v>
      </c>
      <c r="E24" s="222">
        <f>SUM(E18:E23)</f>
        <v>31521757.239999995</v>
      </c>
      <c r="F24" s="169">
        <f>(+D24-E24)/E24</f>
        <v>0.16304302044044314</v>
      </c>
      <c r="G24" s="235">
        <f>D24/C24</f>
        <v>9.840874887810476E-2</v>
      </c>
      <c r="H24" s="236">
        <f>1-G24</f>
        <v>0.9015912511218952</v>
      </c>
      <c r="I24" s="156"/>
    </row>
    <row r="25" spans="1:9" ht="15.75" thickTop="1" x14ac:dyDescent="0.2">
      <c r="A25" s="170"/>
      <c r="B25" s="171"/>
      <c r="C25" s="226"/>
      <c r="D25" s="226"/>
      <c r="E25" s="226"/>
      <c r="F25" s="172"/>
      <c r="G25" s="242"/>
      <c r="H25" s="243"/>
      <c r="I25" s="156"/>
    </row>
    <row r="26" spans="1:9" ht="15.75" x14ac:dyDescent="0.25">
      <c r="A26" s="19" t="s">
        <v>62</v>
      </c>
      <c r="B26" s="164">
        <f>DATE(25,7,1)</f>
        <v>9314</v>
      </c>
      <c r="C26" s="225">
        <v>46035567.140000001</v>
      </c>
      <c r="D26" s="225">
        <v>4754649.79</v>
      </c>
      <c r="E26" s="225">
        <v>3585663.09</v>
      </c>
      <c r="F26" s="165">
        <f>(+D26-E26)/E26</f>
        <v>0.32601688185936067</v>
      </c>
      <c r="G26" s="240">
        <f>D26/C26</f>
        <v>0.10328209437586609</v>
      </c>
      <c r="H26" s="241">
        <f>1-G26</f>
        <v>0.89671790562413389</v>
      </c>
      <c r="I26" s="156"/>
    </row>
    <row r="27" spans="1:9" ht="15.75" x14ac:dyDescent="0.25">
      <c r="A27" s="19"/>
      <c r="B27" s="164">
        <f>DATE(25,8,1)</f>
        <v>9345</v>
      </c>
      <c r="C27" s="225">
        <v>46774169.189999998</v>
      </c>
      <c r="D27" s="225">
        <v>5030748.01</v>
      </c>
      <c r="E27" s="225">
        <v>3620973.03</v>
      </c>
      <c r="F27" s="165">
        <f>(+D27-E27)/E27</f>
        <v>0.38933595150251643</v>
      </c>
      <c r="G27" s="240">
        <f>D27/C27</f>
        <v>0.10755397898281729</v>
      </c>
      <c r="H27" s="241">
        <f>1-G27</f>
        <v>0.89244602101718273</v>
      </c>
      <c r="I27" s="156"/>
    </row>
    <row r="28" spans="1:9" ht="15.75" x14ac:dyDescent="0.25">
      <c r="A28" s="19"/>
      <c r="B28" s="164">
        <f>DATE(25,9,1)</f>
        <v>9376</v>
      </c>
      <c r="C28" s="225">
        <v>41389122.100000001</v>
      </c>
      <c r="D28" s="225">
        <v>4397839.1500000004</v>
      </c>
      <c r="E28" s="225">
        <v>3548518.78</v>
      </c>
      <c r="F28" s="165">
        <f>(+D28-E28)/E28</f>
        <v>0.2393450401860352</v>
      </c>
      <c r="G28" s="240">
        <f>D28/C28</f>
        <v>0.10625591766296488</v>
      </c>
      <c r="H28" s="241">
        <f>1-G28</f>
        <v>0.89374408233703506</v>
      </c>
      <c r="I28" s="156"/>
    </row>
    <row r="29" spans="1:9" ht="15.75" x14ac:dyDescent="0.25">
      <c r="A29" s="19"/>
      <c r="B29" s="164">
        <f>DATE(25,10,1)</f>
        <v>9406</v>
      </c>
      <c r="C29" s="225">
        <v>44199870.649999999</v>
      </c>
      <c r="D29" s="225">
        <v>4594857.83</v>
      </c>
      <c r="E29" s="225">
        <v>2824673.89</v>
      </c>
      <c r="F29" s="165">
        <f>(+D29-E29)/E29</f>
        <v>0.62668612694260428</v>
      </c>
      <c r="G29" s="240">
        <f>D29/C29</f>
        <v>0.10395636372750336</v>
      </c>
      <c r="H29" s="241">
        <f>1-G29</f>
        <v>0.89604363627249661</v>
      </c>
      <c r="I29" s="156"/>
    </row>
    <row r="30" spans="1:9" ht="15.75" x14ac:dyDescent="0.25">
      <c r="A30" s="19"/>
      <c r="B30" s="164">
        <f>DATE(25,11,1)</f>
        <v>9437</v>
      </c>
      <c r="C30" s="225">
        <v>45307590.049999997</v>
      </c>
      <c r="D30" s="225">
        <v>4696105.45</v>
      </c>
      <c r="E30" s="225">
        <v>4839169.95</v>
      </c>
      <c r="F30" s="165">
        <f>(+D30-E30)/E30</f>
        <v>-2.9563851131122188E-2</v>
      </c>
      <c r="G30" s="240">
        <f>D30/C30</f>
        <v>0.1036494204352412</v>
      </c>
      <c r="H30" s="241">
        <f>1-G30</f>
        <v>0.89635057956475883</v>
      </c>
      <c r="I30" s="156"/>
    </row>
    <row r="31" spans="1:9" ht="15.75" thickBot="1" x14ac:dyDescent="0.25">
      <c r="A31" s="166"/>
      <c r="B31" s="164"/>
      <c r="C31" s="225"/>
      <c r="D31" s="225"/>
      <c r="E31" s="225"/>
      <c r="F31" s="165"/>
      <c r="G31" s="240"/>
      <c r="H31" s="241"/>
      <c r="I31" s="156"/>
    </row>
    <row r="32" spans="1:9" ht="17.25" thickTop="1" thickBot="1" x14ac:dyDescent="0.3">
      <c r="A32" s="173" t="s">
        <v>14</v>
      </c>
      <c r="B32" s="174"/>
      <c r="C32" s="227">
        <f>SUM(C26:C31)</f>
        <v>223706319.13</v>
      </c>
      <c r="D32" s="227">
        <f>SUM(D26:D31)</f>
        <v>23474200.23</v>
      </c>
      <c r="E32" s="227">
        <f>SUM(E26:E31)</f>
        <v>18418998.739999998</v>
      </c>
      <c r="F32" s="175">
        <f>(+D32-E32)/E32</f>
        <v>0.2744558247361063</v>
      </c>
      <c r="G32" s="244">
        <f>D32/C32</f>
        <v>0.10493311195361762</v>
      </c>
      <c r="H32" s="245">
        <f>1-G32</f>
        <v>0.89506688804638235</v>
      </c>
      <c r="I32" s="156"/>
    </row>
    <row r="33" spans="1:9" ht="15.75" thickTop="1" x14ac:dyDescent="0.2">
      <c r="A33" s="166"/>
      <c r="B33" s="167"/>
      <c r="C33" s="225"/>
      <c r="D33" s="225"/>
      <c r="E33" s="225"/>
      <c r="F33" s="165"/>
      <c r="G33" s="240"/>
      <c r="H33" s="241"/>
      <c r="I33" s="156"/>
    </row>
    <row r="34" spans="1:9" ht="15.75" x14ac:dyDescent="0.25">
      <c r="A34" s="176" t="s">
        <v>58</v>
      </c>
      <c r="B34" s="164">
        <f>DATE(25,7,1)</f>
        <v>9314</v>
      </c>
      <c r="C34" s="225">
        <v>204045408.94</v>
      </c>
      <c r="D34" s="225">
        <v>19065951.129999999</v>
      </c>
      <c r="E34" s="225">
        <v>17635163.969999999</v>
      </c>
      <c r="F34" s="165">
        <f>(+D34-E34)/E34</f>
        <v>8.1132625839713146E-2</v>
      </c>
      <c r="G34" s="240">
        <f>D34/C34</f>
        <v>9.3439745736236507E-2</v>
      </c>
      <c r="H34" s="241">
        <f>1-G34</f>
        <v>0.90656025426376352</v>
      </c>
      <c r="I34" s="156"/>
    </row>
    <row r="35" spans="1:9" ht="15.75" x14ac:dyDescent="0.25">
      <c r="A35" s="176"/>
      <c r="B35" s="164">
        <f>DATE(25,8,1)</f>
        <v>9345</v>
      </c>
      <c r="C35" s="225">
        <v>213666938.12</v>
      </c>
      <c r="D35" s="225">
        <v>19625709.969999999</v>
      </c>
      <c r="E35" s="225">
        <v>18755463.760000002</v>
      </c>
      <c r="F35" s="165">
        <f>(+D35-E35)/E35</f>
        <v>4.6399610328803575E-2</v>
      </c>
      <c r="G35" s="240">
        <f>D35/C35</f>
        <v>9.1851880046026457E-2</v>
      </c>
      <c r="H35" s="241">
        <f>1-G35</f>
        <v>0.9081481199539736</v>
      </c>
      <c r="I35" s="156"/>
    </row>
    <row r="36" spans="1:9" ht="15.75" x14ac:dyDescent="0.25">
      <c r="A36" s="176"/>
      <c r="B36" s="164">
        <f>DATE(25,9,1)</f>
        <v>9376</v>
      </c>
      <c r="C36" s="225">
        <v>188184296.90000001</v>
      </c>
      <c r="D36" s="225">
        <v>17435872.420000002</v>
      </c>
      <c r="E36" s="225">
        <v>17095090.23</v>
      </c>
      <c r="F36" s="165">
        <f>(+D36-E36)/E36</f>
        <v>1.9934506657470933E-2</v>
      </c>
      <c r="G36" s="240">
        <f>D36/C36</f>
        <v>9.2653174081072862E-2</v>
      </c>
      <c r="H36" s="241">
        <f>1-G36</f>
        <v>0.90734682591892712</v>
      </c>
      <c r="I36" s="156"/>
    </row>
    <row r="37" spans="1:9" ht="15.75" x14ac:dyDescent="0.25">
      <c r="A37" s="176"/>
      <c r="B37" s="164">
        <f>DATE(25,10,1)</f>
        <v>9406</v>
      </c>
      <c r="C37" s="225">
        <v>212140186.43000001</v>
      </c>
      <c r="D37" s="225">
        <v>19759923.719999999</v>
      </c>
      <c r="E37" s="225">
        <v>18243581.699999999</v>
      </c>
      <c r="F37" s="165">
        <f>(+D37-E37)/E37</f>
        <v>8.3116465008622714E-2</v>
      </c>
      <c r="G37" s="240">
        <f>D37/C37</f>
        <v>9.3145594206028429E-2</v>
      </c>
      <c r="H37" s="241">
        <f>1-G37</f>
        <v>0.90685440579397159</v>
      </c>
      <c r="I37" s="156"/>
    </row>
    <row r="38" spans="1:9" ht="15.75" x14ac:dyDescent="0.25">
      <c r="A38" s="176"/>
      <c r="B38" s="164">
        <f>DATE(25,11,1)</f>
        <v>9437</v>
      </c>
      <c r="C38" s="225">
        <v>193879605.52000001</v>
      </c>
      <c r="D38" s="225">
        <v>17891627</v>
      </c>
      <c r="E38" s="225">
        <v>16765785.65</v>
      </c>
      <c r="F38" s="165">
        <f>(+D38-E38)/E38</f>
        <v>6.7151123931970327E-2</v>
      </c>
      <c r="G38" s="240">
        <f>D38/C38</f>
        <v>9.2282150832797907E-2</v>
      </c>
      <c r="H38" s="241">
        <f>1-G38</f>
        <v>0.90771784916720211</v>
      </c>
      <c r="I38" s="156"/>
    </row>
    <row r="39" spans="1:9" ht="15.75" thickBot="1" x14ac:dyDescent="0.25">
      <c r="A39" s="166"/>
      <c r="B39" s="167"/>
      <c r="C39" s="225"/>
      <c r="D39" s="225"/>
      <c r="E39" s="225"/>
      <c r="F39" s="165"/>
      <c r="G39" s="240"/>
      <c r="H39" s="241"/>
      <c r="I39" s="156"/>
    </row>
    <row r="40" spans="1:9" ht="17.25" thickTop="1" thickBot="1" x14ac:dyDescent="0.3">
      <c r="A40" s="173" t="s">
        <v>14</v>
      </c>
      <c r="B40" s="177"/>
      <c r="C40" s="227">
        <f>SUM(C34:C39)</f>
        <v>1011916435.9100001</v>
      </c>
      <c r="D40" s="227">
        <f>SUM(D34:D39)</f>
        <v>93779084.239999995</v>
      </c>
      <c r="E40" s="227">
        <f>SUM(E34:E39)</f>
        <v>88495085.310000017</v>
      </c>
      <c r="F40" s="175">
        <f>(+D40-E40)/E40</f>
        <v>5.9709518460714803E-2</v>
      </c>
      <c r="G40" s="244">
        <f>D40/C40</f>
        <v>9.267473173875862E-2</v>
      </c>
      <c r="H40" s="245">
        <f>1-G40</f>
        <v>0.90732526826124138</v>
      </c>
      <c r="I40" s="156"/>
    </row>
    <row r="41" spans="1:9" ht="15.75" thickTop="1" x14ac:dyDescent="0.2">
      <c r="A41" s="166"/>
      <c r="B41" s="167"/>
      <c r="C41" s="225"/>
      <c r="D41" s="225"/>
      <c r="E41" s="225"/>
      <c r="F41" s="165"/>
      <c r="G41" s="240"/>
      <c r="H41" s="241"/>
      <c r="I41" s="156"/>
    </row>
    <row r="42" spans="1:9" ht="15.75" x14ac:dyDescent="0.25">
      <c r="A42" s="163" t="s">
        <v>60</v>
      </c>
      <c r="B42" s="164">
        <f>DATE(25,7,1)</f>
        <v>9314</v>
      </c>
      <c r="C42" s="225">
        <v>114584386.17</v>
      </c>
      <c r="D42" s="225">
        <v>11284269.119999999</v>
      </c>
      <c r="E42" s="225">
        <v>9741383.2799999993</v>
      </c>
      <c r="F42" s="165">
        <f>(+D42-E42)/E42</f>
        <v>0.15838467655488861</v>
      </c>
      <c r="G42" s="240">
        <f>D42/C42</f>
        <v>9.8479989265364665E-2</v>
      </c>
      <c r="H42" s="241">
        <f>1-G42</f>
        <v>0.90152001073463528</v>
      </c>
      <c r="I42" s="156"/>
    </row>
    <row r="43" spans="1:9" ht="15.75" x14ac:dyDescent="0.25">
      <c r="A43" s="163"/>
      <c r="B43" s="164">
        <f>DATE(25,8,1)</f>
        <v>9345</v>
      </c>
      <c r="C43" s="225">
        <v>124984419.62</v>
      </c>
      <c r="D43" s="225">
        <v>12207537.15</v>
      </c>
      <c r="E43" s="225">
        <v>10213981.68</v>
      </c>
      <c r="F43" s="165">
        <f>(+D43-E43)/E43</f>
        <v>0.19517907241830892</v>
      </c>
      <c r="G43" s="240">
        <f>D43/C43</f>
        <v>9.7672471393758828E-2</v>
      </c>
      <c r="H43" s="241">
        <f>1-G43</f>
        <v>0.90232752860624121</v>
      </c>
      <c r="I43" s="156"/>
    </row>
    <row r="44" spans="1:9" ht="15.75" x14ac:dyDescent="0.25">
      <c r="A44" s="163"/>
      <c r="B44" s="164">
        <f>DATE(25,9,1)</f>
        <v>9376</v>
      </c>
      <c r="C44" s="225">
        <v>114317853.92</v>
      </c>
      <c r="D44" s="225">
        <v>10848927.15</v>
      </c>
      <c r="E44" s="225">
        <v>9094034.0600000005</v>
      </c>
      <c r="F44" s="165">
        <f>(+D44-E44)/E44</f>
        <v>0.19297190646325771</v>
      </c>
      <c r="G44" s="240">
        <f>D44/C44</f>
        <v>9.490142421316021E-2</v>
      </c>
      <c r="H44" s="241">
        <f>1-G44</f>
        <v>0.90509857578683983</v>
      </c>
      <c r="I44" s="156"/>
    </row>
    <row r="45" spans="1:9" ht="15.75" x14ac:dyDescent="0.25">
      <c r="A45" s="163"/>
      <c r="B45" s="164">
        <f>DATE(25,10,1)</f>
        <v>9406</v>
      </c>
      <c r="C45" s="225">
        <v>116558155.48999999</v>
      </c>
      <c r="D45" s="225">
        <v>11596520.18</v>
      </c>
      <c r="E45" s="225">
        <v>9949775.4600000009</v>
      </c>
      <c r="F45" s="165">
        <f>(+D45-E45)/E45</f>
        <v>0.16550571684961407</v>
      </c>
      <c r="G45" s="240">
        <f>D45/C45</f>
        <v>9.949128082242957E-2</v>
      </c>
      <c r="H45" s="241">
        <f>1-G45</f>
        <v>0.90050871917757047</v>
      </c>
      <c r="I45" s="156"/>
    </row>
    <row r="46" spans="1:9" ht="15.75" x14ac:dyDescent="0.25">
      <c r="A46" s="163"/>
      <c r="B46" s="164">
        <f>DATE(25,11,1)</f>
        <v>9437</v>
      </c>
      <c r="C46" s="225">
        <v>116601107.65000001</v>
      </c>
      <c r="D46" s="225">
        <v>11036495.890000001</v>
      </c>
      <c r="E46" s="225">
        <v>9979085.8399999999</v>
      </c>
      <c r="F46" s="165">
        <f>(+D46-E46)/E46</f>
        <v>0.10596261691241257</v>
      </c>
      <c r="G46" s="240">
        <f>D46/C46</f>
        <v>9.4651724262586792E-2</v>
      </c>
      <c r="H46" s="241">
        <f>1-G46</f>
        <v>0.90534827573741317</v>
      </c>
      <c r="I46" s="156"/>
    </row>
    <row r="47" spans="1:9" ht="15.75" thickBot="1" x14ac:dyDescent="0.25">
      <c r="A47" s="166"/>
      <c r="B47" s="164"/>
      <c r="C47" s="225"/>
      <c r="D47" s="225"/>
      <c r="E47" s="225"/>
      <c r="F47" s="165"/>
      <c r="G47" s="240"/>
      <c r="H47" s="241"/>
      <c r="I47" s="156"/>
    </row>
    <row r="48" spans="1:9" ht="17.25" thickTop="1" thickBot="1" x14ac:dyDescent="0.3">
      <c r="A48" s="173" t="s">
        <v>14</v>
      </c>
      <c r="B48" s="174"/>
      <c r="C48" s="227">
        <f>SUM(C42:C47)</f>
        <v>587045922.85000002</v>
      </c>
      <c r="D48" s="229">
        <f>SUM(D42:D47)</f>
        <v>56973749.490000002</v>
      </c>
      <c r="E48" s="270">
        <f>SUM(E42:E47)</f>
        <v>48978260.320000008</v>
      </c>
      <c r="F48" s="271">
        <f>(+D48-E48)/E48</f>
        <v>0.16324567507627624</v>
      </c>
      <c r="G48" s="248">
        <f>D48/C48</f>
        <v>9.7051605798406576E-2</v>
      </c>
      <c r="H48" s="269">
        <f>1-G48</f>
        <v>0.90294839420159345</v>
      </c>
      <c r="I48" s="156"/>
    </row>
    <row r="49" spans="1:9" ht="15.75" thickTop="1" x14ac:dyDescent="0.2">
      <c r="A49" s="166"/>
      <c r="B49" s="167"/>
      <c r="C49" s="225"/>
      <c r="D49" s="225"/>
      <c r="E49" s="225"/>
      <c r="F49" s="165"/>
      <c r="G49" s="240"/>
      <c r="H49" s="241"/>
      <c r="I49" s="156"/>
    </row>
    <row r="50" spans="1:9" ht="15.75" x14ac:dyDescent="0.25">
      <c r="A50" s="163" t="s">
        <v>64</v>
      </c>
      <c r="B50" s="164">
        <f>DATE(25,7,1)</f>
        <v>9314</v>
      </c>
      <c r="C50" s="225">
        <v>50473686.939999998</v>
      </c>
      <c r="D50" s="225">
        <v>5133575.21</v>
      </c>
      <c r="E50" s="225">
        <v>5096504.7300000004</v>
      </c>
      <c r="F50" s="165">
        <f>(+D50-E50)/E50</f>
        <v>7.2737065820401023E-3</v>
      </c>
      <c r="G50" s="240">
        <f>D50/C50</f>
        <v>0.10170794965112173</v>
      </c>
      <c r="H50" s="241">
        <f>1-G50</f>
        <v>0.89829205034887827</v>
      </c>
      <c r="I50" s="156"/>
    </row>
    <row r="51" spans="1:9" ht="15.75" x14ac:dyDescent="0.25">
      <c r="A51" s="163"/>
      <c r="B51" s="164">
        <f>DATE(25,8,1)</f>
        <v>9345</v>
      </c>
      <c r="C51" s="225">
        <v>54290001.18</v>
      </c>
      <c r="D51" s="225">
        <v>5461912.4800000004</v>
      </c>
      <c r="E51" s="225">
        <v>5390961.3799999999</v>
      </c>
      <c r="F51" s="165">
        <f>(+D51-E51)/E51</f>
        <v>1.3161121922190539E-2</v>
      </c>
      <c r="G51" s="240">
        <f>D51/C51</f>
        <v>0.10060623247899514</v>
      </c>
      <c r="H51" s="241">
        <f>1-G51</f>
        <v>0.89939376752100486</v>
      </c>
      <c r="I51" s="156"/>
    </row>
    <row r="52" spans="1:9" ht="15.75" x14ac:dyDescent="0.25">
      <c r="A52" s="163"/>
      <c r="B52" s="164">
        <f>DATE(25,9,1)</f>
        <v>9376</v>
      </c>
      <c r="C52" s="225">
        <v>46674338.479999997</v>
      </c>
      <c r="D52" s="225">
        <v>4772050.28</v>
      </c>
      <c r="E52" s="225">
        <v>4962842.88</v>
      </c>
      <c r="F52" s="165">
        <f>(+D52-E52)/E52</f>
        <v>-3.8444215263973784E-2</v>
      </c>
      <c r="G52" s="240">
        <f>D52/C52</f>
        <v>0.1022414122065132</v>
      </c>
      <c r="H52" s="241">
        <f>1-G52</f>
        <v>0.89775858779348683</v>
      </c>
      <c r="I52" s="156"/>
    </row>
    <row r="53" spans="1:9" ht="15.75" x14ac:dyDescent="0.25">
      <c r="A53" s="163"/>
      <c r="B53" s="164">
        <f>DATE(25,10,1)</f>
        <v>9406</v>
      </c>
      <c r="C53" s="225">
        <v>46929853.640000001</v>
      </c>
      <c r="D53" s="225">
        <v>4758336.2699999996</v>
      </c>
      <c r="E53" s="225">
        <v>4961723.2699999996</v>
      </c>
      <c r="F53" s="165">
        <f>(+D53-E53)/E53</f>
        <v>-4.0991201832987358E-2</v>
      </c>
      <c r="G53" s="240">
        <f>D53/C53</f>
        <v>0.1013925231154844</v>
      </c>
      <c r="H53" s="241">
        <f>1-G53</f>
        <v>0.89860747688451559</v>
      </c>
      <c r="I53" s="156"/>
    </row>
    <row r="54" spans="1:9" ht="15.75" x14ac:dyDescent="0.25">
      <c r="A54" s="163"/>
      <c r="B54" s="164">
        <f>DATE(25,11,1)</f>
        <v>9437</v>
      </c>
      <c r="C54" s="225">
        <v>50524189.310000002</v>
      </c>
      <c r="D54" s="225">
        <v>5142404.0199999996</v>
      </c>
      <c r="E54" s="225">
        <v>5565441.5499999998</v>
      </c>
      <c r="F54" s="165">
        <f>(+D54-E54)/E54</f>
        <v>-7.6011494541704472E-2</v>
      </c>
      <c r="G54" s="240">
        <f>D54/C54</f>
        <v>0.10178102984390071</v>
      </c>
      <c r="H54" s="241">
        <f>1-G54</f>
        <v>0.89821897015609931</v>
      </c>
      <c r="I54" s="156"/>
    </row>
    <row r="55" spans="1:9" ht="15.75" thickBot="1" x14ac:dyDescent="0.25">
      <c r="A55" s="166"/>
      <c r="B55" s="164"/>
      <c r="C55" s="225"/>
      <c r="D55" s="225"/>
      <c r="E55" s="225"/>
      <c r="F55" s="165"/>
      <c r="G55" s="240"/>
      <c r="H55" s="241"/>
      <c r="I55" s="156"/>
    </row>
    <row r="56" spans="1:9" ht="17.25" thickTop="1" thickBot="1" x14ac:dyDescent="0.3">
      <c r="A56" s="173" t="s">
        <v>14</v>
      </c>
      <c r="B56" s="174"/>
      <c r="C56" s="227">
        <f>SUM(C50:C55)</f>
        <v>248892069.55000001</v>
      </c>
      <c r="D56" s="229">
        <f>SUM(D50:D55)</f>
        <v>25268278.260000002</v>
      </c>
      <c r="E56" s="270">
        <f>SUM(E50:E55)</f>
        <v>25977473.809999999</v>
      </c>
      <c r="F56" s="271">
        <f>(+D56-E56)/E56</f>
        <v>-2.7300404773269102E-2</v>
      </c>
      <c r="G56" s="248">
        <f>D56/C56</f>
        <v>0.10152303488691049</v>
      </c>
      <c r="H56" s="269">
        <f>1-G56</f>
        <v>0.8984769651130895</v>
      </c>
      <c r="I56" s="156"/>
    </row>
    <row r="57" spans="1:9" ht="15.75" thickTop="1" x14ac:dyDescent="0.2">
      <c r="A57" s="166"/>
      <c r="B57" s="167"/>
      <c r="C57" s="225"/>
      <c r="D57" s="225"/>
      <c r="E57" s="225"/>
      <c r="F57" s="165"/>
      <c r="G57" s="240"/>
      <c r="H57" s="241"/>
      <c r="I57" s="156"/>
    </row>
    <row r="58" spans="1:9" ht="15.75" x14ac:dyDescent="0.25">
      <c r="A58" s="289" t="s">
        <v>67</v>
      </c>
      <c r="B58" s="164">
        <f>DATE(25,7,1)</f>
        <v>9314</v>
      </c>
      <c r="C58" s="225">
        <v>93836015.939999998</v>
      </c>
      <c r="D58" s="225">
        <v>10417438.859999999</v>
      </c>
      <c r="E58" s="225">
        <v>10638892.560000001</v>
      </c>
      <c r="F58" s="165">
        <f>(+D58-E58)/E58</f>
        <v>-2.0815484201111352E-2</v>
      </c>
      <c r="G58" s="240">
        <f>D58/C58</f>
        <v>0.11101748892089632</v>
      </c>
      <c r="H58" s="241">
        <f>1-G58</f>
        <v>0.88898251107910364</v>
      </c>
      <c r="I58" s="156"/>
    </row>
    <row r="59" spans="1:9" ht="15.75" x14ac:dyDescent="0.25">
      <c r="A59" s="289"/>
      <c r="B59" s="164">
        <f>DATE(25,8,1)</f>
        <v>9345</v>
      </c>
      <c r="C59" s="225">
        <v>96419544.269999996</v>
      </c>
      <c r="D59" s="225">
        <v>10567774.789999999</v>
      </c>
      <c r="E59" s="225">
        <v>11116423.300000001</v>
      </c>
      <c r="F59" s="165">
        <f>(+D59-E59)/E59</f>
        <v>-4.9354769532750843E-2</v>
      </c>
      <c r="G59" s="240">
        <f>D59/C59</f>
        <v>0.10960199895165922</v>
      </c>
      <c r="H59" s="241">
        <f>1-G59</f>
        <v>0.89039800104834077</v>
      </c>
      <c r="I59" s="156"/>
    </row>
    <row r="60" spans="1:9" ht="15.75" x14ac:dyDescent="0.25">
      <c r="A60" s="289"/>
      <c r="B60" s="164">
        <f>DATE(25,9,1)</f>
        <v>9376</v>
      </c>
      <c r="C60" s="225">
        <v>89806945.900000006</v>
      </c>
      <c r="D60" s="225">
        <v>9523944.1500000004</v>
      </c>
      <c r="E60" s="225">
        <v>10219644.369999999</v>
      </c>
      <c r="F60" s="165">
        <f>(+D60-E60)/E60</f>
        <v>-6.8074797401193612E-2</v>
      </c>
      <c r="G60" s="240">
        <f>D60/C60</f>
        <v>0.10604908177820575</v>
      </c>
      <c r="H60" s="241">
        <f>1-G60</f>
        <v>0.89395091822179429</v>
      </c>
      <c r="I60" s="156"/>
    </row>
    <row r="61" spans="1:9" ht="15.75" x14ac:dyDescent="0.25">
      <c r="A61" s="289"/>
      <c r="B61" s="164">
        <f>DATE(25,10,1)</f>
        <v>9406</v>
      </c>
      <c r="C61" s="225">
        <v>101024821.36</v>
      </c>
      <c r="D61" s="225">
        <v>11127480.560000001</v>
      </c>
      <c r="E61" s="225">
        <v>10771197.369999999</v>
      </c>
      <c r="F61" s="165">
        <f>(+D61-E61)/E61</f>
        <v>3.3077398710780595E-2</v>
      </c>
      <c r="G61" s="240">
        <f>D61/C61</f>
        <v>0.11014600580532025</v>
      </c>
      <c r="H61" s="241">
        <f>1-G61</f>
        <v>0.8898539941946797</v>
      </c>
      <c r="I61" s="156"/>
    </row>
    <row r="62" spans="1:9" ht="15.75" x14ac:dyDescent="0.25">
      <c r="A62" s="289"/>
      <c r="B62" s="164">
        <f>DATE(25,11,1)</f>
        <v>9437</v>
      </c>
      <c r="C62" s="225">
        <v>93711488.209999993</v>
      </c>
      <c r="D62" s="225">
        <v>10118381.810000001</v>
      </c>
      <c r="E62" s="225">
        <v>9849647.8100000005</v>
      </c>
      <c r="F62" s="165">
        <f>(+D62-E62)/E62</f>
        <v>2.728361512856976E-2</v>
      </c>
      <c r="G62" s="240">
        <f>D62/C62</f>
        <v>0.10797376077653907</v>
      </c>
      <c r="H62" s="241">
        <f>1-G62</f>
        <v>0.89202623922346092</v>
      </c>
      <c r="I62" s="156"/>
    </row>
    <row r="63" spans="1:9" ht="15.75" thickBot="1" x14ac:dyDescent="0.25">
      <c r="A63" s="166"/>
      <c r="B63" s="164"/>
      <c r="C63" s="225"/>
      <c r="D63" s="225"/>
      <c r="E63" s="225"/>
      <c r="F63" s="165"/>
      <c r="G63" s="240"/>
      <c r="H63" s="241"/>
      <c r="I63" s="156"/>
    </row>
    <row r="64" spans="1:9" ht="17.25" thickTop="1" thickBot="1" x14ac:dyDescent="0.3">
      <c r="A64" s="173" t="s">
        <v>14</v>
      </c>
      <c r="B64" s="174"/>
      <c r="C64" s="227">
        <f>SUM(C58:C63)</f>
        <v>474798815.68000001</v>
      </c>
      <c r="D64" s="229">
        <f>SUM(D58:D63)</f>
        <v>51755020.170000002</v>
      </c>
      <c r="E64" s="270">
        <f>SUM(E58:E63)</f>
        <v>52595805.409999996</v>
      </c>
      <c r="F64" s="271">
        <f>(+D64-E64)/E64</f>
        <v>-1.5985785053500422E-2</v>
      </c>
      <c r="G64" s="248">
        <f>D64/C64</f>
        <v>0.10900410544596074</v>
      </c>
      <c r="H64" s="269">
        <f>1-G64</f>
        <v>0.89099589455403927</v>
      </c>
      <c r="I64" s="156"/>
    </row>
    <row r="65" spans="1:9" ht="15.75" thickTop="1" x14ac:dyDescent="0.2">
      <c r="A65" s="166"/>
      <c r="B65" s="167"/>
      <c r="C65" s="225"/>
      <c r="D65" s="225"/>
      <c r="E65" s="225"/>
      <c r="F65" s="165"/>
      <c r="G65" s="240"/>
      <c r="H65" s="241"/>
      <c r="I65" s="156"/>
    </row>
    <row r="66" spans="1:9" ht="15.75" x14ac:dyDescent="0.25">
      <c r="A66" s="163" t="s">
        <v>69</v>
      </c>
      <c r="B66" s="164">
        <f>DATE(25,7,1)</f>
        <v>9314</v>
      </c>
      <c r="C66" s="225">
        <v>127697612.23</v>
      </c>
      <c r="D66" s="225">
        <v>12769442.74</v>
      </c>
      <c r="E66" s="225">
        <v>10449496.5</v>
      </c>
      <c r="F66" s="165">
        <f>(+D66-E66)/E66</f>
        <v>0.2220151219726233</v>
      </c>
      <c r="G66" s="240">
        <f>D66/C66</f>
        <v>9.9997505959630417E-2</v>
      </c>
      <c r="H66" s="241">
        <f>1-G66</f>
        <v>0.90000249404036958</v>
      </c>
      <c r="I66" s="156"/>
    </row>
    <row r="67" spans="1:9" ht="15.75" x14ac:dyDescent="0.25">
      <c r="A67" s="163"/>
      <c r="B67" s="164">
        <f>DATE(25,8,1)</f>
        <v>9345</v>
      </c>
      <c r="C67" s="225">
        <v>130749611.66</v>
      </c>
      <c r="D67" s="225">
        <v>13136164.029999999</v>
      </c>
      <c r="E67" s="225">
        <v>10275632.210000001</v>
      </c>
      <c r="F67" s="165">
        <f>(+D67-E67)/E67</f>
        <v>0.27838012898283737</v>
      </c>
      <c r="G67" s="240">
        <f>D67/C67</f>
        <v>0.10046809212832808</v>
      </c>
      <c r="H67" s="241">
        <f>1-G67</f>
        <v>0.89953190787167192</v>
      </c>
      <c r="I67" s="156"/>
    </row>
    <row r="68" spans="1:9" ht="15.75" x14ac:dyDescent="0.25">
      <c r="A68" s="163"/>
      <c r="B68" s="164">
        <f>DATE(25,9,1)</f>
        <v>9376</v>
      </c>
      <c r="C68" s="225">
        <v>111907637.18000001</v>
      </c>
      <c r="D68" s="225">
        <v>11494154.85</v>
      </c>
      <c r="E68" s="225">
        <v>9114774.1799999997</v>
      </c>
      <c r="F68" s="165">
        <f>(+D68-E68)/E68</f>
        <v>0.26104658469991848</v>
      </c>
      <c r="G68" s="240">
        <f>D68/C68</f>
        <v>0.10271108513811264</v>
      </c>
      <c r="H68" s="241">
        <f>1-G68</f>
        <v>0.89728891486188733</v>
      </c>
      <c r="I68" s="156"/>
    </row>
    <row r="69" spans="1:9" ht="15.75" x14ac:dyDescent="0.25">
      <c r="A69" s="163"/>
      <c r="B69" s="164">
        <f>DATE(25,10,1)</f>
        <v>9406</v>
      </c>
      <c r="C69" s="225">
        <v>113584160.47</v>
      </c>
      <c r="D69" s="225">
        <v>11479577.25</v>
      </c>
      <c r="E69" s="225">
        <v>9368778.4199999999</v>
      </c>
      <c r="F69" s="165">
        <f>(+D69-E69)/E69</f>
        <v>0.22530139313509351</v>
      </c>
      <c r="G69" s="240">
        <f>D69/C69</f>
        <v>0.10106670861939418</v>
      </c>
      <c r="H69" s="241">
        <f>1-G69</f>
        <v>0.89893329138060585</v>
      </c>
      <c r="I69" s="156"/>
    </row>
    <row r="70" spans="1:9" ht="15.75" x14ac:dyDescent="0.25">
      <c r="A70" s="163"/>
      <c r="B70" s="164">
        <f>DATE(25,11,1)</f>
        <v>9437</v>
      </c>
      <c r="C70" s="225">
        <v>110159477</v>
      </c>
      <c r="D70" s="225">
        <v>10932278.65</v>
      </c>
      <c r="E70" s="225">
        <v>9909604.9700000007</v>
      </c>
      <c r="F70" s="165">
        <f>(+D70-E70)/E70</f>
        <v>0.10320024694183139</v>
      </c>
      <c r="G70" s="240">
        <f>D70/C70</f>
        <v>9.9240473427447379E-2</v>
      </c>
      <c r="H70" s="241">
        <f>1-G70</f>
        <v>0.90075952657255265</v>
      </c>
      <c r="I70" s="156"/>
    </row>
    <row r="71" spans="1:9" ht="15.75" thickBot="1" x14ac:dyDescent="0.25">
      <c r="A71" s="166"/>
      <c r="B71" s="164"/>
      <c r="C71" s="225"/>
      <c r="D71" s="225"/>
      <c r="E71" s="225"/>
      <c r="F71" s="165"/>
      <c r="G71" s="240"/>
      <c r="H71" s="241"/>
      <c r="I71" s="156"/>
    </row>
    <row r="72" spans="1:9" ht="17.25" thickTop="1" thickBot="1" x14ac:dyDescent="0.3">
      <c r="A72" s="173" t="s">
        <v>14</v>
      </c>
      <c r="B72" s="174"/>
      <c r="C72" s="227">
        <f>SUM(C66:C71)</f>
        <v>594098498.53999996</v>
      </c>
      <c r="D72" s="229">
        <f>SUM(D66:D71)</f>
        <v>59811617.519999996</v>
      </c>
      <c r="E72" s="270">
        <f>SUM(E66:E71)</f>
        <v>49118286.280000001</v>
      </c>
      <c r="F72" s="175">
        <f>(+D72-E72)/E72</f>
        <v>0.21770570697524738</v>
      </c>
      <c r="G72" s="248">
        <f>D72/C72</f>
        <v>0.10067626440226216</v>
      </c>
      <c r="H72" s="269">
        <f>1-G72</f>
        <v>0.89932373559773782</v>
      </c>
      <c r="I72" s="156"/>
    </row>
    <row r="73" spans="1:9" ht="15.75" thickTop="1" x14ac:dyDescent="0.2">
      <c r="A73" s="166"/>
      <c r="B73" s="178"/>
      <c r="C73" s="228"/>
      <c r="D73" s="228"/>
      <c r="E73" s="228"/>
      <c r="F73" s="179"/>
      <c r="G73" s="246"/>
      <c r="H73" s="247"/>
      <c r="I73" s="156"/>
    </row>
    <row r="74" spans="1:9" ht="15.75" x14ac:dyDescent="0.25">
      <c r="A74" s="163" t="s">
        <v>16</v>
      </c>
      <c r="B74" s="164">
        <f>DATE(25,7,1)</f>
        <v>9314</v>
      </c>
      <c r="C74" s="225">
        <v>159207103.13999999</v>
      </c>
      <c r="D74" s="225">
        <v>15262289.550000001</v>
      </c>
      <c r="E74" s="225">
        <v>14744546.640000001</v>
      </c>
      <c r="F74" s="165">
        <f>(+D74-E74)/E74</f>
        <v>3.5114196634261526E-2</v>
      </c>
      <c r="G74" s="240">
        <f>D74/C74</f>
        <v>9.5864375703004837E-2</v>
      </c>
      <c r="H74" s="241">
        <f>1-G74</f>
        <v>0.90413562429699512</v>
      </c>
      <c r="I74" s="156"/>
    </row>
    <row r="75" spans="1:9" ht="15.75" x14ac:dyDescent="0.25">
      <c r="A75" s="163"/>
      <c r="B75" s="164">
        <f>DATE(25,8,1)</f>
        <v>9345</v>
      </c>
      <c r="C75" s="225">
        <v>162847837.30000001</v>
      </c>
      <c r="D75" s="225">
        <v>15853868.039999999</v>
      </c>
      <c r="E75" s="225">
        <v>15706191.880000001</v>
      </c>
      <c r="F75" s="165">
        <f>(+D75-E75)/E75</f>
        <v>9.4024166474144903E-3</v>
      </c>
      <c r="G75" s="240">
        <f>D75/C75</f>
        <v>9.7353875266969842E-2</v>
      </c>
      <c r="H75" s="241">
        <f>1-G75</f>
        <v>0.90264612473303019</v>
      </c>
      <c r="I75" s="156"/>
    </row>
    <row r="76" spans="1:9" ht="15.75" x14ac:dyDescent="0.25">
      <c r="A76" s="163"/>
      <c r="B76" s="164">
        <f>DATE(25,9,1)</f>
        <v>9376</v>
      </c>
      <c r="C76" s="225">
        <v>144730028.94999999</v>
      </c>
      <c r="D76" s="225">
        <v>13899746.189999999</v>
      </c>
      <c r="E76" s="225">
        <v>14330045.689999999</v>
      </c>
      <c r="F76" s="165">
        <f>(+D76-E76)/E76</f>
        <v>-3.0027782835352564E-2</v>
      </c>
      <c r="G76" s="240">
        <f>D76/C76</f>
        <v>9.6039130862068417E-2</v>
      </c>
      <c r="H76" s="241">
        <f>1-G76</f>
        <v>0.90396086913793161</v>
      </c>
      <c r="I76" s="156"/>
    </row>
    <row r="77" spans="1:9" ht="15.75" x14ac:dyDescent="0.25">
      <c r="A77" s="163"/>
      <c r="B77" s="164">
        <f>DATE(25,10,1)</f>
        <v>9406</v>
      </c>
      <c r="C77" s="225">
        <v>152293476.97999999</v>
      </c>
      <c r="D77" s="225">
        <v>15025688.18</v>
      </c>
      <c r="E77" s="225">
        <v>13581004.15</v>
      </c>
      <c r="F77" s="165">
        <f>(+D77-E77)/E77</f>
        <v>0.10637534706886893</v>
      </c>
      <c r="G77" s="240">
        <f>D77/C77</f>
        <v>9.8662716735879993E-2</v>
      </c>
      <c r="H77" s="241">
        <f>1-G77</f>
        <v>0.90133728326411999</v>
      </c>
      <c r="I77" s="156"/>
    </row>
    <row r="78" spans="1:9" ht="15.75" x14ac:dyDescent="0.25">
      <c r="A78" s="163"/>
      <c r="B78" s="164">
        <f>DATE(25,11,1)</f>
        <v>9437</v>
      </c>
      <c r="C78" s="225">
        <v>144705645.40000001</v>
      </c>
      <c r="D78" s="225">
        <v>14082418.050000001</v>
      </c>
      <c r="E78" s="225">
        <v>14427428.6</v>
      </c>
      <c r="F78" s="165">
        <f>(+D78-E78)/E78</f>
        <v>-2.3913516369784626E-2</v>
      </c>
      <c r="G78" s="240">
        <f>D78/C78</f>
        <v>9.7317682465483141E-2</v>
      </c>
      <c r="H78" s="241">
        <f>1-G78</f>
        <v>0.90268231753451689</v>
      </c>
      <c r="I78" s="156"/>
    </row>
    <row r="79" spans="1:9" ht="15.75" customHeight="1" thickBot="1" x14ac:dyDescent="0.3">
      <c r="A79" s="163"/>
      <c r="B79" s="164"/>
      <c r="C79" s="225"/>
      <c r="D79" s="225"/>
      <c r="E79" s="225"/>
      <c r="F79" s="165"/>
      <c r="G79" s="240"/>
      <c r="H79" s="241"/>
      <c r="I79" s="156"/>
    </row>
    <row r="80" spans="1:9" ht="17.25" thickTop="1" thickBot="1" x14ac:dyDescent="0.3">
      <c r="A80" s="173" t="s">
        <v>14</v>
      </c>
      <c r="B80" s="180"/>
      <c r="C80" s="227">
        <f>SUM(C74:C79)</f>
        <v>763784091.76999998</v>
      </c>
      <c r="D80" s="227">
        <f>SUM(D74:D79)</f>
        <v>74124010.010000005</v>
      </c>
      <c r="E80" s="227">
        <f>SUM(E74:E79)</f>
        <v>72789216.959999993</v>
      </c>
      <c r="F80" s="175">
        <f>(+D80-E80)/E80</f>
        <v>1.833778553674404E-2</v>
      </c>
      <c r="G80" s="244">
        <f>D80/C80</f>
        <v>9.7048381615574594E-2</v>
      </c>
      <c r="H80" s="245">
        <f>1-G80</f>
        <v>0.90295161838442539</v>
      </c>
      <c r="I80" s="156"/>
    </row>
    <row r="81" spans="1:9" ht="15.75" thickTop="1" x14ac:dyDescent="0.2">
      <c r="A81" s="170"/>
      <c r="B81" s="171"/>
      <c r="C81" s="226"/>
      <c r="D81" s="226"/>
      <c r="E81" s="226"/>
      <c r="F81" s="172"/>
      <c r="G81" s="242"/>
      <c r="H81" s="243"/>
      <c r="I81" s="156"/>
    </row>
    <row r="82" spans="1:9" ht="15.75" x14ac:dyDescent="0.25">
      <c r="A82" s="163" t="s">
        <v>53</v>
      </c>
      <c r="B82" s="164">
        <f>DATE(25,7,1)</f>
        <v>9314</v>
      </c>
      <c r="C82" s="225">
        <v>208655549.31</v>
      </c>
      <c r="D82" s="225">
        <v>20027858.210000001</v>
      </c>
      <c r="E82" s="225">
        <v>17994367.18</v>
      </c>
      <c r="F82" s="165">
        <f>(+D82-E82)/E82</f>
        <v>0.11300708769909636</v>
      </c>
      <c r="G82" s="240">
        <f>D82/C82</f>
        <v>9.5985265075526793E-2</v>
      </c>
      <c r="H82" s="241">
        <f>1-G82</f>
        <v>0.90401473492447315</v>
      </c>
      <c r="I82" s="156"/>
    </row>
    <row r="83" spans="1:9" ht="15.75" x14ac:dyDescent="0.25">
      <c r="A83" s="163"/>
      <c r="B83" s="164">
        <f>DATE(25,8,1)</f>
        <v>9345</v>
      </c>
      <c r="C83" s="225">
        <v>214762394.52000001</v>
      </c>
      <c r="D83" s="225">
        <v>20920695.829999998</v>
      </c>
      <c r="E83" s="225">
        <v>18616519.079999998</v>
      </c>
      <c r="F83" s="165">
        <f>(+D83-E83)/E83</f>
        <v>0.12377054701248695</v>
      </c>
      <c r="G83" s="240">
        <f>D83/C83</f>
        <v>9.7413217415266498E-2</v>
      </c>
      <c r="H83" s="241">
        <f>1-G83</f>
        <v>0.90258678258473346</v>
      </c>
      <c r="I83" s="156"/>
    </row>
    <row r="84" spans="1:9" ht="15.75" x14ac:dyDescent="0.25">
      <c r="A84" s="163"/>
      <c r="B84" s="164">
        <f>DATE(25,9,1)</f>
        <v>9376</v>
      </c>
      <c r="C84" s="225">
        <v>194219720.74000001</v>
      </c>
      <c r="D84" s="225">
        <v>18793291.129999999</v>
      </c>
      <c r="E84" s="225">
        <v>17799029.699999999</v>
      </c>
      <c r="F84" s="165">
        <f>(+D84-E84)/E84</f>
        <v>5.5860428728876144E-2</v>
      </c>
      <c r="G84" s="240">
        <f>D84/C84</f>
        <v>9.6763042694095872E-2</v>
      </c>
      <c r="H84" s="241">
        <f>1-G84</f>
        <v>0.90323695730590414</v>
      </c>
      <c r="I84" s="156"/>
    </row>
    <row r="85" spans="1:9" ht="15.75" x14ac:dyDescent="0.25">
      <c r="A85" s="163"/>
      <c r="B85" s="164">
        <f>DATE(25,10,1)</f>
        <v>9406</v>
      </c>
      <c r="C85" s="225">
        <v>208917074.91</v>
      </c>
      <c r="D85" s="225">
        <v>19742925.489999998</v>
      </c>
      <c r="E85" s="225">
        <v>18415945.390000001</v>
      </c>
      <c r="F85" s="165">
        <f>(+D85-E85)/E85</f>
        <v>7.2056040127082374E-2</v>
      </c>
      <c r="G85" s="240">
        <f>D85/C85</f>
        <v>9.4501253660119022E-2</v>
      </c>
      <c r="H85" s="241">
        <f>1-G85</f>
        <v>0.90549874633988092</v>
      </c>
      <c r="I85" s="156"/>
    </row>
    <row r="86" spans="1:9" ht="15.75" x14ac:dyDescent="0.25">
      <c r="A86" s="163"/>
      <c r="B86" s="164">
        <f>DATE(25,11,1)</f>
        <v>9437</v>
      </c>
      <c r="C86" s="225">
        <v>198673388.47</v>
      </c>
      <c r="D86" s="225">
        <v>19260943.609999999</v>
      </c>
      <c r="E86" s="225">
        <v>18255156.379999999</v>
      </c>
      <c r="F86" s="165">
        <f>(+D86-E86)/E86</f>
        <v>5.5096062124229281E-2</v>
      </c>
      <c r="G86" s="240">
        <f>D86/C86</f>
        <v>9.6947778252186159E-2</v>
      </c>
      <c r="H86" s="241">
        <f>1-G86</f>
        <v>0.90305222174781385</v>
      </c>
      <c r="I86" s="156"/>
    </row>
    <row r="87" spans="1:9" ht="15.75" thickBot="1" x14ac:dyDescent="0.25">
      <c r="A87" s="166"/>
      <c r="B87" s="167"/>
      <c r="C87" s="225"/>
      <c r="D87" s="225"/>
      <c r="E87" s="225"/>
      <c r="F87" s="165"/>
      <c r="G87" s="240"/>
      <c r="H87" s="241"/>
      <c r="I87" s="156"/>
    </row>
    <row r="88" spans="1:9" ht="17.25" thickTop="1" thickBot="1" x14ac:dyDescent="0.3">
      <c r="A88" s="173" t="s">
        <v>14</v>
      </c>
      <c r="B88" s="174"/>
      <c r="C88" s="227">
        <f>SUM(C82:C87)</f>
        <v>1025228127.95</v>
      </c>
      <c r="D88" s="227">
        <f>SUM(D82:D87)</f>
        <v>98745714.269999996</v>
      </c>
      <c r="E88" s="227">
        <f>SUM(E82:E87)</f>
        <v>91081017.729999989</v>
      </c>
      <c r="F88" s="175">
        <f>(+D88-E88)/E88</f>
        <v>8.4152513125415287E-2</v>
      </c>
      <c r="G88" s="248">
        <f>D88/C88</f>
        <v>9.6315845788827001E-2</v>
      </c>
      <c r="H88" s="269">
        <f>1-G88</f>
        <v>0.90368415421117299</v>
      </c>
      <c r="I88" s="156"/>
    </row>
    <row r="89" spans="1:9" ht="15.75" thickTop="1" x14ac:dyDescent="0.2">
      <c r="A89" s="166"/>
      <c r="B89" s="167"/>
      <c r="C89" s="225"/>
      <c r="D89" s="225"/>
      <c r="E89" s="225"/>
      <c r="F89" s="165"/>
      <c r="G89" s="240"/>
      <c r="H89" s="241"/>
      <c r="I89" s="156"/>
    </row>
    <row r="90" spans="1:9" ht="15.75" x14ac:dyDescent="0.25">
      <c r="A90" s="163" t="s">
        <v>54</v>
      </c>
      <c r="B90" s="164">
        <f>DATE(25,7,1)</f>
        <v>9314</v>
      </c>
      <c r="C90" s="225">
        <v>28283296.43</v>
      </c>
      <c r="D90" s="225">
        <v>2945968.77</v>
      </c>
      <c r="E90" s="225">
        <v>2829692.37</v>
      </c>
      <c r="F90" s="165">
        <f>(+D90-E90)/E90</f>
        <v>4.1091533918225856E-2</v>
      </c>
      <c r="G90" s="240">
        <f>D90/C90</f>
        <v>0.10415931457251286</v>
      </c>
      <c r="H90" s="241">
        <f>1-G90</f>
        <v>0.89584068542748718</v>
      </c>
      <c r="I90" s="156"/>
    </row>
    <row r="91" spans="1:9" ht="15.75" x14ac:dyDescent="0.25">
      <c r="A91" s="163"/>
      <c r="B91" s="164">
        <f>DATE(25,8,1)</f>
        <v>9345</v>
      </c>
      <c r="C91" s="225">
        <v>27999385.52</v>
      </c>
      <c r="D91" s="225">
        <v>3020485.7</v>
      </c>
      <c r="E91" s="225">
        <v>2718513.58</v>
      </c>
      <c r="F91" s="165">
        <f>(+D91-E91)/E91</f>
        <v>0.11107986446034238</v>
      </c>
      <c r="G91" s="240">
        <f>D91/C91</f>
        <v>0.10787685672038992</v>
      </c>
      <c r="H91" s="241">
        <f>1-G91</f>
        <v>0.89212314327961006</v>
      </c>
      <c r="I91" s="156"/>
    </row>
    <row r="92" spans="1:9" ht="15.75" x14ac:dyDescent="0.25">
      <c r="A92" s="163"/>
      <c r="B92" s="164">
        <f>DATE(25,9,1)</f>
        <v>9376</v>
      </c>
      <c r="C92" s="225">
        <v>26275680.399999999</v>
      </c>
      <c r="D92" s="225">
        <v>2774787.36</v>
      </c>
      <c r="E92" s="225">
        <v>2469404.4700000002</v>
      </c>
      <c r="F92" s="165">
        <f>(+D92-E92)/E92</f>
        <v>0.12366661424242083</v>
      </c>
      <c r="G92" s="240">
        <f>D92/C92</f>
        <v>0.10560287375089249</v>
      </c>
      <c r="H92" s="241">
        <f>1-G92</f>
        <v>0.8943971262491075</v>
      </c>
      <c r="I92" s="156"/>
    </row>
    <row r="93" spans="1:9" ht="15.75" x14ac:dyDescent="0.25">
      <c r="A93" s="163"/>
      <c r="B93" s="164">
        <f>DATE(25,10,1)</f>
        <v>9406</v>
      </c>
      <c r="C93" s="225">
        <v>26708454.559999999</v>
      </c>
      <c r="D93" s="225">
        <v>2914669.86</v>
      </c>
      <c r="E93" s="225">
        <v>2475216.7799999998</v>
      </c>
      <c r="F93" s="165">
        <f>(+D93-E93)/E93</f>
        <v>0.1775412495385556</v>
      </c>
      <c r="G93" s="240">
        <f>D93/C93</f>
        <v>0.10912910941560672</v>
      </c>
      <c r="H93" s="241">
        <f>1-G93</f>
        <v>0.89087089058439328</v>
      </c>
      <c r="I93" s="156"/>
    </row>
    <row r="94" spans="1:9" ht="15.75" x14ac:dyDescent="0.25">
      <c r="A94" s="163"/>
      <c r="B94" s="164">
        <f>DATE(25,11,1)</f>
        <v>9437</v>
      </c>
      <c r="C94" s="225">
        <v>25970895.969999999</v>
      </c>
      <c r="D94" s="225">
        <v>2679585.61</v>
      </c>
      <c r="E94" s="225">
        <v>2520547.39</v>
      </c>
      <c r="F94" s="165">
        <f>(+D94-E94)/E94</f>
        <v>6.3096699007115176E-2</v>
      </c>
      <c r="G94" s="240">
        <f>D94/C94</f>
        <v>0.10317647928262831</v>
      </c>
      <c r="H94" s="241">
        <f>1-G94</f>
        <v>0.8968235207173717</v>
      </c>
      <c r="I94" s="156"/>
    </row>
    <row r="95" spans="1:9" ht="15.75" thickBot="1" x14ac:dyDescent="0.25">
      <c r="A95" s="166"/>
      <c r="B95" s="167"/>
      <c r="C95" s="225"/>
      <c r="D95" s="225"/>
      <c r="E95" s="225"/>
      <c r="F95" s="165"/>
      <c r="G95" s="240"/>
      <c r="H95" s="241"/>
      <c r="I95" s="156"/>
    </row>
    <row r="96" spans="1:9" ht="17.25" thickTop="1" thickBot="1" x14ac:dyDescent="0.3">
      <c r="A96" s="181" t="s">
        <v>14</v>
      </c>
      <c r="B96" s="182"/>
      <c r="C96" s="229">
        <f>SUM(C90:C95)</f>
        <v>135237712.88</v>
      </c>
      <c r="D96" s="229">
        <f>SUM(D90:D95)</f>
        <v>14335497.299999999</v>
      </c>
      <c r="E96" s="229">
        <f>SUM(E90:E95)</f>
        <v>13013374.59</v>
      </c>
      <c r="F96" s="175">
        <f>(+D96-E96)/E96</f>
        <v>0.10159722221597857</v>
      </c>
      <c r="G96" s="248">
        <f>D96/C96</f>
        <v>0.10600221635454797</v>
      </c>
      <c r="H96" s="245">
        <f>1-G96</f>
        <v>0.89399778364545202</v>
      </c>
      <c r="I96" s="156"/>
    </row>
    <row r="97" spans="1:9" ht="15.75" thickTop="1" x14ac:dyDescent="0.2">
      <c r="A97" s="166"/>
      <c r="B97" s="167"/>
      <c r="C97" s="225"/>
      <c r="D97" s="225"/>
      <c r="E97" s="225"/>
      <c r="F97" s="165"/>
      <c r="G97" s="240"/>
      <c r="H97" s="241"/>
      <c r="I97" s="156"/>
    </row>
    <row r="98" spans="1:9" ht="15.75" x14ac:dyDescent="0.25">
      <c r="A98" s="163" t="s">
        <v>37</v>
      </c>
      <c r="B98" s="164">
        <f>DATE(25,7,1)</f>
        <v>9314</v>
      </c>
      <c r="C98" s="225">
        <v>238893036.09999999</v>
      </c>
      <c r="D98" s="225">
        <v>21223682.460000001</v>
      </c>
      <c r="E98" s="225">
        <v>19555438.370000001</v>
      </c>
      <c r="F98" s="165">
        <f>(+D98-E98)/E98</f>
        <v>8.5308447626479864E-2</v>
      </c>
      <c r="G98" s="240">
        <f>D98/C98</f>
        <v>8.884177959509805E-2</v>
      </c>
      <c r="H98" s="241">
        <f>1-G98</f>
        <v>0.91115822040490191</v>
      </c>
      <c r="I98" s="156"/>
    </row>
    <row r="99" spans="1:9" ht="15.75" x14ac:dyDescent="0.25">
      <c r="A99" s="163"/>
      <c r="B99" s="164">
        <f>DATE(25,8,1)</f>
        <v>9345</v>
      </c>
      <c r="C99" s="225">
        <v>246476505.31999999</v>
      </c>
      <c r="D99" s="225">
        <v>22321398.02</v>
      </c>
      <c r="E99" s="225">
        <v>20551772.199999999</v>
      </c>
      <c r="F99" s="165">
        <f>(+D99-E99)/E99</f>
        <v>8.6105752962754245E-2</v>
      </c>
      <c r="G99" s="240">
        <f>D99/C99</f>
        <v>9.0561970565998448E-2</v>
      </c>
      <c r="H99" s="241">
        <f>1-G99</f>
        <v>0.90943802943400154</v>
      </c>
      <c r="I99" s="156"/>
    </row>
    <row r="100" spans="1:9" ht="15.75" x14ac:dyDescent="0.25">
      <c r="A100" s="163"/>
      <c r="B100" s="164">
        <f>DATE(25,9,1)</f>
        <v>9376</v>
      </c>
      <c r="C100" s="225">
        <v>215963997.11000001</v>
      </c>
      <c r="D100" s="225">
        <v>19101592.100000001</v>
      </c>
      <c r="E100" s="225">
        <v>19042710.359999999</v>
      </c>
      <c r="F100" s="165">
        <f>(+D100-E100)/E100</f>
        <v>3.0920881999909854E-3</v>
      </c>
      <c r="G100" s="240">
        <f>D100/C100</f>
        <v>8.8448039282541691E-2</v>
      </c>
      <c r="H100" s="241">
        <f>1-G100</f>
        <v>0.91155196071745825</v>
      </c>
      <c r="I100" s="156"/>
    </row>
    <row r="101" spans="1:9" ht="15.75" x14ac:dyDescent="0.25">
      <c r="A101" s="163"/>
      <c r="B101" s="164">
        <f>DATE(25,10,1)</f>
        <v>9406</v>
      </c>
      <c r="C101" s="225">
        <v>226780092.41</v>
      </c>
      <c r="D101" s="225">
        <v>20246911.34</v>
      </c>
      <c r="E101" s="225">
        <v>18868532.739999998</v>
      </c>
      <c r="F101" s="165">
        <f>(+D101-E101)/E101</f>
        <v>7.3051710962025854E-2</v>
      </c>
      <c r="G101" s="240">
        <f>D101/C101</f>
        <v>8.9279932488056435E-2</v>
      </c>
      <c r="H101" s="241">
        <f>1-G101</f>
        <v>0.91072006751194357</v>
      </c>
      <c r="I101" s="156"/>
    </row>
    <row r="102" spans="1:9" ht="15.75" x14ac:dyDescent="0.25">
      <c r="A102" s="163"/>
      <c r="B102" s="164">
        <f>DATE(25,11,1)</f>
        <v>9437</v>
      </c>
      <c r="C102" s="225">
        <v>218129142.97</v>
      </c>
      <c r="D102" s="225">
        <v>19813520.460000001</v>
      </c>
      <c r="E102" s="225">
        <v>19074076.34</v>
      </c>
      <c r="F102" s="165">
        <f>(+D102-E102)/E102</f>
        <v>3.8766968676188125E-2</v>
      </c>
      <c r="G102" s="240">
        <f>D102/C102</f>
        <v>9.0833898626397749E-2</v>
      </c>
      <c r="H102" s="241">
        <f>1-G102</f>
        <v>0.90916610137360221</v>
      </c>
      <c r="I102" s="156"/>
    </row>
    <row r="103" spans="1:9" ht="15.75" thickBot="1" x14ac:dyDescent="0.25">
      <c r="A103" s="166"/>
      <c r="B103" s="167"/>
      <c r="C103" s="225"/>
      <c r="D103" s="225"/>
      <c r="E103" s="225"/>
      <c r="F103" s="165"/>
      <c r="G103" s="240"/>
      <c r="H103" s="241"/>
      <c r="I103" s="156"/>
    </row>
    <row r="104" spans="1:9" ht="17.25" thickTop="1" thickBot="1" x14ac:dyDescent="0.3">
      <c r="A104" s="173" t="s">
        <v>14</v>
      </c>
      <c r="B104" s="174"/>
      <c r="C104" s="227">
        <f>SUM(C98:C103)</f>
        <v>1146242773.9099998</v>
      </c>
      <c r="D104" s="227">
        <f>SUM(D98:D103)</f>
        <v>102707104.38</v>
      </c>
      <c r="E104" s="227">
        <f>SUM(E98:E103)</f>
        <v>97092530.010000005</v>
      </c>
      <c r="F104" s="175">
        <f>(+D104-E104)/E104</f>
        <v>5.7827047759716622E-2</v>
      </c>
      <c r="G104" s="244">
        <f>D104/C104</f>
        <v>8.9603273161453584E-2</v>
      </c>
      <c r="H104" s="245">
        <f>1-G104</f>
        <v>0.91039672683854644</v>
      </c>
      <c r="I104" s="156"/>
    </row>
    <row r="105" spans="1:9" ht="15.75" thickTop="1" x14ac:dyDescent="0.2">
      <c r="A105" s="166"/>
      <c r="B105" s="167"/>
      <c r="C105" s="225"/>
      <c r="D105" s="225"/>
      <c r="E105" s="225"/>
      <c r="F105" s="165"/>
      <c r="G105" s="240"/>
      <c r="H105" s="241"/>
      <c r="I105" s="156"/>
    </row>
    <row r="106" spans="1:9" ht="15.75" x14ac:dyDescent="0.25">
      <c r="A106" s="163" t="s">
        <v>57</v>
      </c>
      <c r="B106" s="164">
        <f>DATE(25,7,1)</f>
        <v>9314</v>
      </c>
      <c r="C106" s="225">
        <v>37790635.450000003</v>
      </c>
      <c r="D106" s="225">
        <v>4106639.16</v>
      </c>
      <c r="E106" s="225">
        <v>3886760.9</v>
      </c>
      <c r="F106" s="165">
        <f>(+D106-E106)/E106</f>
        <v>5.6571079533088917E-2</v>
      </c>
      <c r="G106" s="240">
        <f>D106/C106</f>
        <v>0.10866816900799163</v>
      </c>
      <c r="H106" s="241">
        <f>1-G106</f>
        <v>0.89133183099200841</v>
      </c>
      <c r="I106" s="156"/>
    </row>
    <row r="107" spans="1:9" ht="15.75" x14ac:dyDescent="0.25">
      <c r="A107" s="163"/>
      <c r="B107" s="164">
        <f>DATE(25,8,1)</f>
        <v>9345</v>
      </c>
      <c r="C107" s="225">
        <v>38538227.060000002</v>
      </c>
      <c r="D107" s="225">
        <v>3943183.1</v>
      </c>
      <c r="E107" s="225">
        <v>4094103.92</v>
      </c>
      <c r="F107" s="165">
        <f>(+D107-E107)/E107</f>
        <v>-3.6862967562386606E-2</v>
      </c>
      <c r="G107" s="240">
        <f>D107/C107</f>
        <v>0.10231874688632861</v>
      </c>
      <c r="H107" s="241">
        <f>1-G107</f>
        <v>0.89768125311367142</v>
      </c>
      <c r="I107" s="156"/>
    </row>
    <row r="108" spans="1:9" ht="15.75" x14ac:dyDescent="0.25">
      <c r="A108" s="163"/>
      <c r="B108" s="164">
        <f>DATE(25,9,1)</f>
        <v>9376</v>
      </c>
      <c r="C108" s="225">
        <v>33862047.770000003</v>
      </c>
      <c r="D108" s="225">
        <v>3499094.83</v>
      </c>
      <c r="E108" s="225">
        <v>3432175.67</v>
      </c>
      <c r="F108" s="165">
        <f>(+D108-E108)/E108</f>
        <v>1.9497591741858642E-2</v>
      </c>
      <c r="G108" s="240">
        <f>D108/C108</f>
        <v>0.10333382238920631</v>
      </c>
      <c r="H108" s="241">
        <f>1-G108</f>
        <v>0.8966661776107937</v>
      </c>
      <c r="I108" s="156"/>
    </row>
    <row r="109" spans="1:9" ht="15.75" x14ac:dyDescent="0.25">
      <c r="A109" s="163"/>
      <c r="B109" s="164">
        <f>DATE(25,10,1)</f>
        <v>9406</v>
      </c>
      <c r="C109" s="225">
        <v>36666965.979999997</v>
      </c>
      <c r="D109" s="225">
        <v>3970427.37</v>
      </c>
      <c r="E109" s="225">
        <v>3513094.6</v>
      </c>
      <c r="F109" s="165">
        <f>(+D109-E109)/E109</f>
        <v>0.1301794634280557</v>
      </c>
      <c r="G109" s="240">
        <f>D109/C109</f>
        <v>0.10828349889013644</v>
      </c>
      <c r="H109" s="241">
        <f>1-G109</f>
        <v>0.89171650110986356</v>
      </c>
      <c r="I109" s="156"/>
    </row>
    <row r="110" spans="1:9" ht="15.75" x14ac:dyDescent="0.25">
      <c r="A110" s="163"/>
      <c r="B110" s="164">
        <f>DATE(25,11,1)</f>
        <v>9437</v>
      </c>
      <c r="C110" s="225">
        <v>36288482.350000001</v>
      </c>
      <c r="D110" s="225">
        <v>3745211.29</v>
      </c>
      <c r="E110" s="225">
        <v>3625606.94</v>
      </c>
      <c r="F110" s="165">
        <f>(+D110-E110)/E110</f>
        <v>3.2988780079949896E-2</v>
      </c>
      <c r="G110" s="240">
        <f>D110/C110</f>
        <v>0.10320661122936159</v>
      </c>
      <c r="H110" s="241">
        <f>1-G110</f>
        <v>0.89679338877063841</v>
      </c>
      <c r="I110" s="156"/>
    </row>
    <row r="111" spans="1:9" ht="15.75" thickBot="1" x14ac:dyDescent="0.25">
      <c r="A111" s="166"/>
      <c r="B111" s="167"/>
      <c r="C111" s="225"/>
      <c r="D111" s="225"/>
      <c r="E111" s="225"/>
      <c r="F111" s="165"/>
      <c r="G111" s="240"/>
      <c r="H111" s="241"/>
      <c r="I111" s="156"/>
    </row>
    <row r="112" spans="1:9" ht="17.25" thickTop="1" thickBot="1" x14ac:dyDescent="0.3">
      <c r="A112" s="168" t="s">
        <v>14</v>
      </c>
      <c r="B112" s="154"/>
      <c r="C112" s="222">
        <f>SUM(C106:C111)</f>
        <v>183146358.60999998</v>
      </c>
      <c r="D112" s="222">
        <f>SUM(D106:D111)</f>
        <v>19264555.75</v>
      </c>
      <c r="E112" s="222">
        <f>SUM(E106:E111)</f>
        <v>18551742.030000001</v>
      </c>
      <c r="F112" s="175">
        <f>(+D112-E112)/E112</f>
        <v>3.8423007329840428E-2</v>
      </c>
      <c r="G112" s="244">
        <f>D112/C112</f>
        <v>0.1051866709019468</v>
      </c>
      <c r="H112" s="245">
        <f>1-G112</f>
        <v>0.89481332909805322</v>
      </c>
      <c r="I112" s="156"/>
    </row>
    <row r="113" spans="1:9" ht="16.5" thickTop="1" thickBot="1" x14ac:dyDescent="0.25">
      <c r="A113" s="170"/>
      <c r="B113" s="171"/>
      <c r="C113" s="226"/>
      <c r="D113" s="226"/>
      <c r="E113" s="226"/>
      <c r="F113" s="172"/>
      <c r="G113" s="242"/>
      <c r="H113" s="243"/>
      <c r="I113" s="156"/>
    </row>
    <row r="114" spans="1:9" ht="17.25" thickTop="1" thickBot="1" x14ac:dyDescent="0.3">
      <c r="A114" s="183" t="s">
        <v>38</v>
      </c>
      <c r="B114" s="154"/>
      <c r="C114" s="222">
        <f>C112+C104+C80+C64+C48+C32+C16+C40+C96+C24+C72+C88+C56</f>
        <v>7348212758.3800001</v>
      </c>
      <c r="D114" s="222">
        <f>D112+D104+D80+D64+D48+D32+D16+D40+D96+D24+D72+D88+D56</f>
        <v>711768964.66000009</v>
      </c>
      <c r="E114" s="222">
        <f>E112+E104+E80+E64+E48+E32+E16+E40+E96+E24+E72+E88+E56</f>
        <v>662991426.01999998</v>
      </c>
      <c r="F114" s="169">
        <f>(+D114-E114)/E114</f>
        <v>7.3571899613870229E-2</v>
      </c>
      <c r="G114" s="235">
        <f>D114/C114</f>
        <v>9.6862868300633953E-2</v>
      </c>
      <c r="H114" s="236">
        <f>1-G114</f>
        <v>0.90313713169936605</v>
      </c>
      <c r="I114" s="156"/>
    </row>
    <row r="115" spans="1:9" ht="17.25" thickTop="1" thickBot="1" x14ac:dyDescent="0.3">
      <c r="A115" s="183"/>
      <c r="B115" s="154"/>
      <c r="C115" s="222"/>
      <c r="D115" s="222"/>
      <c r="E115" s="222"/>
      <c r="F115" s="169"/>
      <c r="G115" s="235"/>
      <c r="H115" s="236"/>
      <c r="I115" s="156"/>
    </row>
    <row r="116" spans="1:9" ht="17.25" thickTop="1" thickBot="1" x14ac:dyDescent="0.3">
      <c r="A116" s="183" t="s">
        <v>39</v>
      </c>
      <c r="B116" s="154"/>
      <c r="C116" s="222">
        <f>+C14+C22+C30+C38+C46+C54+C62+C78+C70+C86+C94+C102+C110</f>
        <v>1418357385.3299999</v>
      </c>
      <c r="D116" s="222">
        <f>+D14+D22+D30+D38+D46+D54+D62+D78+D70+D86+D94+D102+D110</f>
        <v>137086012.97</v>
      </c>
      <c r="E116" s="222">
        <f>+E14+E22+E30+E38+E46+E54+E62+E78+E70+E86+E94+E102+E110</f>
        <v>132657749.93999998</v>
      </c>
      <c r="F116" s="169">
        <f>(+D116-E116)/E116</f>
        <v>3.3381110655072044E-2</v>
      </c>
      <c r="G116" s="235">
        <f>D116/C116</f>
        <v>9.6651249105390385E-2</v>
      </c>
      <c r="H116" s="245">
        <f>1-G116</f>
        <v>0.90334875089460964</v>
      </c>
      <c r="I116" s="156"/>
    </row>
    <row r="117" spans="1:9" ht="16.5" thickTop="1" x14ac:dyDescent="0.25">
      <c r="A117" s="184"/>
      <c r="B117" s="185"/>
      <c r="C117" s="230"/>
      <c r="D117" s="230"/>
      <c r="E117" s="230"/>
      <c r="F117" s="186"/>
      <c r="G117" s="249"/>
      <c r="H117" s="249"/>
      <c r="I117" s="150"/>
    </row>
    <row r="118" spans="1:9" ht="16.5" customHeight="1" x14ac:dyDescent="0.3">
      <c r="A118" s="187" t="s">
        <v>49</v>
      </c>
      <c r="B118" s="188"/>
      <c r="C118" s="231"/>
      <c r="D118" s="231"/>
      <c r="E118" s="231"/>
      <c r="F118" s="189"/>
      <c r="G118" s="250"/>
      <c r="H118" s="250"/>
      <c r="I118" s="150"/>
    </row>
    <row r="119" spans="1:9" ht="15.75" x14ac:dyDescent="0.25">
      <c r="A119" s="190"/>
      <c r="B119" s="188"/>
      <c r="C119" s="231"/>
      <c r="D119" s="231"/>
      <c r="E119" s="231"/>
      <c r="F119" s="189"/>
      <c r="G119" s="256"/>
      <c r="H119" s="256"/>
      <c r="I119" s="150"/>
    </row>
    <row r="120" spans="1:9" ht="15.75" x14ac:dyDescent="0.25">
      <c r="A120" s="71"/>
      <c r="I120" s="150"/>
    </row>
  </sheetData>
  <phoneticPr fontId="0" type="noConversion"/>
  <printOptions horizontalCentered="1"/>
  <pageMargins left="0.75" right="0.25" top="0.31940000000000002" bottom="0.2" header="0.5" footer="0.5"/>
  <pageSetup scale="64" orientation="landscape" r:id="rId1"/>
  <headerFooter alignWithMargins="0"/>
  <rowBreaks count="2" manualBreakCount="2">
    <brk id="56" max="8" man="1"/>
    <brk id="10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2025-12-09T15:35:48Z</cp:lastPrinted>
  <dcterms:created xsi:type="dcterms:W3CDTF">2003-09-09T14:41:43Z</dcterms:created>
  <dcterms:modified xsi:type="dcterms:W3CDTF">2025-12-09T22:48:02Z</dcterms:modified>
</cp:coreProperties>
</file>