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gamingcomm-my.sharepoint.com/personal/george_wyss_mgc_dps_mo_gov/Documents/Desktop/Nov financials/"/>
    </mc:Choice>
  </mc:AlternateContent>
  <xr:revisionPtr revIDLastSave="1" documentId="8_{407AD6B0-2020-41C0-85F9-A7A87D12555B}" xr6:coauthVersionLast="47" xr6:coauthVersionMax="47" xr10:uidLastSave="{9801D70F-AA5B-4E2D-B48A-28A7B9FBFD5C}"/>
  <bookViews>
    <workbookView xWindow="38280" yWindow="-120" windowWidth="29040" windowHeight="15720" activeTab="4" xr2:uid="{66A0C858-7C7E-470F-BFD1-16DBAC704413}"/>
  </bookViews>
  <sheets>
    <sheet name="MONTHLY STATS" sheetId="1" r:id="rId1"/>
    <sheet name="YTD TAXES" sheetId="2" r:id="rId2"/>
    <sheet name="TABLE STATS" sheetId="3" r:id="rId3"/>
    <sheet name="HYBRID STATS" sheetId="5" r:id="rId4"/>
    <sheet name="SLOT STATS" sheetId="4" r:id="rId5"/>
  </sheets>
  <definedNames>
    <definedName name="_xlnm.Print_Area" localSheetId="0">'MONTHLY STATS'!$A$1:$M$104</definedName>
    <definedName name="_xlnm.Print_Area" localSheetId="4">'SLOT STATS'!$A$1:$I$105</definedName>
    <definedName name="_xlnm.Print_Area" localSheetId="2">'TABLE STATS'!$A$1:$H$104</definedName>
    <definedName name="_xlnm.Print_Titles" localSheetId="3">'HYBRID STATS'!$1:$8</definedName>
    <definedName name="_xlnm.Print_Titles" localSheetId="0">'MONTHLY STATS'!$1:$7</definedName>
    <definedName name="_xlnm.Print_Titles" localSheetId="4">'SLOT STATS'!$1:$8</definedName>
    <definedName name="_xlnm.Print_Titles" localSheetId="2">'TABLE STATS'!$1:$7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3" i="4" l="1"/>
  <c r="D103" i="4"/>
  <c r="C103" i="4"/>
  <c r="F97" i="4"/>
  <c r="G97" i="4"/>
  <c r="H97" i="4" s="1"/>
  <c r="F90" i="4"/>
  <c r="G90" i="4"/>
  <c r="H90" i="4"/>
  <c r="F83" i="4"/>
  <c r="G83" i="4"/>
  <c r="H83" i="4"/>
  <c r="F76" i="4"/>
  <c r="G76" i="4"/>
  <c r="H76" i="4" s="1"/>
  <c r="F69" i="4"/>
  <c r="G69" i="4"/>
  <c r="H69" i="4"/>
  <c r="F62" i="4"/>
  <c r="G62" i="4"/>
  <c r="H62" i="4"/>
  <c r="F55" i="4"/>
  <c r="G55" i="4"/>
  <c r="H55" i="4"/>
  <c r="F48" i="4"/>
  <c r="G48" i="4"/>
  <c r="H48" i="4"/>
  <c r="F41" i="4"/>
  <c r="G41" i="4"/>
  <c r="H41" i="4" s="1"/>
  <c r="F34" i="4"/>
  <c r="G34" i="4"/>
  <c r="H34" i="4"/>
  <c r="F27" i="4"/>
  <c r="G27" i="4"/>
  <c r="H27" i="4" s="1"/>
  <c r="F20" i="4"/>
  <c r="G20" i="4"/>
  <c r="H20" i="4" s="1"/>
  <c r="G13" i="4"/>
  <c r="H13" i="4" s="1"/>
  <c r="F13" i="4"/>
  <c r="B97" i="4"/>
  <c r="B90" i="4"/>
  <c r="B83" i="4"/>
  <c r="B76" i="4"/>
  <c r="B69" i="4"/>
  <c r="B62" i="4"/>
  <c r="B55" i="4"/>
  <c r="B48" i="4"/>
  <c r="B41" i="4"/>
  <c r="B34" i="4"/>
  <c r="B27" i="4"/>
  <c r="B20" i="4"/>
  <c r="B13" i="4"/>
  <c r="E103" i="5"/>
  <c r="D103" i="5"/>
  <c r="F103" i="5" s="1"/>
  <c r="C103" i="5"/>
  <c r="H97" i="5"/>
  <c r="G97" i="5"/>
  <c r="F97" i="5"/>
  <c r="B97" i="5"/>
  <c r="B90" i="5"/>
  <c r="B83" i="5"/>
  <c r="B76" i="5"/>
  <c r="B69" i="5"/>
  <c r="B62" i="5"/>
  <c r="B55" i="5"/>
  <c r="B48" i="5"/>
  <c r="B41" i="5"/>
  <c r="B34" i="5"/>
  <c r="B27" i="5"/>
  <c r="B20" i="5"/>
  <c r="B13" i="5"/>
  <c r="E102" i="3"/>
  <c r="D102" i="3"/>
  <c r="G102" i="3" s="1"/>
  <c r="C102" i="3"/>
  <c r="F96" i="3"/>
  <c r="G96" i="3"/>
  <c r="G89" i="3"/>
  <c r="F89" i="3"/>
  <c r="F75" i="3"/>
  <c r="G75" i="3"/>
  <c r="F68" i="3"/>
  <c r="G68" i="3"/>
  <c r="F61" i="3"/>
  <c r="G61" i="3"/>
  <c r="F54" i="3"/>
  <c r="G54" i="3"/>
  <c r="F47" i="3"/>
  <c r="G47" i="3"/>
  <c r="F40" i="3"/>
  <c r="G40" i="3"/>
  <c r="F33" i="3"/>
  <c r="G33" i="3"/>
  <c r="F26" i="3"/>
  <c r="G26" i="3"/>
  <c r="F19" i="3"/>
  <c r="G19" i="3"/>
  <c r="G12" i="3"/>
  <c r="F12" i="3"/>
  <c r="B96" i="3"/>
  <c r="B89" i="3"/>
  <c r="B82" i="3"/>
  <c r="B75" i="3"/>
  <c r="B68" i="3"/>
  <c r="B61" i="3"/>
  <c r="B54" i="3"/>
  <c r="B47" i="3"/>
  <c r="B40" i="3"/>
  <c r="B33" i="3"/>
  <c r="B26" i="3"/>
  <c r="B19" i="3"/>
  <c r="B12" i="3"/>
  <c r="N34" i="2"/>
  <c r="M34" i="2"/>
  <c r="L34" i="2"/>
  <c r="K34" i="2"/>
  <c r="J34" i="2"/>
  <c r="I34" i="2"/>
  <c r="H34" i="2"/>
  <c r="G34" i="2"/>
  <c r="F34" i="2"/>
  <c r="E34" i="2"/>
  <c r="D34" i="2"/>
  <c r="D44" i="2" s="1"/>
  <c r="C34" i="2"/>
  <c r="C44" i="2" s="1"/>
  <c r="B34" i="2"/>
  <c r="N13" i="2"/>
  <c r="M13" i="2"/>
  <c r="L13" i="2"/>
  <c r="K13" i="2"/>
  <c r="J13" i="2"/>
  <c r="I13" i="2"/>
  <c r="H13" i="2"/>
  <c r="G13" i="2"/>
  <c r="F13" i="2"/>
  <c r="E13" i="2"/>
  <c r="D13" i="2"/>
  <c r="D23" i="2" s="1"/>
  <c r="C13" i="2"/>
  <c r="C23" i="2" s="1"/>
  <c r="B13" i="2"/>
  <c r="O13" i="2" s="1"/>
  <c r="A34" i="2"/>
  <c r="A13" i="2"/>
  <c r="F53" i="1"/>
  <c r="J53" i="1"/>
  <c r="F18" i="1"/>
  <c r="J18" i="1"/>
  <c r="F32" i="1"/>
  <c r="L33" i="1"/>
  <c r="L102" i="1"/>
  <c r="K102" i="1"/>
  <c r="D102" i="1"/>
  <c r="C102" i="1"/>
  <c r="E102" i="1" s="1"/>
  <c r="M96" i="1"/>
  <c r="I96" i="1"/>
  <c r="G96" i="1"/>
  <c r="H96" i="1" s="1"/>
  <c r="F96" i="1"/>
  <c r="J96" i="1" s="1"/>
  <c r="E96" i="1"/>
  <c r="M89" i="1"/>
  <c r="I89" i="1"/>
  <c r="G89" i="1"/>
  <c r="G91" i="1" s="1"/>
  <c r="F89" i="1"/>
  <c r="F91" i="1" s="1"/>
  <c r="E89" i="1"/>
  <c r="G82" i="1"/>
  <c r="M82" i="1"/>
  <c r="I82" i="1"/>
  <c r="J82" i="1"/>
  <c r="F82" i="1"/>
  <c r="H82" i="1" s="1"/>
  <c r="E82" i="1"/>
  <c r="M75" i="1"/>
  <c r="I75" i="1"/>
  <c r="G75" i="1"/>
  <c r="F75" i="1"/>
  <c r="H75" i="1" s="1"/>
  <c r="E75" i="1"/>
  <c r="M68" i="1"/>
  <c r="I68" i="1"/>
  <c r="G68" i="1"/>
  <c r="H68" i="1" s="1"/>
  <c r="F68" i="1"/>
  <c r="J68" i="1" s="1"/>
  <c r="E68" i="1"/>
  <c r="M61" i="1"/>
  <c r="I61" i="1"/>
  <c r="G61" i="1"/>
  <c r="G63" i="1" s="1"/>
  <c r="F61" i="1"/>
  <c r="F63" i="1" s="1"/>
  <c r="H63" i="1" s="1"/>
  <c r="E61" i="1"/>
  <c r="M54" i="1"/>
  <c r="I54" i="1"/>
  <c r="J54" i="1"/>
  <c r="G54" i="1"/>
  <c r="H54" i="1" s="1"/>
  <c r="F54" i="1"/>
  <c r="E54" i="1"/>
  <c r="M47" i="1"/>
  <c r="I47" i="1"/>
  <c r="G47" i="1"/>
  <c r="F47" i="1"/>
  <c r="H47" i="1" s="1"/>
  <c r="E47" i="1"/>
  <c r="M40" i="1"/>
  <c r="I40" i="1"/>
  <c r="G40" i="1"/>
  <c r="H40" i="1" s="1"/>
  <c r="F40" i="1"/>
  <c r="J40" i="1" s="1"/>
  <c r="E40" i="1"/>
  <c r="M33" i="1"/>
  <c r="I33" i="1"/>
  <c r="G33" i="1"/>
  <c r="G35" i="1" s="1"/>
  <c r="F33" i="1"/>
  <c r="F35" i="1" s="1"/>
  <c r="E33" i="1"/>
  <c r="M26" i="1"/>
  <c r="I26" i="1"/>
  <c r="J26" i="1"/>
  <c r="G26" i="1"/>
  <c r="H26" i="1" s="1"/>
  <c r="F26" i="1"/>
  <c r="E26" i="1"/>
  <c r="M19" i="1"/>
  <c r="I19" i="1"/>
  <c r="G19" i="1"/>
  <c r="G102" i="1" s="1"/>
  <c r="F19" i="1"/>
  <c r="H19" i="1" s="1"/>
  <c r="E19" i="1"/>
  <c r="M12" i="1"/>
  <c r="I12" i="1"/>
  <c r="E12" i="1"/>
  <c r="G12" i="1"/>
  <c r="F12" i="1"/>
  <c r="J12" i="1" s="1"/>
  <c r="B96" i="1"/>
  <c r="B89" i="1"/>
  <c r="B82" i="1"/>
  <c r="B75" i="1"/>
  <c r="B68" i="1"/>
  <c r="B61" i="1"/>
  <c r="B54" i="1"/>
  <c r="B47" i="1"/>
  <c r="B40" i="1"/>
  <c r="B33" i="1"/>
  <c r="B26" i="1"/>
  <c r="B19" i="1"/>
  <c r="B12" i="1"/>
  <c r="G12" i="4"/>
  <c r="H12" i="4"/>
  <c r="F12" i="4"/>
  <c r="G19" i="4"/>
  <c r="H19" i="4"/>
  <c r="F19" i="4"/>
  <c r="G26" i="4"/>
  <c r="H26" i="4" s="1"/>
  <c r="F26" i="4"/>
  <c r="G33" i="4"/>
  <c r="H33" i="4" s="1"/>
  <c r="F33" i="4"/>
  <c r="G40" i="4"/>
  <c r="H40" i="4" s="1"/>
  <c r="F40" i="4"/>
  <c r="G47" i="4"/>
  <c r="H47" i="4" s="1"/>
  <c r="F47" i="4"/>
  <c r="G54" i="4"/>
  <c r="H54" i="4"/>
  <c r="F54" i="4"/>
  <c r="G61" i="4"/>
  <c r="H61" i="4" s="1"/>
  <c r="F61" i="4"/>
  <c r="G68" i="4"/>
  <c r="H68" i="4"/>
  <c r="F68" i="4"/>
  <c r="G75" i="4"/>
  <c r="H75" i="4"/>
  <c r="F75" i="4"/>
  <c r="G82" i="4"/>
  <c r="H82" i="4"/>
  <c r="F82" i="4"/>
  <c r="G89" i="4"/>
  <c r="H89" i="4"/>
  <c r="F89" i="4"/>
  <c r="G96" i="4"/>
  <c r="H96" i="4" s="1"/>
  <c r="F96" i="4"/>
  <c r="B96" i="4"/>
  <c r="B89" i="4"/>
  <c r="B82" i="4"/>
  <c r="B75" i="4"/>
  <c r="B68" i="4"/>
  <c r="B61" i="4"/>
  <c r="B54" i="4"/>
  <c r="B47" i="4"/>
  <c r="B40" i="4"/>
  <c r="B33" i="4"/>
  <c r="B26" i="4"/>
  <c r="B19" i="4"/>
  <c r="B12" i="4"/>
  <c r="G96" i="5"/>
  <c r="H96" i="5" s="1"/>
  <c r="B96" i="5"/>
  <c r="B89" i="5"/>
  <c r="B82" i="5"/>
  <c r="B75" i="5"/>
  <c r="B68" i="5"/>
  <c r="B61" i="5"/>
  <c r="B54" i="5"/>
  <c r="B47" i="5"/>
  <c r="B40" i="5"/>
  <c r="B33" i="5"/>
  <c r="B26" i="5"/>
  <c r="B19" i="5"/>
  <c r="B12" i="5"/>
  <c r="G11" i="3"/>
  <c r="F11" i="3"/>
  <c r="G18" i="3"/>
  <c r="F18" i="3"/>
  <c r="G25" i="3"/>
  <c r="F25" i="3"/>
  <c r="G32" i="3"/>
  <c r="F32" i="3"/>
  <c r="G39" i="3"/>
  <c r="F39" i="3"/>
  <c r="G46" i="3"/>
  <c r="F46" i="3"/>
  <c r="G53" i="3"/>
  <c r="F53" i="3"/>
  <c r="G60" i="3"/>
  <c r="F60" i="3"/>
  <c r="G67" i="3"/>
  <c r="F67" i="3"/>
  <c r="G74" i="3"/>
  <c r="F74" i="3"/>
  <c r="G88" i="3"/>
  <c r="F88" i="3"/>
  <c r="G95" i="3"/>
  <c r="F95" i="3"/>
  <c r="D70" i="3"/>
  <c r="B95" i="3"/>
  <c r="B88" i="3"/>
  <c r="B81" i="3"/>
  <c r="B74" i="3"/>
  <c r="B67" i="3"/>
  <c r="B60" i="3"/>
  <c r="B53" i="3"/>
  <c r="B46" i="3"/>
  <c r="B39" i="3"/>
  <c r="B32" i="3"/>
  <c r="B25" i="3"/>
  <c r="B18" i="3"/>
  <c r="B11" i="3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O33" i="2" s="1"/>
  <c r="N12" i="2"/>
  <c r="O12" i="2" s="1"/>
  <c r="M12" i="2"/>
  <c r="L12" i="2"/>
  <c r="K12" i="2"/>
  <c r="J12" i="2"/>
  <c r="I12" i="2"/>
  <c r="H12" i="2"/>
  <c r="G12" i="2"/>
  <c r="F12" i="2"/>
  <c r="E12" i="2"/>
  <c r="D12" i="2"/>
  <c r="C12" i="2"/>
  <c r="B12" i="2"/>
  <c r="A33" i="2"/>
  <c r="A12" i="2"/>
  <c r="F52" i="1"/>
  <c r="J52" i="1" s="1"/>
  <c r="F87" i="1"/>
  <c r="M95" i="1"/>
  <c r="I95" i="1"/>
  <c r="E95" i="1"/>
  <c r="M88" i="1"/>
  <c r="I88" i="1"/>
  <c r="E88" i="1"/>
  <c r="G88" i="1"/>
  <c r="F88" i="1"/>
  <c r="H88" i="1" s="1"/>
  <c r="J88" i="1"/>
  <c r="G95" i="1"/>
  <c r="G98" i="1" s="1"/>
  <c r="F95" i="1"/>
  <c r="F98" i="1" s="1"/>
  <c r="M81" i="1"/>
  <c r="I81" i="1"/>
  <c r="E81" i="1"/>
  <c r="G81" i="1"/>
  <c r="F81" i="1"/>
  <c r="J81" i="1"/>
  <c r="M74" i="1"/>
  <c r="I74" i="1"/>
  <c r="E74" i="1"/>
  <c r="G74" i="1"/>
  <c r="F74" i="1"/>
  <c r="H74" i="1" s="1"/>
  <c r="J74" i="1"/>
  <c r="M67" i="1"/>
  <c r="I67" i="1"/>
  <c r="E67" i="1"/>
  <c r="G67" i="1"/>
  <c r="F67" i="1"/>
  <c r="M60" i="1"/>
  <c r="I60" i="1"/>
  <c r="E60" i="1"/>
  <c r="G60" i="1"/>
  <c r="F60" i="1"/>
  <c r="J60" i="1"/>
  <c r="M53" i="1"/>
  <c r="I53" i="1"/>
  <c r="E53" i="1"/>
  <c r="G53" i="1"/>
  <c r="H53" i="1" s="1"/>
  <c r="M46" i="1"/>
  <c r="I46" i="1"/>
  <c r="E46" i="1"/>
  <c r="G46" i="1"/>
  <c r="F46" i="1"/>
  <c r="J46" i="1" s="1"/>
  <c r="M39" i="1"/>
  <c r="I39" i="1"/>
  <c r="E39" i="1"/>
  <c r="G39" i="1"/>
  <c r="H39" i="1" s="1"/>
  <c r="F39" i="1"/>
  <c r="J39" i="1"/>
  <c r="I32" i="1"/>
  <c r="E32" i="1"/>
  <c r="L32" i="1"/>
  <c r="L35" i="1" s="1"/>
  <c r="M35" i="1" s="1"/>
  <c r="G32" i="1"/>
  <c r="M25" i="1"/>
  <c r="I25" i="1"/>
  <c r="E25" i="1"/>
  <c r="G25" i="1"/>
  <c r="F25" i="1"/>
  <c r="H25" i="1" s="1"/>
  <c r="M18" i="1"/>
  <c r="I18" i="1"/>
  <c r="E18" i="1"/>
  <c r="G18" i="1"/>
  <c r="M11" i="1"/>
  <c r="I11" i="1"/>
  <c r="E11" i="1"/>
  <c r="G11" i="1"/>
  <c r="F11" i="1"/>
  <c r="B95" i="1"/>
  <c r="B88" i="1"/>
  <c r="B81" i="1"/>
  <c r="B74" i="1"/>
  <c r="B67" i="1"/>
  <c r="B60" i="1"/>
  <c r="B53" i="1"/>
  <c r="B46" i="1"/>
  <c r="B39" i="1"/>
  <c r="B32" i="1"/>
  <c r="B25" i="1"/>
  <c r="B18" i="1"/>
  <c r="B11" i="1"/>
  <c r="G95" i="4"/>
  <c r="H95" i="4" s="1"/>
  <c r="F95" i="4"/>
  <c r="G88" i="4"/>
  <c r="H88" i="4"/>
  <c r="F88" i="4"/>
  <c r="G81" i="4"/>
  <c r="H81" i="4"/>
  <c r="F81" i="4"/>
  <c r="G74" i="4"/>
  <c r="H74" i="4"/>
  <c r="F74" i="4"/>
  <c r="G67" i="4"/>
  <c r="H67" i="4" s="1"/>
  <c r="F67" i="4"/>
  <c r="G60" i="4"/>
  <c r="H60" i="4"/>
  <c r="F60" i="4"/>
  <c r="G53" i="4"/>
  <c r="H53" i="4" s="1"/>
  <c r="F53" i="4"/>
  <c r="G46" i="4"/>
  <c r="H46" i="4" s="1"/>
  <c r="F46" i="4"/>
  <c r="G39" i="4"/>
  <c r="H39" i="4"/>
  <c r="F39" i="4"/>
  <c r="G32" i="4"/>
  <c r="H32" i="4" s="1"/>
  <c r="F32" i="4"/>
  <c r="G25" i="4"/>
  <c r="H25" i="4" s="1"/>
  <c r="F25" i="4"/>
  <c r="G18" i="4"/>
  <c r="H18" i="4"/>
  <c r="F18" i="4"/>
  <c r="G11" i="4"/>
  <c r="H11" i="4"/>
  <c r="F11" i="4"/>
  <c r="B95" i="4"/>
  <c r="B88" i="4"/>
  <c r="B81" i="4"/>
  <c r="B74" i="4"/>
  <c r="B67" i="4"/>
  <c r="B60" i="4"/>
  <c r="B53" i="4"/>
  <c r="B46" i="4"/>
  <c r="B39" i="4"/>
  <c r="B32" i="4"/>
  <c r="B25" i="4"/>
  <c r="B18" i="4"/>
  <c r="B11" i="4"/>
  <c r="G95" i="5"/>
  <c r="H95" i="5"/>
  <c r="B95" i="5"/>
  <c r="B88" i="5"/>
  <c r="B81" i="5"/>
  <c r="B74" i="5"/>
  <c r="B67" i="5"/>
  <c r="B60" i="5"/>
  <c r="B53" i="5"/>
  <c r="B46" i="5"/>
  <c r="B39" i="5"/>
  <c r="B32" i="5"/>
  <c r="B25" i="5"/>
  <c r="B18" i="5"/>
  <c r="B11" i="5"/>
  <c r="G94" i="3"/>
  <c r="F94" i="3"/>
  <c r="G87" i="3"/>
  <c r="F87" i="3"/>
  <c r="G73" i="3"/>
  <c r="F73" i="3"/>
  <c r="G66" i="3"/>
  <c r="F66" i="3"/>
  <c r="G59" i="3"/>
  <c r="F59" i="3"/>
  <c r="G52" i="3"/>
  <c r="F52" i="3"/>
  <c r="G45" i="3"/>
  <c r="F45" i="3"/>
  <c r="G38" i="3"/>
  <c r="F38" i="3"/>
  <c r="G31" i="3"/>
  <c r="F31" i="3"/>
  <c r="G24" i="3"/>
  <c r="F24" i="3"/>
  <c r="G17" i="3"/>
  <c r="F17" i="3"/>
  <c r="G10" i="3"/>
  <c r="F10" i="3"/>
  <c r="B94" i="3"/>
  <c r="B87" i="3"/>
  <c r="B80" i="3"/>
  <c r="B73" i="3"/>
  <c r="B66" i="3"/>
  <c r="B59" i="3"/>
  <c r="B52" i="3"/>
  <c r="B45" i="3"/>
  <c r="B38" i="3"/>
  <c r="B31" i="3"/>
  <c r="B24" i="3"/>
  <c r="B17" i="3"/>
  <c r="B10" i="3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O32" i="2" s="1"/>
  <c r="N11" i="2"/>
  <c r="M11" i="2"/>
  <c r="L11" i="2"/>
  <c r="K11" i="2"/>
  <c r="J11" i="2"/>
  <c r="I11" i="2"/>
  <c r="I23" i="2" s="1"/>
  <c r="H11" i="2"/>
  <c r="H23" i="2" s="1"/>
  <c r="G11" i="2"/>
  <c r="O11" i="2" s="1"/>
  <c r="F11" i="2"/>
  <c r="E11" i="2"/>
  <c r="D11" i="2"/>
  <c r="C11" i="2"/>
  <c r="B11" i="2"/>
  <c r="A32" i="2"/>
  <c r="A11" i="2"/>
  <c r="F86" i="1"/>
  <c r="J86" i="1"/>
  <c r="F37" i="1"/>
  <c r="F42" i="1" s="1"/>
  <c r="J37" i="1"/>
  <c r="F23" i="1"/>
  <c r="J23" i="1" s="1"/>
  <c r="M94" i="1"/>
  <c r="I94" i="1"/>
  <c r="E94" i="1"/>
  <c r="G94" i="1"/>
  <c r="F94" i="1"/>
  <c r="J94" i="1"/>
  <c r="M87" i="1"/>
  <c r="I87" i="1"/>
  <c r="E87" i="1"/>
  <c r="G87" i="1"/>
  <c r="M80" i="1"/>
  <c r="I80" i="1"/>
  <c r="E80" i="1"/>
  <c r="G80" i="1"/>
  <c r="F80" i="1"/>
  <c r="H80" i="1" s="1"/>
  <c r="J80" i="1"/>
  <c r="M73" i="1"/>
  <c r="I73" i="1"/>
  <c r="E73" i="1"/>
  <c r="G73" i="1"/>
  <c r="F73" i="1"/>
  <c r="J73" i="1"/>
  <c r="M66" i="1"/>
  <c r="I66" i="1"/>
  <c r="E66" i="1"/>
  <c r="G66" i="1"/>
  <c r="F66" i="1"/>
  <c r="J66" i="1"/>
  <c r="M59" i="1"/>
  <c r="M58" i="1"/>
  <c r="I59" i="1"/>
  <c r="E59" i="1"/>
  <c r="G59" i="1"/>
  <c r="F59" i="1"/>
  <c r="J59" i="1" s="1"/>
  <c r="M52" i="1"/>
  <c r="I52" i="1"/>
  <c r="E52" i="1"/>
  <c r="G52" i="1"/>
  <c r="G56" i="1" s="1"/>
  <c r="M45" i="1"/>
  <c r="I45" i="1"/>
  <c r="E45" i="1"/>
  <c r="G45" i="1"/>
  <c r="G49" i="1" s="1"/>
  <c r="F45" i="1"/>
  <c r="J45" i="1" s="1"/>
  <c r="M38" i="1"/>
  <c r="I38" i="1"/>
  <c r="E38" i="1"/>
  <c r="G38" i="1"/>
  <c r="F38" i="1"/>
  <c r="J38" i="1" s="1"/>
  <c r="M31" i="1"/>
  <c r="I31" i="1"/>
  <c r="E31" i="1"/>
  <c r="G31" i="1"/>
  <c r="F31" i="1"/>
  <c r="H31" i="1" s="1"/>
  <c r="J31" i="1"/>
  <c r="M24" i="1"/>
  <c r="I24" i="1"/>
  <c r="E24" i="1"/>
  <c r="G24" i="1"/>
  <c r="F24" i="1"/>
  <c r="J24" i="1"/>
  <c r="M17" i="1"/>
  <c r="I17" i="1"/>
  <c r="E17" i="1"/>
  <c r="G17" i="1"/>
  <c r="F17" i="1"/>
  <c r="H17" i="1" s="1"/>
  <c r="J17" i="1"/>
  <c r="M10" i="1"/>
  <c r="I10" i="1"/>
  <c r="E10" i="1"/>
  <c r="G10" i="1"/>
  <c r="H10" i="1" s="1"/>
  <c r="F10" i="1"/>
  <c r="J10" i="1"/>
  <c r="B94" i="1"/>
  <c r="B87" i="1"/>
  <c r="B80" i="1"/>
  <c r="B73" i="1"/>
  <c r="B66" i="1"/>
  <c r="B59" i="1"/>
  <c r="B52" i="1"/>
  <c r="B45" i="1"/>
  <c r="B38" i="1"/>
  <c r="B31" i="1"/>
  <c r="B24" i="1"/>
  <c r="B17" i="1"/>
  <c r="B10" i="1"/>
  <c r="B94" i="4"/>
  <c r="B87" i="4"/>
  <c r="B80" i="4"/>
  <c r="B73" i="4"/>
  <c r="B66" i="4"/>
  <c r="B59" i="4"/>
  <c r="B52" i="4"/>
  <c r="B45" i="4"/>
  <c r="B38" i="4"/>
  <c r="B31" i="4"/>
  <c r="B24" i="4"/>
  <c r="B17" i="4"/>
  <c r="B10" i="4"/>
  <c r="G94" i="5"/>
  <c r="H94" i="5" s="1"/>
  <c r="B94" i="5"/>
  <c r="B87" i="5"/>
  <c r="B80" i="5"/>
  <c r="B73" i="5"/>
  <c r="B66" i="5"/>
  <c r="B59" i="5"/>
  <c r="B52" i="5"/>
  <c r="B45" i="5"/>
  <c r="B38" i="5"/>
  <c r="B31" i="5"/>
  <c r="B24" i="5"/>
  <c r="B17" i="5"/>
  <c r="B10" i="5"/>
  <c r="B93" i="3"/>
  <c r="B86" i="3"/>
  <c r="B79" i="3"/>
  <c r="B72" i="3"/>
  <c r="B65" i="3"/>
  <c r="B58" i="3"/>
  <c r="B51" i="3"/>
  <c r="B44" i="3"/>
  <c r="B37" i="3"/>
  <c r="B30" i="3"/>
  <c r="B23" i="3"/>
  <c r="B16" i="3"/>
  <c r="B9" i="3"/>
  <c r="A31" i="2"/>
  <c r="A10" i="2"/>
  <c r="G93" i="1"/>
  <c r="F93" i="1"/>
  <c r="J93" i="1"/>
  <c r="G86" i="1"/>
  <c r="E86" i="1"/>
  <c r="G79" i="1"/>
  <c r="G84" i="1" s="1"/>
  <c r="F79" i="1"/>
  <c r="F84" i="1" s="1"/>
  <c r="H84" i="1" s="1"/>
  <c r="J79" i="1"/>
  <c r="G72" i="1"/>
  <c r="G77" i="1" s="1"/>
  <c r="F72" i="1"/>
  <c r="H72" i="1" s="1"/>
  <c r="G65" i="1"/>
  <c r="G70" i="1" s="1"/>
  <c r="F65" i="1"/>
  <c r="J65" i="1" s="1"/>
  <c r="G58" i="1"/>
  <c r="F58" i="1"/>
  <c r="G51" i="1"/>
  <c r="F51" i="1"/>
  <c r="H51" i="1" s="1"/>
  <c r="G44" i="1"/>
  <c r="F44" i="1"/>
  <c r="J44" i="1" s="1"/>
  <c r="G37" i="1"/>
  <c r="G42" i="1" s="1"/>
  <c r="G30" i="1"/>
  <c r="F30" i="1"/>
  <c r="H30" i="1" s="1"/>
  <c r="J30" i="1"/>
  <c r="G23" i="1"/>
  <c r="G28" i="1" s="1"/>
  <c r="G16" i="1"/>
  <c r="H16" i="1" s="1"/>
  <c r="F16" i="1"/>
  <c r="J16" i="1"/>
  <c r="G9" i="1"/>
  <c r="F9" i="1"/>
  <c r="J9" i="1"/>
  <c r="B93" i="1"/>
  <c r="B86" i="1"/>
  <c r="B79" i="1"/>
  <c r="B72" i="1"/>
  <c r="B65" i="1"/>
  <c r="B58" i="1"/>
  <c r="B51" i="1"/>
  <c r="B44" i="1"/>
  <c r="B37" i="1"/>
  <c r="B30" i="1"/>
  <c r="B23" i="1"/>
  <c r="B16" i="1"/>
  <c r="B9" i="1"/>
  <c r="B10" i="2"/>
  <c r="B23" i="2" s="1"/>
  <c r="E99" i="5"/>
  <c r="D99" i="5"/>
  <c r="F99" i="5" s="1"/>
  <c r="C99" i="5"/>
  <c r="E92" i="5"/>
  <c r="E101" i="5" s="1"/>
  <c r="D92" i="5"/>
  <c r="D101" i="5" s="1"/>
  <c r="C92" i="5"/>
  <c r="E85" i="5"/>
  <c r="D85" i="5"/>
  <c r="C85" i="5"/>
  <c r="E78" i="5"/>
  <c r="D78" i="5"/>
  <c r="C78" i="5"/>
  <c r="E71" i="5"/>
  <c r="D71" i="5"/>
  <c r="C71" i="5"/>
  <c r="E64" i="5"/>
  <c r="D64" i="5"/>
  <c r="C64" i="5"/>
  <c r="E57" i="5"/>
  <c r="D57" i="5"/>
  <c r="C57" i="5"/>
  <c r="C101" i="5" s="1"/>
  <c r="E50" i="5"/>
  <c r="D50" i="5"/>
  <c r="C50" i="5"/>
  <c r="E43" i="5"/>
  <c r="D43" i="5"/>
  <c r="C43" i="5"/>
  <c r="E36" i="5"/>
  <c r="D36" i="5"/>
  <c r="C36" i="5"/>
  <c r="E29" i="5"/>
  <c r="D29" i="5"/>
  <c r="C29" i="5"/>
  <c r="E22" i="5"/>
  <c r="D22" i="5"/>
  <c r="C22" i="5"/>
  <c r="E15" i="5"/>
  <c r="D15" i="5"/>
  <c r="C15" i="5"/>
  <c r="F45" i="4"/>
  <c r="F44" i="3"/>
  <c r="M44" i="1"/>
  <c r="E44" i="1"/>
  <c r="F94" i="4"/>
  <c r="F93" i="3"/>
  <c r="G31" i="2"/>
  <c r="G44" i="2" s="1"/>
  <c r="G10" i="2"/>
  <c r="G23" i="2" s="1"/>
  <c r="M93" i="1"/>
  <c r="E93" i="1"/>
  <c r="E50" i="4"/>
  <c r="F50" i="4" s="1"/>
  <c r="D50" i="4"/>
  <c r="C50" i="4"/>
  <c r="G45" i="4"/>
  <c r="H45" i="4"/>
  <c r="E49" i="3"/>
  <c r="D49" i="3"/>
  <c r="C49" i="3"/>
  <c r="G44" i="3"/>
  <c r="L49" i="1"/>
  <c r="D49" i="1"/>
  <c r="C49" i="1"/>
  <c r="I49" i="1" s="1"/>
  <c r="I44" i="1"/>
  <c r="G94" i="4"/>
  <c r="H94" i="4" s="1"/>
  <c r="G93" i="3"/>
  <c r="I93" i="1"/>
  <c r="D14" i="1"/>
  <c r="D21" i="1"/>
  <c r="D28" i="1"/>
  <c r="D35" i="1"/>
  <c r="D42" i="1"/>
  <c r="D56" i="1"/>
  <c r="D63" i="1"/>
  <c r="D70" i="1"/>
  <c r="D77" i="1"/>
  <c r="D84" i="1"/>
  <c r="E84" i="1" s="1"/>
  <c r="D91" i="1"/>
  <c r="D100" i="1" s="1"/>
  <c r="D98" i="1"/>
  <c r="E98" i="1" s="1"/>
  <c r="C98" i="1"/>
  <c r="C99" i="4"/>
  <c r="D99" i="4"/>
  <c r="C98" i="3"/>
  <c r="D98" i="3"/>
  <c r="D100" i="3" s="1"/>
  <c r="E15" i="4"/>
  <c r="E22" i="4"/>
  <c r="E29" i="4"/>
  <c r="E36" i="4"/>
  <c r="F36" i="4" s="1"/>
  <c r="E43" i="4"/>
  <c r="E57" i="4"/>
  <c r="E64" i="4"/>
  <c r="E71" i="4"/>
  <c r="E101" i="4" s="1"/>
  <c r="E78" i="4"/>
  <c r="E85" i="4"/>
  <c r="E92" i="4"/>
  <c r="E99" i="4"/>
  <c r="D15" i="4"/>
  <c r="D22" i="4"/>
  <c r="F22" i="4" s="1"/>
  <c r="D29" i="4"/>
  <c r="D36" i="4"/>
  <c r="D43" i="4"/>
  <c r="D57" i="4"/>
  <c r="F57" i="4" s="1"/>
  <c r="D64" i="4"/>
  <c r="G64" i="4" s="1"/>
  <c r="H64" i="4" s="1"/>
  <c r="D71" i="4"/>
  <c r="D78" i="4"/>
  <c r="G78" i="4" s="1"/>
  <c r="H78" i="4" s="1"/>
  <c r="D85" i="4"/>
  <c r="F85" i="4" s="1"/>
  <c r="D92" i="4"/>
  <c r="D101" i="4" s="1"/>
  <c r="C15" i="4"/>
  <c r="C22" i="4"/>
  <c r="C29" i="4"/>
  <c r="C36" i="4"/>
  <c r="C43" i="4"/>
  <c r="C57" i="4"/>
  <c r="C64" i="4"/>
  <c r="C71" i="4"/>
  <c r="C78" i="4"/>
  <c r="C85" i="4"/>
  <c r="C92" i="4"/>
  <c r="F73" i="4"/>
  <c r="E14" i="3"/>
  <c r="E100" i="3" s="1"/>
  <c r="E21" i="3"/>
  <c r="E28" i="3"/>
  <c r="E35" i="3"/>
  <c r="E42" i="3"/>
  <c r="E56" i="3"/>
  <c r="E63" i="3"/>
  <c r="E70" i="3"/>
  <c r="E77" i="3"/>
  <c r="E84" i="3"/>
  <c r="E91" i="3"/>
  <c r="E98" i="3"/>
  <c r="D14" i="3"/>
  <c r="G14" i="3" s="1"/>
  <c r="D21" i="3"/>
  <c r="G21" i="3" s="1"/>
  <c r="D28" i="3"/>
  <c r="G28" i="3" s="1"/>
  <c r="D35" i="3"/>
  <c r="F35" i="3" s="1"/>
  <c r="D42" i="3"/>
  <c r="G42" i="3" s="1"/>
  <c r="D56" i="3"/>
  <c r="D63" i="3"/>
  <c r="D77" i="3"/>
  <c r="D84" i="3"/>
  <c r="D91" i="3"/>
  <c r="C14" i="3"/>
  <c r="C21" i="3"/>
  <c r="C28" i="3"/>
  <c r="C35" i="3"/>
  <c r="C42" i="3"/>
  <c r="C56" i="3"/>
  <c r="C100" i="3" s="1"/>
  <c r="C63" i="3"/>
  <c r="G63" i="3" s="1"/>
  <c r="C70" i="3"/>
  <c r="C77" i="3"/>
  <c r="C84" i="3"/>
  <c r="C91" i="3"/>
  <c r="F72" i="3"/>
  <c r="M72" i="1"/>
  <c r="E72" i="1"/>
  <c r="L14" i="1"/>
  <c r="L21" i="1"/>
  <c r="L28" i="1"/>
  <c r="L42" i="1"/>
  <c r="L56" i="1"/>
  <c r="L63" i="1"/>
  <c r="L100" i="1" s="1"/>
  <c r="L70" i="1"/>
  <c r="L77" i="1"/>
  <c r="L84" i="1"/>
  <c r="L91" i="1"/>
  <c r="K14" i="1"/>
  <c r="K21" i="1"/>
  <c r="M21" i="1" s="1"/>
  <c r="C14" i="1"/>
  <c r="C21" i="1"/>
  <c r="C28" i="1"/>
  <c r="C35" i="1"/>
  <c r="C42" i="1"/>
  <c r="E42" i="1" s="1"/>
  <c r="C56" i="1"/>
  <c r="C63" i="1"/>
  <c r="E63" i="1" s="1"/>
  <c r="C70" i="1"/>
  <c r="E70" i="1" s="1"/>
  <c r="C77" i="1"/>
  <c r="I77" i="1" s="1"/>
  <c r="C84" i="1"/>
  <c r="C91" i="1"/>
  <c r="E79" i="1"/>
  <c r="I79" i="1"/>
  <c r="M79" i="1"/>
  <c r="K77" i="1"/>
  <c r="F87" i="4"/>
  <c r="K31" i="2"/>
  <c r="K10" i="2"/>
  <c r="K23" i="2" s="1"/>
  <c r="K35" i="1"/>
  <c r="I35" i="1" s="1"/>
  <c r="K42" i="1"/>
  <c r="M42" i="1" s="1"/>
  <c r="K56" i="1"/>
  <c r="M56" i="1" s="1"/>
  <c r="K63" i="1"/>
  <c r="J63" i="1" s="1"/>
  <c r="K70" i="1"/>
  <c r="M70" i="1" s="1"/>
  <c r="K91" i="1"/>
  <c r="I72" i="1"/>
  <c r="G73" i="4"/>
  <c r="H73" i="4"/>
  <c r="G72" i="3"/>
  <c r="F59" i="4"/>
  <c r="F58" i="3"/>
  <c r="N31" i="2"/>
  <c r="M31" i="2"/>
  <c r="M44" i="2" s="1"/>
  <c r="L31" i="2"/>
  <c r="L44" i="2" s="1"/>
  <c r="J31" i="2"/>
  <c r="I31" i="2"/>
  <c r="I44" i="2" s="1"/>
  <c r="H31" i="2"/>
  <c r="H44" i="2" s="1"/>
  <c r="F31" i="2"/>
  <c r="O31" i="2" s="1"/>
  <c r="E31" i="2"/>
  <c r="C31" i="2"/>
  <c r="B31" i="2"/>
  <c r="E58" i="1"/>
  <c r="I10" i="2"/>
  <c r="G59" i="4"/>
  <c r="H59" i="4"/>
  <c r="G66" i="4"/>
  <c r="H66" i="4" s="1"/>
  <c r="F66" i="4"/>
  <c r="G58" i="3"/>
  <c r="I58" i="1"/>
  <c r="F10" i="4"/>
  <c r="G10" i="4"/>
  <c r="H10" i="4" s="1"/>
  <c r="I9" i="1"/>
  <c r="I16" i="1"/>
  <c r="I30" i="1"/>
  <c r="I37" i="1"/>
  <c r="I51" i="1"/>
  <c r="I65" i="1"/>
  <c r="I86" i="1"/>
  <c r="E9" i="1"/>
  <c r="M9" i="1"/>
  <c r="E16" i="1"/>
  <c r="M16" i="1"/>
  <c r="E23" i="1"/>
  <c r="E30" i="1"/>
  <c r="M30" i="1"/>
  <c r="E37" i="1"/>
  <c r="M37" i="1"/>
  <c r="E51" i="1"/>
  <c r="M51" i="1"/>
  <c r="E65" i="1"/>
  <c r="M65" i="1"/>
  <c r="M86" i="1"/>
  <c r="F17" i="4"/>
  <c r="G17" i="4"/>
  <c r="H17" i="4"/>
  <c r="F24" i="4"/>
  <c r="G24" i="4"/>
  <c r="H24" i="4" s="1"/>
  <c r="F31" i="4"/>
  <c r="G31" i="4"/>
  <c r="H31" i="4" s="1"/>
  <c r="F38" i="4"/>
  <c r="G38" i="4"/>
  <c r="H38" i="4" s="1"/>
  <c r="F52" i="4"/>
  <c r="G52" i="4"/>
  <c r="H52" i="4" s="1"/>
  <c r="F80" i="4"/>
  <c r="G80" i="4"/>
  <c r="H80" i="4"/>
  <c r="G87" i="4"/>
  <c r="H87" i="4" s="1"/>
  <c r="F9" i="3"/>
  <c r="F16" i="3"/>
  <c r="G16" i="3"/>
  <c r="F23" i="3"/>
  <c r="G23" i="3"/>
  <c r="F30" i="3"/>
  <c r="G30" i="3"/>
  <c r="F37" i="3"/>
  <c r="G37" i="3"/>
  <c r="F51" i="3"/>
  <c r="G51" i="3"/>
  <c r="F65" i="3"/>
  <c r="G65" i="3"/>
  <c r="F86" i="3"/>
  <c r="G86" i="3"/>
  <c r="G9" i="3"/>
  <c r="C10" i="2"/>
  <c r="D10" i="2"/>
  <c r="E10" i="2"/>
  <c r="F10" i="2"/>
  <c r="H10" i="2"/>
  <c r="J10" i="2"/>
  <c r="L10" i="2"/>
  <c r="L23" i="2" s="1"/>
  <c r="M10" i="2"/>
  <c r="M23" i="2" s="1"/>
  <c r="N10" i="2"/>
  <c r="N23" i="2" s="1"/>
  <c r="I23" i="1"/>
  <c r="M23" i="1"/>
  <c r="K28" i="1"/>
  <c r="M28" i="1" s="1"/>
  <c r="D31" i="2"/>
  <c r="L98" i="1"/>
  <c r="K98" i="1"/>
  <c r="K49" i="1"/>
  <c r="M49" i="1" s="1"/>
  <c r="K84" i="1"/>
  <c r="G99" i="4"/>
  <c r="H99" i="4" s="1"/>
  <c r="G103" i="4"/>
  <c r="H103" i="4"/>
  <c r="G36" i="4"/>
  <c r="H36" i="4"/>
  <c r="G22" i="4"/>
  <c r="H22" i="4" s="1"/>
  <c r="G57" i="4"/>
  <c r="H57" i="4" s="1"/>
  <c r="G50" i="4"/>
  <c r="H50" i="4"/>
  <c r="G43" i="4"/>
  <c r="H43" i="4"/>
  <c r="G71" i="4"/>
  <c r="H71" i="4" s="1"/>
  <c r="F103" i="4"/>
  <c r="G29" i="4"/>
  <c r="H29" i="4"/>
  <c r="F15" i="4"/>
  <c r="F43" i="4"/>
  <c r="C101" i="4"/>
  <c r="G92" i="4"/>
  <c r="H92" i="4" s="1"/>
  <c r="F99" i="4"/>
  <c r="F29" i="4"/>
  <c r="G15" i="4"/>
  <c r="H15" i="4"/>
  <c r="G99" i="5"/>
  <c r="H99" i="5"/>
  <c r="F49" i="3"/>
  <c r="F42" i="3"/>
  <c r="F102" i="3"/>
  <c r="F91" i="3"/>
  <c r="F56" i="3"/>
  <c r="F70" i="3"/>
  <c r="G49" i="3"/>
  <c r="G77" i="3"/>
  <c r="G91" i="3"/>
  <c r="F77" i="3"/>
  <c r="F98" i="3"/>
  <c r="G98" i="3"/>
  <c r="F63" i="3"/>
  <c r="G70" i="3"/>
  <c r="E28" i="1"/>
  <c r="J44" i="2"/>
  <c r="I14" i="1"/>
  <c r="H59" i="1"/>
  <c r="H58" i="1"/>
  <c r="M14" i="1"/>
  <c r="E44" i="2"/>
  <c r="M102" i="1"/>
  <c r="M91" i="1"/>
  <c r="M84" i="1"/>
  <c r="H32" i="1"/>
  <c r="J23" i="2"/>
  <c r="I42" i="1"/>
  <c r="M77" i="1"/>
  <c r="N44" i="2"/>
  <c r="J87" i="1"/>
  <c r="H66" i="1"/>
  <c r="F44" i="2"/>
  <c r="M98" i="1"/>
  <c r="H24" i="1"/>
  <c r="H94" i="1"/>
  <c r="H18" i="1"/>
  <c r="I84" i="1"/>
  <c r="E35" i="1"/>
  <c r="H67" i="1"/>
  <c r="F23" i="2"/>
  <c r="I91" i="1"/>
  <c r="E21" i="1"/>
  <c r="K44" i="2"/>
  <c r="H86" i="1"/>
  <c r="E23" i="2"/>
  <c r="E56" i="1"/>
  <c r="G14" i="1"/>
  <c r="H44" i="1"/>
  <c r="C100" i="1"/>
  <c r="J32" i="1"/>
  <c r="H60" i="1"/>
  <c r="E14" i="1"/>
  <c r="H46" i="1"/>
  <c r="H9" i="1"/>
  <c r="I21" i="1"/>
  <c r="H93" i="1"/>
  <c r="I98" i="1"/>
  <c r="H87" i="1"/>
  <c r="H37" i="1"/>
  <c r="F14" i="1"/>
  <c r="H14" i="1" s="1"/>
  <c r="J14" i="1"/>
  <c r="H73" i="1"/>
  <c r="J67" i="1"/>
  <c r="J58" i="1"/>
  <c r="H11" i="1"/>
  <c r="H81" i="1"/>
  <c r="J11" i="1"/>
  <c r="O44" i="2" l="1"/>
  <c r="G101" i="5"/>
  <c r="H101" i="5" s="1"/>
  <c r="F101" i="5"/>
  <c r="J84" i="1"/>
  <c r="G100" i="3"/>
  <c r="F100" i="3"/>
  <c r="H42" i="1"/>
  <c r="J98" i="1"/>
  <c r="H98" i="1"/>
  <c r="E100" i="1"/>
  <c r="F101" i="4"/>
  <c r="G101" i="4"/>
  <c r="H101" i="4" s="1"/>
  <c r="G100" i="1"/>
  <c r="J35" i="1"/>
  <c r="H35" i="1"/>
  <c r="J91" i="1"/>
  <c r="H91" i="1"/>
  <c r="J19" i="1"/>
  <c r="J33" i="1"/>
  <c r="J47" i="1"/>
  <c r="J61" i="1"/>
  <c r="F102" i="1"/>
  <c r="J70" i="1"/>
  <c r="G21" i="1"/>
  <c r="H45" i="1"/>
  <c r="I63" i="1"/>
  <c r="F78" i="4"/>
  <c r="H33" i="1"/>
  <c r="G103" i="5"/>
  <c r="H103" i="5" s="1"/>
  <c r="J75" i="1"/>
  <c r="K100" i="1"/>
  <c r="F21" i="1"/>
  <c r="H23" i="1"/>
  <c r="M63" i="1"/>
  <c r="E77" i="1"/>
  <c r="F64" i="4"/>
  <c r="H61" i="1"/>
  <c r="M32" i="1"/>
  <c r="J72" i="1"/>
  <c r="H79" i="1"/>
  <c r="F28" i="1"/>
  <c r="H28" i="1" s="1"/>
  <c r="J89" i="1"/>
  <c r="E49" i="1"/>
  <c r="H89" i="1"/>
  <c r="G35" i="3"/>
  <c r="J42" i="1"/>
  <c r="O10" i="2"/>
  <c r="O23" i="2" s="1"/>
  <c r="I28" i="1"/>
  <c r="H38" i="1"/>
  <c r="H52" i="1"/>
  <c r="I70" i="1"/>
  <c r="F28" i="3"/>
  <c r="J51" i="1"/>
  <c r="J25" i="1"/>
  <c r="F21" i="3"/>
  <c r="F71" i="4"/>
  <c r="H65" i="1"/>
  <c r="B44" i="2"/>
  <c r="F70" i="1"/>
  <c r="H70" i="1" s="1"/>
  <c r="I56" i="1"/>
  <c r="F14" i="3"/>
  <c r="J95" i="1"/>
  <c r="H95" i="1"/>
  <c r="O34" i="2"/>
  <c r="H12" i="1"/>
  <c r="F77" i="1"/>
  <c r="F56" i="1"/>
  <c r="H56" i="1" s="1"/>
  <c r="G56" i="3"/>
  <c r="G85" i="4"/>
  <c r="H85" i="4" s="1"/>
  <c r="E91" i="1"/>
  <c r="F92" i="4"/>
  <c r="F49" i="1"/>
  <c r="I102" i="1"/>
  <c r="J77" i="1" l="1"/>
  <c r="H77" i="1"/>
  <c r="F100" i="1"/>
  <c r="H100" i="1" s="1"/>
  <c r="J102" i="1"/>
  <c r="H102" i="1"/>
  <c r="J56" i="1"/>
  <c r="H21" i="1"/>
  <c r="J21" i="1"/>
  <c r="J49" i="1"/>
  <c r="H49" i="1"/>
  <c r="M100" i="1"/>
  <c r="I100" i="1"/>
  <c r="J100" i="1"/>
  <c r="J28" i="1"/>
</calcChain>
</file>

<file path=xl/sharedStrings.xml><?xml version="1.0" encoding="utf-8"?>
<sst xmlns="http://schemas.openxmlformats.org/spreadsheetml/2006/main" count="241" uniqueCount="79">
  <si>
    <t>MISSOURI GAMING COMMISSION</t>
  </si>
  <si>
    <t>CURR YR</t>
  </si>
  <si>
    <t>CURR</t>
  </si>
  <si>
    <t>PRIOR YR</t>
  </si>
  <si>
    <t>WIN PER</t>
  </si>
  <si>
    <t xml:space="preserve">BOAT </t>
  </si>
  <si>
    <t>YEAR</t>
  </si>
  <si>
    <t>ADMISSIONS</t>
  </si>
  <si>
    <t>% CHG</t>
  </si>
  <si>
    <t>PATRONS</t>
  </si>
  <si>
    <t>ADMISSION</t>
  </si>
  <si>
    <t>PATRON</t>
  </si>
  <si>
    <t>TOTAL AGR</t>
  </si>
  <si>
    <t>ARGOSY</t>
  </si>
  <si>
    <t xml:space="preserve">      TOTALS:</t>
  </si>
  <si>
    <t>IOC - BOONVILLE</t>
  </si>
  <si>
    <t xml:space="preserve">AMERISTAR KC </t>
  </si>
  <si>
    <t>AMERISTAR SC</t>
  </si>
  <si>
    <t>STATE TOTALS FYTD:</t>
  </si>
  <si>
    <t>STATE TOTALS MTD:</t>
  </si>
  <si>
    <t>NOTE:  1)    The figures in this report are subject to adjustment.</t>
  </si>
  <si>
    <t>FISCAL YTD ADMISSION FEES &amp; GAMING TAX BY LICENSED OPERATOR</t>
  </si>
  <si>
    <t>ADMISSIONS FEES</t>
  </si>
  <si>
    <t>STATE</t>
  </si>
  <si>
    <t>MONTH</t>
  </si>
  <si>
    <t>AMERISTAR KC</t>
  </si>
  <si>
    <t>TOTAL</t>
  </si>
  <si>
    <t>TOTALS</t>
  </si>
  <si>
    <t>GAMING TAX</t>
  </si>
  <si>
    <t>NOTE:  THE FIGURES IN THIS REPORT ARE SUBJECT TO ADJUSTMENT</t>
  </si>
  <si>
    <t xml:space="preserve">TABLE GAMES - FISCAL YTD  ANALYSIS OF HOLD % BY BOAT </t>
  </si>
  <si>
    <t>CURR YEAR</t>
  </si>
  <si>
    <t>ACTUAL</t>
  </si>
  <si>
    <t>TABLE DROP</t>
  </si>
  <si>
    <t>TABLE WIN</t>
  </si>
  <si>
    <t>HOLD %</t>
  </si>
  <si>
    <t>ARGOSY RIVERSIDE</t>
  </si>
  <si>
    <t xml:space="preserve">AMERISTAR SC </t>
  </si>
  <si>
    <t>STATE TOTALS FISCAL YTD:</t>
  </si>
  <si>
    <t>STATE TOTALS CURR MONTH:</t>
  </si>
  <si>
    <t>NOTE:  The figures in this report are subject to adjustment.</t>
  </si>
  <si>
    <t>ELECTRONIC GAMING DEVICES</t>
  </si>
  <si>
    <t xml:space="preserve">FISCAL YTD ANALYSIS OF HOLD &amp; PAYOUT % BY BOAT </t>
  </si>
  <si>
    <t>CURRENT YEAR</t>
  </si>
  <si>
    <t>SLOT</t>
  </si>
  <si>
    <t>HANDLE</t>
  </si>
  <si>
    <t>SLOT WIN</t>
  </si>
  <si>
    <t>PAYOUT %</t>
  </si>
  <si>
    <t xml:space="preserve">IOC - BOONVILLE </t>
  </si>
  <si>
    <t>NOTE:    The figures in this report are subject to adjustment.</t>
  </si>
  <si>
    <t>MARK TWAIN</t>
  </si>
  <si>
    <t xml:space="preserve">ST. JO </t>
  </si>
  <si>
    <t>RIVER CITY</t>
  </si>
  <si>
    <t xml:space="preserve">RIVER CITY </t>
  </si>
  <si>
    <t xml:space="preserve">MARK TWAIN </t>
  </si>
  <si>
    <t>HOLLYWOOD</t>
  </si>
  <si>
    <t>ST. JO FRONTIER</t>
  </si>
  <si>
    <t xml:space="preserve">ST. JO FRONTIER </t>
  </si>
  <si>
    <t xml:space="preserve">HOLLYWOOD </t>
  </si>
  <si>
    <t>HYBRID TABLES</t>
  </si>
  <si>
    <t>HARRAHS KC</t>
  </si>
  <si>
    <t xml:space="preserve">CENTURY- CAPE </t>
  </si>
  <si>
    <t>CENTURY-CARUTHERSVILLE</t>
  </si>
  <si>
    <t>CENTURY - CAPE</t>
  </si>
  <si>
    <t>CENTURY-CAPE</t>
  </si>
  <si>
    <t>HYBRID</t>
  </si>
  <si>
    <t>HYBRID WIN</t>
  </si>
  <si>
    <t>BALLY'S KANSAS CITY</t>
  </si>
  <si>
    <t>BALLY'S KC</t>
  </si>
  <si>
    <t>HORSESHOE ST. LOUIS</t>
  </si>
  <si>
    <t>HORSESHOE STL</t>
  </si>
  <si>
    <t xml:space="preserve">FISCAL 2026 YTD ADMISSIONS, PATRONS AND AGR SUMMARY </t>
  </si>
  <si>
    <t>MONTH ENDED:  OCTOBER 31, 2025</t>
  </si>
  <si>
    <t>(as reported on the tax remittal database dtd 11/6/25)</t>
  </si>
  <si>
    <t>FOR THE MONTH ENDED:   OCTOBER  10, 2025</t>
  </si>
  <si>
    <t>THRU MONTH ENDED:   OCTOBER 31, 2025</t>
  </si>
  <si>
    <t>(as reported on the tax remittal database as of 11/6/25)</t>
  </si>
  <si>
    <t>THRU MONTH ENDED:    OCTOBER 31, 2025</t>
  </si>
  <si>
    <t>THRU MONTH ENDED:     OCTOBER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</si>
</sst>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;[Red]\-General"/>
    <numFmt numFmtId="165" formatCode="0.000%"/>
    <numFmt numFmtId="166" formatCode="#,##0.00;[Red]\-#,##0.00"/>
    <numFmt numFmtId="167" formatCode="0.0%"/>
  </numFmts>
  <fonts count="17" x14ac:knownFonts="1">
    <font>
      <sz val="12"/>
      <name val="Arial"/>
    </font>
    <font>
      <b/>
      <sz val="10"/>
      <name val="Arial"/>
    </font>
    <font>
      <sz val="12"/>
      <name val="Arial"/>
    </font>
    <font>
      <b/>
      <sz val="14"/>
      <name val="Arial"/>
    </font>
    <font>
      <b/>
      <i/>
      <sz val="14"/>
      <name val="Arial"/>
    </font>
    <font>
      <b/>
      <sz val="11"/>
      <name val="Arial"/>
    </font>
    <font>
      <b/>
      <sz val="12"/>
      <name val="Arial"/>
    </font>
    <font>
      <b/>
      <u/>
      <sz val="12"/>
      <name val="Arial"/>
    </font>
    <font>
      <b/>
      <sz val="18"/>
      <name val="Arial"/>
    </font>
    <font>
      <b/>
      <i/>
      <u/>
      <sz val="14"/>
      <name val="Arial"/>
    </font>
    <font>
      <b/>
      <i/>
      <u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22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</borders>
  <cellStyleXfs count="4">
    <xf numFmtId="164" fontId="0" fillId="0" borderId="0"/>
    <xf numFmtId="0" fontId="2" fillId="0" borderId="0"/>
    <xf numFmtId="0" fontId="2" fillId="0" borderId="0"/>
    <xf numFmtId="0" fontId="2" fillId="0" borderId="0"/>
  </cellStyleXfs>
  <cellXfs count="274">
    <xf numFmtId="164" fontId="2" fillId="0" borderId="0" xfId="0" applyFont="1" applyProtection="1">
      <protection locked="0"/>
    </xf>
    <xf numFmtId="0" fontId="3" fillId="0" borderId="0" xfId="0" applyNumberFormat="1" applyFont="1"/>
    <xf numFmtId="164" fontId="0" fillId="0" borderId="0" xfId="0"/>
    <xf numFmtId="164" fontId="0" fillId="0" borderId="0" xfId="0" applyProtection="1">
      <protection locked="0"/>
    </xf>
    <xf numFmtId="0" fontId="4" fillId="0" borderId="0" xfId="0" applyNumberFormat="1" applyFont="1"/>
    <xf numFmtId="164" fontId="1" fillId="0" borderId="0" xfId="0" applyFont="1" applyAlignment="1">
      <alignment horizontal="center"/>
    </xf>
    <xf numFmtId="164" fontId="0" fillId="2" borderId="1" xfId="0" applyFill="1" applyBorder="1"/>
    <xf numFmtId="164" fontId="5" fillId="2" borderId="2" xfId="0" applyFont="1" applyFill="1" applyBorder="1" applyAlignment="1">
      <alignment horizontal="center"/>
    </xf>
    <xf numFmtId="164" fontId="5" fillId="3" borderId="2" xfId="0" applyFont="1" applyFill="1" applyBorder="1" applyAlignment="1">
      <alignment horizontal="center"/>
    </xf>
    <xf numFmtId="164" fontId="5" fillId="3" borderId="3" xfId="0" applyFont="1" applyFill="1" applyBorder="1" applyAlignment="1">
      <alignment horizontal="center"/>
    </xf>
    <xf numFmtId="164" fontId="6" fillId="2" borderId="4" xfId="0" applyFont="1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0" fillId="3" borderId="5" xfId="0" applyFill="1" applyBorder="1" applyAlignment="1">
      <alignment horizontal="center"/>
    </xf>
    <xf numFmtId="164" fontId="5" fillId="3" borderId="6" xfId="0" applyFont="1" applyFill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7" fillId="3" borderId="2" xfId="0" applyFont="1" applyFill="1" applyBorder="1" applyAlignment="1">
      <alignment horizontal="center"/>
    </xf>
    <xf numFmtId="164" fontId="7" fillId="3" borderId="3" xfId="0" applyFont="1" applyFill="1" applyBorder="1" applyAlignment="1">
      <alignment horizontal="center"/>
    </xf>
    <xf numFmtId="166" fontId="6" fillId="0" borderId="4" xfId="0" applyNumberFormat="1" applyFont="1" applyBorder="1"/>
    <xf numFmtId="17" fontId="0" fillId="0" borderId="5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9" fontId="0" fillId="3" borderId="5" xfId="0" applyNumberFormat="1" applyFill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9" fontId="0" fillId="3" borderId="6" xfId="0" applyNumberFormat="1" applyFill="1" applyBorder="1" applyAlignment="1">
      <alignment horizontal="center"/>
    </xf>
    <xf numFmtId="166" fontId="6" fillId="2" borderId="1" xfId="0" applyNumberFormat="1" applyFont="1" applyFill="1" applyBorder="1"/>
    <xf numFmtId="164" fontId="0" fillId="2" borderId="2" xfId="0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9" fontId="0" fillId="3" borderId="2" xfId="0" applyNumberForma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6" fontId="6" fillId="0" borderId="1" xfId="0" applyNumberFormat="1" applyFont="1" applyBorder="1"/>
    <xf numFmtId="164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9" fontId="0" fillId="3" borderId="3" xfId="0" applyNumberFormat="1" applyFill="1" applyBorder="1" applyAlignment="1">
      <alignment horizontal="center"/>
    </xf>
    <xf numFmtId="166" fontId="0" fillId="0" borderId="4" xfId="0" applyNumberFormat="1" applyBorder="1"/>
    <xf numFmtId="166" fontId="6" fillId="2" borderId="7" xfId="0" applyNumberFormat="1" applyFont="1" applyFill="1" applyBorder="1"/>
    <xf numFmtId="164" fontId="0" fillId="2" borderId="8" xfId="0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4" fontId="6" fillId="2" borderId="8" xfId="0" applyNumberFormat="1" applyFont="1" applyFill="1" applyBorder="1" applyAlignment="1">
      <alignment horizontal="center"/>
    </xf>
    <xf numFmtId="9" fontId="6" fillId="3" borderId="9" xfId="0" applyNumberFormat="1" applyFont="1" applyFill="1" applyBorder="1" applyAlignment="1">
      <alignment horizontal="center"/>
    </xf>
    <xf numFmtId="164" fontId="0" fillId="0" borderId="5" xfId="0" applyBorder="1" applyAlignment="1">
      <alignment horizontal="center"/>
    </xf>
    <xf numFmtId="9" fontId="0" fillId="3" borderId="10" xfId="0" applyNumberForma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9" fontId="6" fillId="3" borderId="11" xfId="0" applyNumberFormat="1" applyFont="1" applyFill="1" applyBorder="1" applyAlignment="1">
      <alignment horizontal="center"/>
    </xf>
    <xf numFmtId="4" fontId="6" fillId="2" borderId="10" xfId="0" applyNumberFormat="1" applyFont="1" applyFill="1" applyBorder="1" applyAlignment="1">
      <alignment horizontal="center"/>
    </xf>
    <xf numFmtId="4" fontId="6" fillId="2" borderId="11" xfId="0" applyNumberFormat="1" applyFont="1" applyFill="1" applyBorder="1" applyAlignment="1">
      <alignment horizontal="center"/>
    </xf>
    <xf numFmtId="164" fontId="0" fillId="2" borderId="10" xfId="0" applyFill="1" applyBorder="1" applyAlignment="1">
      <alignment horizontal="center"/>
    </xf>
    <xf numFmtId="9" fontId="6" fillId="3" borderId="10" xfId="0" applyNumberFormat="1" applyFont="1" applyFill="1" applyBorder="1" applyAlignment="1">
      <alignment horizontal="center"/>
    </xf>
    <xf numFmtId="164" fontId="0" fillId="0" borderId="1" xfId="0" applyBorder="1"/>
    <xf numFmtId="164" fontId="0" fillId="0" borderId="2" xfId="0" applyBorder="1"/>
    <xf numFmtId="164" fontId="0" fillId="3" borderId="2" xfId="0" applyFill="1" applyBorder="1"/>
    <xf numFmtId="164" fontId="0" fillId="3" borderId="3" xfId="0" applyFill="1" applyBorder="1"/>
    <xf numFmtId="164" fontId="0" fillId="0" borderId="4" xfId="0" applyBorder="1"/>
    <xf numFmtId="164" fontId="0" fillId="0" borderId="5" xfId="0" applyBorder="1"/>
    <xf numFmtId="164" fontId="0" fillId="3" borderId="5" xfId="0" applyFill="1" applyBorder="1"/>
    <xf numFmtId="164" fontId="0" fillId="3" borderId="6" xfId="0" applyFill="1" applyBorder="1"/>
    <xf numFmtId="166" fontId="6" fillId="2" borderId="12" xfId="0" applyNumberFormat="1" applyFont="1" applyFill="1" applyBorder="1"/>
    <xf numFmtId="166" fontId="0" fillId="0" borderId="1" xfId="0" applyNumberFormat="1" applyBorder="1"/>
    <xf numFmtId="166" fontId="6" fillId="2" borderId="1" xfId="0" applyNumberFormat="1" applyFont="1" applyFill="1" applyBorder="1" applyAlignment="1">
      <alignment horizontal="center"/>
    </xf>
    <xf numFmtId="164" fontId="6" fillId="2" borderId="2" xfId="0" applyFont="1" applyFill="1" applyBorder="1" applyAlignment="1">
      <alignment horizontal="center"/>
    </xf>
    <xf numFmtId="166" fontId="0" fillId="0" borderId="13" xfId="0" applyNumberFormat="1" applyBorder="1"/>
    <xf numFmtId="164" fontId="0" fillId="0" borderId="13" xfId="0" applyBorder="1" applyAlignment="1">
      <alignment horizontal="center"/>
    </xf>
    <xf numFmtId="3" fontId="0" fillId="0" borderId="13" xfId="0" applyNumberFormat="1" applyBorder="1" applyAlignment="1">
      <alignment horizontal="center"/>
    </xf>
    <xf numFmtId="166" fontId="3" fillId="0" borderId="0" xfId="0" applyNumberFormat="1" applyFont="1"/>
    <xf numFmtId="164" fontId="0" fillId="0" borderId="0" xfId="0" applyAlignment="1">
      <alignment horizontal="center"/>
    </xf>
    <xf numFmtId="4" fontId="6" fillId="0" borderId="0" xfId="0" applyNumberFormat="1" applyFont="1"/>
    <xf numFmtId="0" fontId="6" fillId="0" borderId="0" xfId="0" applyNumberFormat="1" applyFont="1"/>
    <xf numFmtId="17" fontId="0" fillId="0" borderId="0" xfId="0" applyNumberFormat="1" applyAlignment="1">
      <alignment horizontal="center"/>
    </xf>
    <xf numFmtId="4" fontId="0" fillId="0" borderId="0" xfId="0" applyNumberFormat="1"/>
    <xf numFmtId="165" fontId="0" fillId="0" borderId="0" xfId="0" applyNumberFormat="1"/>
    <xf numFmtId="164" fontId="6" fillId="0" borderId="0" xfId="0" applyFont="1"/>
    <xf numFmtId="17" fontId="0" fillId="0" borderId="0" xfId="0" applyNumberFormat="1"/>
    <xf numFmtId="0" fontId="8" fillId="0" borderId="0" xfId="3" applyFont="1"/>
    <xf numFmtId="0" fontId="2" fillId="0" borderId="0" xfId="3"/>
    <xf numFmtId="0" fontId="2" fillId="0" borderId="0" xfId="3" applyProtection="1">
      <protection locked="0"/>
    </xf>
    <xf numFmtId="0" fontId="2" fillId="3" borderId="1" xfId="3" applyFill="1" applyBorder="1"/>
    <xf numFmtId="0" fontId="6" fillId="3" borderId="1" xfId="3" applyFont="1" applyFill="1" applyBorder="1" applyAlignment="1">
      <alignment horizontal="center"/>
    </xf>
    <xf numFmtId="0" fontId="2" fillId="0" borderId="4" xfId="3" applyBorder="1"/>
    <xf numFmtId="0" fontId="7" fillId="3" borderId="4" xfId="3" applyFont="1" applyFill="1" applyBorder="1" applyAlignment="1">
      <alignment horizontal="center"/>
    </xf>
    <xf numFmtId="0" fontId="2" fillId="3" borderId="4" xfId="3" applyFill="1" applyBorder="1"/>
    <xf numFmtId="0" fontId="2" fillId="2" borderId="1" xfId="3" applyFill="1" applyBorder="1"/>
    <xf numFmtId="0" fontId="2" fillId="0" borderId="1" xfId="3" applyBorder="1"/>
    <xf numFmtId="17" fontId="2" fillId="0" borderId="14" xfId="3" applyNumberFormat="1" applyBorder="1" applyAlignment="1">
      <alignment horizontal="center"/>
    </xf>
    <xf numFmtId="3" fontId="2" fillId="0" borderId="14" xfId="3" applyNumberFormat="1" applyBorder="1" applyAlignment="1">
      <alignment horizontal="center"/>
    </xf>
    <xf numFmtId="3" fontId="6" fillId="0" borderId="14" xfId="3" applyNumberFormat="1" applyFont="1" applyBorder="1" applyAlignment="1">
      <alignment horizontal="center"/>
    </xf>
    <xf numFmtId="17" fontId="7" fillId="0" borderId="14" xfId="3" applyNumberFormat="1" applyFont="1" applyBorder="1" applyAlignment="1">
      <alignment horizontal="center"/>
    </xf>
    <xf numFmtId="17" fontId="6" fillId="0" borderId="14" xfId="3" applyNumberFormat="1" applyFont="1" applyBorder="1" applyAlignment="1">
      <alignment horizontal="center"/>
    </xf>
    <xf numFmtId="17" fontId="2" fillId="0" borderId="13" xfId="3" applyNumberFormat="1" applyBorder="1" applyAlignment="1">
      <alignment horizontal="center"/>
    </xf>
    <xf numFmtId="0" fontId="2" fillId="0" borderId="13" xfId="3" applyBorder="1" applyAlignment="1">
      <alignment horizontal="center"/>
    </xf>
    <xf numFmtId="17" fontId="8" fillId="0" borderId="0" xfId="3" applyNumberFormat="1" applyFont="1" applyAlignment="1">
      <alignment horizontal="centerContinuous"/>
    </xf>
    <xf numFmtId="0" fontId="8" fillId="0" borderId="0" xfId="3" applyFont="1" applyAlignment="1">
      <alignment horizontal="centerContinuous"/>
    </xf>
    <xf numFmtId="0" fontId="2" fillId="0" borderId="0" xfId="3" applyAlignment="1">
      <alignment horizontal="center"/>
    </xf>
    <xf numFmtId="17" fontId="2" fillId="3" borderId="1" xfId="3" applyNumberFormat="1" applyFill="1" applyBorder="1" applyAlignment="1">
      <alignment horizontal="center"/>
    </xf>
    <xf numFmtId="0" fontId="2" fillId="3" borderId="1" xfId="3" applyFill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17" fontId="7" fillId="3" borderId="4" xfId="3" applyNumberFormat="1" applyFont="1" applyFill="1" applyBorder="1" applyAlignment="1">
      <alignment horizontal="center"/>
    </xf>
    <xf numFmtId="17" fontId="2" fillId="3" borderId="4" xfId="3" applyNumberFormat="1" applyFill="1" applyBorder="1" applyAlignment="1">
      <alignment horizontal="center"/>
    </xf>
    <xf numFmtId="0" fontId="2" fillId="3" borderId="4" xfId="3" applyFill="1" applyBorder="1" applyAlignment="1">
      <alignment horizontal="center"/>
    </xf>
    <xf numFmtId="17" fontId="2" fillId="2" borderId="1" xfId="3" applyNumberFormat="1" applyFill="1" applyBorder="1" applyAlignment="1">
      <alignment horizontal="center"/>
    </xf>
    <xf numFmtId="0" fontId="2" fillId="2" borderId="1" xfId="3" applyFill="1" applyBorder="1" applyAlignment="1">
      <alignment horizontal="center"/>
    </xf>
    <xf numFmtId="0" fontId="2" fillId="0" borderId="1" xfId="3" applyBorder="1" applyAlignment="1">
      <alignment horizontal="center"/>
    </xf>
    <xf numFmtId="4" fontId="2" fillId="0" borderId="13" xfId="3" applyNumberFormat="1" applyBorder="1" applyAlignment="1">
      <alignment horizontal="center"/>
    </xf>
    <xf numFmtId="0" fontId="7" fillId="0" borderId="0" xfId="3" applyFont="1" applyAlignment="1">
      <alignment horizontal="left"/>
    </xf>
    <xf numFmtId="0" fontId="3" fillId="0" borderId="0" xfId="2" applyFont="1"/>
    <xf numFmtId="0" fontId="2" fillId="0" borderId="0" xfId="2"/>
    <xf numFmtId="0" fontId="4" fillId="0" borderId="0" xfId="2" applyFont="1"/>
    <xf numFmtId="0" fontId="2" fillId="2" borderId="1" xfId="2" applyFill="1" applyBorder="1"/>
    <xf numFmtId="0" fontId="6" fillId="2" borderId="2" xfId="2" applyFont="1" applyFill="1" applyBorder="1" applyAlignment="1">
      <alignment horizontal="center"/>
    </xf>
    <xf numFmtId="0" fontId="6" fillId="3" borderId="2" xfId="2" applyFont="1" applyFill="1" applyBorder="1" applyAlignment="1">
      <alignment horizontal="center"/>
    </xf>
    <xf numFmtId="0" fontId="2" fillId="0" borderId="4" xfId="2" applyBorder="1"/>
    <xf numFmtId="0" fontId="6" fillId="2" borderId="15" xfId="2" applyFont="1" applyFill="1" applyBorder="1" applyAlignment="1">
      <alignment horizontal="center"/>
    </xf>
    <xf numFmtId="0" fontId="6" fillId="2" borderId="16" xfId="2" applyFont="1" applyFill="1" applyBorder="1" applyAlignment="1">
      <alignment horizontal="center"/>
    </xf>
    <xf numFmtId="0" fontId="6" fillId="3" borderId="16" xfId="2" applyFont="1" applyFill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3" borderId="5" xfId="2" applyFont="1" applyFill="1" applyBorder="1" applyAlignment="1">
      <alignment horizontal="center"/>
    </xf>
    <xf numFmtId="166" fontId="6" fillId="0" borderId="4" xfId="2" applyNumberFormat="1" applyFont="1" applyBorder="1"/>
    <xf numFmtId="17" fontId="2" fillId="0" borderId="5" xfId="2" applyNumberFormat="1" applyBorder="1" applyAlignment="1">
      <alignment horizontal="center"/>
    </xf>
    <xf numFmtId="9" fontId="2" fillId="3" borderId="5" xfId="2" applyNumberFormat="1" applyFill="1" applyBorder="1" applyAlignment="1">
      <alignment horizontal="center"/>
    </xf>
    <xf numFmtId="166" fontId="2" fillId="0" borderId="4" xfId="2" applyNumberFormat="1" applyBorder="1"/>
    <xf numFmtId="0" fontId="2" fillId="0" borderId="5" xfId="2" applyBorder="1" applyAlignment="1">
      <alignment horizontal="center"/>
    </xf>
    <xf numFmtId="166" fontId="6" fillId="2" borderId="1" xfId="2" applyNumberFormat="1" applyFont="1" applyFill="1" applyBorder="1"/>
    <xf numFmtId="0" fontId="2" fillId="2" borderId="2" xfId="2" applyFill="1" applyBorder="1" applyAlignment="1">
      <alignment horizontal="center"/>
    </xf>
    <xf numFmtId="9" fontId="6" fillId="3" borderId="2" xfId="2" applyNumberFormat="1" applyFont="1" applyFill="1" applyBorder="1" applyAlignment="1">
      <alignment horizontal="center"/>
    </xf>
    <xf numFmtId="166" fontId="6" fillId="0" borderId="1" xfId="2" applyNumberFormat="1" applyFont="1" applyBorder="1"/>
    <xf numFmtId="0" fontId="2" fillId="0" borderId="2" xfId="2" applyBorder="1" applyAlignment="1">
      <alignment horizontal="center"/>
    </xf>
    <xf numFmtId="9" fontId="2" fillId="3" borderId="2" xfId="2" applyNumberFormat="1" applyFill="1" applyBorder="1" applyAlignment="1">
      <alignment horizontal="center"/>
    </xf>
    <xf numFmtId="166" fontId="6" fillId="2" borderId="7" xfId="2" applyNumberFormat="1" applyFont="1" applyFill="1" applyBorder="1"/>
    <xf numFmtId="0" fontId="2" fillId="2" borderId="8" xfId="2" applyFill="1" applyBorder="1" applyAlignment="1">
      <alignment horizontal="center"/>
    </xf>
    <xf numFmtId="9" fontId="6" fillId="3" borderId="8" xfId="2" applyNumberFormat="1" applyFont="1" applyFill="1" applyBorder="1" applyAlignment="1">
      <alignment horizontal="center"/>
    </xf>
    <xf numFmtId="166" fontId="6" fillId="2" borderId="12" xfId="2" applyNumberFormat="1" applyFont="1" applyFill="1" applyBorder="1"/>
    <xf numFmtId="0" fontId="2" fillId="2" borderId="10" xfId="2" applyFill="1" applyBorder="1" applyAlignment="1">
      <alignment horizontal="center"/>
    </xf>
    <xf numFmtId="166" fontId="2" fillId="0" borderId="1" xfId="2" applyNumberFormat="1" applyBorder="1"/>
    <xf numFmtId="166" fontId="6" fillId="2" borderId="1" xfId="2" applyNumberFormat="1" applyFont="1" applyFill="1" applyBorder="1" applyAlignment="1">
      <alignment horizontal="center"/>
    </xf>
    <xf numFmtId="4" fontId="6" fillId="0" borderId="0" xfId="2" applyNumberFormat="1" applyFont="1"/>
    <xf numFmtId="0" fontId="3" fillId="0" borderId="0" xfId="1" applyFont="1"/>
    <xf numFmtId="0" fontId="2" fillId="0" borderId="0" xfId="1"/>
    <xf numFmtId="0" fontId="4" fillId="0" borderId="0" xfId="1" applyFont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166" fontId="6" fillId="0" borderId="4" xfId="1" applyNumberFormat="1" applyFont="1" applyBorder="1"/>
    <xf numFmtId="17" fontId="2" fillId="0" borderId="5" xfId="1" applyNumberFormat="1" applyBorder="1" applyAlignment="1">
      <alignment horizontal="center"/>
    </xf>
    <xf numFmtId="9" fontId="2" fillId="3" borderId="5" xfId="1" applyNumberFormat="1" applyFill="1" applyBorder="1" applyAlignment="1">
      <alignment horizontal="center"/>
    </xf>
    <xf numFmtId="166" fontId="2" fillId="0" borderId="4" xfId="1" applyNumberFormat="1" applyBorder="1"/>
    <xf numFmtId="0" fontId="2" fillId="0" borderId="5" xfId="1" applyBorder="1" applyAlignment="1">
      <alignment horizontal="center"/>
    </xf>
    <xf numFmtId="166" fontId="6" fillId="2" borderId="1" xfId="1" applyNumberFormat="1" applyFont="1" applyFill="1" applyBorder="1"/>
    <xf numFmtId="9" fontId="6" fillId="3" borderId="2" xfId="1" applyNumberFormat="1" applyFont="1" applyFill="1" applyBorder="1" applyAlignment="1">
      <alignment horizontal="center"/>
    </xf>
    <xf numFmtId="166" fontId="2" fillId="0" borderId="1" xfId="1" applyNumberFormat="1" applyBorder="1"/>
    <xf numFmtId="0" fontId="2" fillId="0" borderId="2" xfId="1" applyBorder="1" applyAlignment="1">
      <alignment horizontal="center"/>
    </xf>
    <xf numFmtId="9" fontId="2" fillId="3" borderId="2" xfId="1" applyNumberFormat="1" applyFill="1" applyBorder="1" applyAlignment="1">
      <alignment horizontal="center"/>
    </xf>
    <xf numFmtId="166" fontId="6" fillId="2" borderId="7" xfId="1" applyNumberFormat="1" applyFont="1" applyFill="1" applyBorder="1"/>
    <xf numFmtId="0" fontId="6" fillId="2" borderId="8" xfId="1" applyFont="1" applyFill="1" applyBorder="1" applyAlignment="1">
      <alignment horizontal="center"/>
    </xf>
    <xf numFmtId="9" fontId="6" fillId="3" borderId="8" xfId="1" applyNumberFormat="1" applyFont="1" applyFill="1" applyBorder="1" applyAlignment="1">
      <alignment horizontal="center"/>
    </xf>
    <xf numFmtId="0" fontId="6" fillId="0" borderId="4" xfId="1" applyFont="1" applyBorder="1"/>
    <xf numFmtId="17" fontId="6" fillId="2" borderId="8" xfId="1" applyNumberFormat="1" applyFont="1" applyFill="1" applyBorder="1" applyAlignment="1">
      <alignment horizontal="center"/>
    </xf>
    <xf numFmtId="0" fontId="2" fillId="0" borderId="5" xfId="1" applyBorder="1"/>
    <xf numFmtId="0" fontId="2" fillId="3" borderId="5" xfId="1" applyFill="1" applyBorder="1"/>
    <xf numFmtId="0" fontId="2" fillId="2" borderId="8" xfId="1" applyFill="1" applyBorder="1" applyAlignment="1">
      <alignment horizontal="center"/>
    </xf>
    <xf numFmtId="166" fontId="6" fillId="2" borderId="12" xfId="1" applyNumberFormat="1" applyFont="1" applyFill="1" applyBorder="1"/>
    <xf numFmtId="0" fontId="6" fillId="2" borderId="10" xfId="1" applyFont="1" applyFill="1" applyBorder="1" applyAlignment="1">
      <alignment horizontal="center"/>
    </xf>
    <xf numFmtId="166" fontId="6" fillId="2" borderId="1" xfId="1" applyNumberFormat="1" applyFont="1" applyFill="1" applyBorder="1" applyAlignment="1">
      <alignment horizontal="center"/>
    </xf>
    <xf numFmtId="166" fontId="6" fillId="0" borderId="13" xfId="1" applyNumberFormat="1" applyFont="1" applyBorder="1"/>
    <xf numFmtId="0" fontId="6" fillId="0" borderId="13" xfId="1" applyFont="1" applyBorder="1" applyAlignment="1">
      <alignment horizontal="center"/>
    </xf>
    <xf numFmtId="4" fontId="6" fillId="0" borderId="13" xfId="1" applyNumberFormat="1" applyFont="1" applyBorder="1" applyAlignment="1">
      <alignment horizontal="center"/>
    </xf>
    <xf numFmtId="0" fontId="9" fillId="0" borderId="0" xfId="1" applyFont="1"/>
    <xf numFmtId="17" fontId="6" fillId="0" borderId="0" xfId="1" applyNumberFormat="1" applyFont="1" applyAlignment="1">
      <alignment horizontal="center"/>
    </xf>
    <xf numFmtId="4" fontId="6" fillId="0" borderId="0" xfId="1" applyNumberFormat="1" applyFont="1" applyAlignment="1">
      <alignment horizontal="center"/>
    </xf>
    <xf numFmtId="0" fontId="6" fillId="0" borderId="0" xfId="1" applyFont="1"/>
    <xf numFmtId="3" fontId="0" fillId="0" borderId="0" xfId="0" applyNumberFormat="1"/>
    <xf numFmtId="3" fontId="5" fillId="2" borderId="2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/>
    <xf numFmtId="3" fontId="0" fillId="0" borderId="5" xfId="0" applyNumberFormat="1" applyBorder="1"/>
    <xf numFmtId="3" fontId="6" fillId="0" borderId="0" xfId="0" applyNumberFormat="1" applyFont="1"/>
    <xf numFmtId="3" fontId="0" fillId="0" borderId="0" xfId="0" applyNumberFormat="1" applyProtection="1">
      <protection locked="0"/>
    </xf>
    <xf numFmtId="3" fontId="2" fillId="0" borderId="0" xfId="2" applyNumberFormat="1"/>
    <xf numFmtId="3" fontId="6" fillId="2" borderId="2" xfId="2" applyNumberFormat="1" applyFont="1" applyFill="1" applyBorder="1" applyAlignment="1">
      <alignment horizontal="center"/>
    </xf>
    <xf numFmtId="3" fontId="6" fillId="2" borderId="16" xfId="2" applyNumberFormat="1" applyFont="1" applyFill="1" applyBorder="1" applyAlignment="1">
      <alignment horizontal="center"/>
    </xf>
    <xf numFmtId="3" fontId="7" fillId="0" borderId="5" xfId="2" applyNumberFormat="1" applyFont="1" applyBorder="1" applyAlignment="1">
      <alignment horizontal="center"/>
    </xf>
    <xf numFmtId="3" fontId="2" fillId="0" borderId="5" xfId="2" applyNumberFormat="1" applyBorder="1" applyAlignment="1">
      <alignment horizontal="center"/>
    </xf>
    <xf numFmtId="3" fontId="2" fillId="0" borderId="2" xfId="2" applyNumberFormat="1" applyBorder="1" applyAlignment="1">
      <alignment horizontal="center"/>
    </xf>
    <xf numFmtId="3" fontId="6" fillId="2" borderId="8" xfId="2" applyNumberFormat="1" applyFont="1" applyFill="1" applyBorder="1" applyAlignment="1">
      <alignment horizontal="center"/>
    </xf>
    <xf numFmtId="3" fontId="6" fillId="2" borderId="10" xfId="2" applyNumberFormat="1" applyFont="1" applyFill="1" applyBorder="1" applyAlignment="1">
      <alignment horizontal="center"/>
    </xf>
    <xf numFmtId="3" fontId="6" fillId="0" borderId="0" xfId="2" applyNumberFormat="1" applyFont="1"/>
    <xf numFmtId="167" fontId="2" fillId="0" borderId="0" xfId="2" applyNumberFormat="1"/>
    <xf numFmtId="167" fontId="6" fillId="0" borderId="0" xfId="2" applyNumberFormat="1" applyFont="1" applyAlignment="1">
      <alignment horizontal="center"/>
    </xf>
    <xf numFmtId="167" fontId="6" fillId="2" borderId="2" xfId="2" applyNumberFormat="1" applyFont="1" applyFill="1" applyBorder="1" applyAlignment="1">
      <alignment horizontal="center"/>
    </xf>
    <xf numFmtId="167" fontId="6" fillId="2" borderId="17" xfId="2" applyNumberFormat="1" applyFont="1" applyFill="1" applyBorder="1" applyAlignment="1">
      <alignment horizontal="center"/>
    </xf>
    <xf numFmtId="167" fontId="7" fillId="0" borderId="6" xfId="2" applyNumberFormat="1" applyFont="1" applyBorder="1" applyAlignment="1">
      <alignment horizontal="center"/>
    </xf>
    <xf numFmtId="167" fontId="2" fillId="0" borderId="5" xfId="2" applyNumberFormat="1" applyBorder="1" applyAlignment="1">
      <alignment horizontal="center"/>
    </xf>
    <xf numFmtId="167" fontId="2" fillId="0" borderId="2" xfId="2" applyNumberFormat="1" applyBorder="1" applyAlignment="1">
      <alignment horizontal="center"/>
    </xf>
    <xf numFmtId="167" fontId="6" fillId="2" borderId="9" xfId="2" applyNumberFormat="1" applyFont="1" applyFill="1" applyBorder="1" applyAlignment="1">
      <alignment horizontal="center"/>
    </xf>
    <xf numFmtId="167" fontId="2" fillId="0" borderId="6" xfId="2" applyNumberFormat="1" applyBorder="1" applyAlignment="1">
      <alignment horizontal="center"/>
    </xf>
    <xf numFmtId="167" fontId="2" fillId="0" borderId="3" xfId="2" applyNumberFormat="1" applyBorder="1" applyAlignment="1">
      <alignment horizontal="center"/>
    </xf>
    <xf numFmtId="167" fontId="6" fillId="0" borderId="0" xfId="2" applyNumberFormat="1" applyFont="1"/>
    <xf numFmtId="3" fontId="2" fillId="0" borderId="0" xfId="1" applyNumberFormat="1"/>
    <xf numFmtId="3" fontId="6" fillId="2" borderId="2" xfId="1" applyNumberFormat="1" applyFont="1" applyFill="1" applyBorder="1" applyAlignment="1">
      <alignment horizontal="center"/>
    </xf>
    <xf numFmtId="3" fontId="6" fillId="2" borderId="5" xfId="1" applyNumberFormat="1" applyFont="1" applyFill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3" fontId="2" fillId="0" borderId="5" xfId="1" applyNumberFormat="1" applyBorder="1" applyAlignment="1">
      <alignment horizontal="center"/>
    </xf>
    <xf numFmtId="3" fontId="2" fillId="0" borderId="2" xfId="1" applyNumberFormat="1" applyBorder="1" applyAlignment="1">
      <alignment horizontal="center"/>
    </xf>
    <xf numFmtId="3" fontId="6" fillId="2" borderId="8" xfId="1" applyNumberFormat="1" applyFont="1" applyFill="1" applyBorder="1" applyAlignment="1">
      <alignment horizontal="center"/>
    </xf>
    <xf numFmtId="3" fontId="2" fillId="0" borderId="5" xfId="1" applyNumberFormat="1" applyBorder="1"/>
    <xf numFmtId="3" fontId="6" fillId="2" borderId="10" xfId="1" applyNumberFormat="1" applyFont="1" applyFill="1" applyBorder="1" applyAlignment="1">
      <alignment horizontal="center"/>
    </xf>
    <xf numFmtId="3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167" fontId="2" fillId="0" borderId="0" xfId="1" applyNumberFormat="1"/>
    <xf numFmtId="167" fontId="6" fillId="0" borderId="0" xfId="1" applyNumberFormat="1" applyFont="1" applyAlignment="1">
      <alignment horizontal="centerContinuous"/>
    </xf>
    <xf numFmtId="167" fontId="6" fillId="2" borderId="2" xfId="1" applyNumberFormat="1" applyFont="1" applyFill="1" applyBorder="1" applyAlignment="1">
      <alignment horizontal="center"/>
    </xf>
    <xf numFmtId="167" fontId="6" fillId="2" borderId="3" xfId="1" applyNumberFormat="1" applyFont="1" applyFill="1" applyBorder="1" applyAlignment="1">
      <alignment horizontal="center"/>
    </xf>
    <xf numFmtId="167" fontId="6" fillId="2" borderId="5" xfId="1" applyNumberFormat="1" applyFont="1" applyFill="1" applyBorder="1" applyAlignment="1">
      <alignment horizontal="center"/>
    </xf>
    <xf numFmtId="167" fontId="7" fillId="0" borderId="2" xfId="1" applyNumberFormat="1" applyFont="1" applyBorder="1" applyAlignment="1">
      <alignment horizontal="center"/>
    </xf>
    <xf numFmtId="167" fontId="7" fillId="0" borderId="3" xfId="1" applyNumberFormat="1" applyFont="1" applyBorder="1" applyAlignment="1">
      <alignment horizontal="center"/>
    </xf>
    <xf numFmtId="167" fontId="2" fillId="0" borderId="5" xfId="1" applyNumberFormat="1" applyBorder="1" applyAlignment="1">
      <alignment horizontal="center"/>
    </xf>
    <xf numFmtId="167" fontId="2" fillId="0" borderId="6" xfId="1" applyNumberFormat="1" applyBorder="1" applyAlignment="1">
      <alignment horizontal="center"/>
    </xf>
    <xf numFmtId="167" fontId="2" fillId="0" borderId="2" xfId="1" applyNumberFormat="1" applyBorder="1" applyAlignment="1">
      <alignment horizontal="center"/>
    </xf>
    <xf numFmtId="167" fontId="2" fillId="0" borderId="3" xfId="1" applyNumberFormat="1" applyBorder="1" applyAlignment="1">
      <alignment horizontal="center"/>
    </xf>
    <xf numFmtId="167" fontId="6" fillId="2" borderId="8" xfId="1" applyNumberFormat="1" applyFont="1" applyFill="1" applyBorder="1" applyAlignment="1">
      <alignment horizontal="center"/>
    </xf>
    <xf numFmtId="167" fontId="6" fillId="2" borderId="9" xfId="1" applyNumberFormat="1" applyFont="1" applyFill="1" applyBorder="1" applyAlignment="1">
      <alignment horizontal="center"/>
    </xf>
    <xf numFmtId="167" fontId="2" fillId="0" borderId="5" xfId="1" applyNumberFormat="1" applyBorder="1"/>
    <xf numFmtId="167" fontId="2" fillId="0" borderId="6" xfId="1" applyNumberFormat="1" applyBorder="1"/>
    <xf numFmtId="167" fontId="6" fillId="2" borderId="10" xfId="1" applyNumberFormat="1" applyFont="1" applyFill="1" applyBorder="1" applyAlignment="1">
      <alignment horizontal="center"/>
    </xf>
    <xf numFmtId="167" fontId="6" fillId="0" borderId="13" xfId="1" applyNumberFormat="1" applyFont="1" applyBorder="1" applyAlignment="1">
      <alignment horizontal="center"/>
    </xf>
    <xf numFmtId="167" fontId="6" fillId="0" borderId="0" xfId="1" applyNumberFormat="1" applyFont="1" applyAlignment="1">
      <alignment horizontal="center"/>
    </xf>
    <xf numFmtId="167" fontId="6" fillId="2" borderId="3" xfId="1" applyNumberFormat="1" applyFont="1" applyFill="1" applyBorder="1"/>
    <xf numFmtId="167" fontId="6" fillId="2" borderId="6" xfId="1" applyNumberFormat="1" applyFont="1" applyFill="1" applyBorder="1"/>
    <xf numFmtId="166" fontId="6" fillId="0" borderId="18" xfId="2" applyNumberFormat="1" applyFont="1" applyBorder="1"/>
    <xf numFmtId="166" fontId="6" fillId="0" borderId="0" xfId="1" applyNumberFormat="1" applyFont="1"/>
    <xf numFmtId="0" fontId="6" fillId="0" borderId="0" xfId="1" applyFont="1" applyAlignment="1">
      <alignment horizontal="center"/>
    </xf>
    <xf numFmtId="3" fontId="6" fillId="2" borderId="11" xfId="2" applyNumberFormat="1" applyFont="1" applyFill="1" applyBorder="1" applyAlignment="1">
      <alignment horizontal="center"/>
    </xf>
    <xf numFmtId="3" fontId="6" fillId="2" borderId="19" xfId="2" applyNumberFormat="1" applyFont="1" applyFill="1" applyBorder="1" applyAlignment="1">
      <alignment horizontal="center"/>
    </xf>
    <xf numFmtId="166" fontId="10" fillId="0" borderId="0" xfId="2" applyNumberFormat="1" applyFont="1"/>
    <xf numFmtId="166" fontId="10" fillId="0" borderId="0" xfId="0" applyNumberFormat="1" applyFont="1"/>
    <xf numFmtId="166" fontId="6" fillId="2" borderId="7" xfId="2" applyNumberFormat="1" applyFont="1" applyFill="1" applyBorder="1" applyAlignment="1">
      <alignment horizontal="center"/>
    </xf>
    <xf numFmtId="0" fontId="6" fillId="2" borderId="8" xfId="2" applyFont="1" applyFill="1" applyBorder="1" applyAlignment="1">
      <alignment horizontal="center"/>
    </xf>
    <xf numFmtId="167" fontId="6" fillId="2" borderId="20" xfId="2" applyNumberFormat="1" applyFont="1" applyFill="1" applyBorder="1" applyAlignment="1">
      <alignment horizontal="center"/>
    </xf>
    <xf numFmtId="9" fontId="6" fillId="3" borderId="10" xfId="2" applyNumberFormat="1" applyFont="1" applyFill="1" applyBorder="1" applyAlignment="1">
      <alignment horizontal="center"/>
    </xf>
    <xf numFmtId="9" fontId="6" fillId="3" borderId="21" xfId="2" applyNumberFormat="1" applyFont="1" applyFill="1" applyBorder="1" applyAlignment="1">
      <alignment horizontal="center"/>
    </xf>
    <xf numFmtId="167" fontId="6" fillId="2" borderId="20" xfId="1" applyNumberFormat="1" applyFont="1" applyFill="1" applyBorder="1" applyAlignment="1">
      <alignment horizontal="center"/>
    </xf>
    <xf numFmtId="3" fontId="6" fillId="2" borderId="11" xfId="1" applyNumberFormat="1" applyFont="1" applyFill="1" applyBorder="1" applyAlignment="1">
      <alignment horizontal="center"/>
    </xf>
    <xf numFmtId="9" fontId="6" fillId="3" borderId="10" xfId="1" applyNumberFormat="1" applyFont="1" applyFill="1" applyBorder="1" applyAlignment="1">
      <alignment horizontal="center"/>
    </xf>
    <xf numFmtId="166" fontId="6" fillId="2" borderId="4" xfId="0" applyNumberFormat="1" applyFont="1" applyFill="1" applyBorder="1"/>
    <xf numFmtId="166" fontId="11" fillId="0" borderId="4" xfId="0" applyNumberFormat="1" applyFont="1" applyBorder="1"/>
    <xf numFmtId="0" fontId="12" fillId="3" borderId="4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13" fillId="0" borderId="0" xfId="0" applyNumberFormat="1" applyFont="1"/>
    <xf numFmtId="0" fontId="14" fillId="0" borderId="0" xfId="0" applyNumberFormat="1" applyFont="1"/>
    <xf numFmtId="9" fontId="11" fillId="3" borderId="2" xfId="0" applyNumberFormat="1" applyFont="1" applyFill="1" applyBorder="1" applyAlignment="1">
      <alignment horizontal="center"/>
    </xf>
    <xf numFmtId="9" fontId="11" fillId="3" borderId="8" xfId="0" applyNumberFormat="1" applyFont="1" applyFill="1" applyBorder="1" applyAlignment="1">
      <alignment horizontal="center"/>
    </xf>
    <xf numFmtId="9" fontId="11" fillId="3" borderId="10" xfId="0" applyNumberFormat="1" applyFont="1" applyFill="1" applyBorder="1" applyAlignment="1">
      <alignment horizontal="center"/>
    </xf>
    <xf numFmtId="0" fontId="15" fillId="0" borderId="0" xfId="3" applyFont="1"/>
    <xf numFmtId="0" fontId="13" fillId="0" borderId="0" xfId="2" applyFont="1"/>
    <xf numFmtId="0" fontId="14" fillId="0" borderId="0" xfId="2" applyFont="1"/>
    <xf numFmtId="0" fontId="13" fillId="0" borderId="0" xfId="1" applyFont="1"/>
    <xf numFmtId="0" fontId="14" fillId="0" borderId="0" xfId="1" applyFont="1"/>
    <xf numFmtId="4" fontId="2" fillId="0" borderId="0" xfId="3" applyNumberFormat="1" applyAlignment="1">
      <alignment horizontal="center"/>
    </xf>
    <xf numFmtId="4" fontId="16" fillId="0" borderId="0" xfId="3" applyNumberFormat="1" applyFont="1" applyAlignment="1">
      <alignment horizontal="left"/>
    </xf>
    <xf numFmtId="167" fontId="0" fillId="0" borderId="6" xfId="1" applyNumberFormat="1" applyFont="1" applyBorder="1" applyAlignment="1">
      <alignment horizontal="center"/>
    </xf>
    <xf numFmtId="166" fontId="11" fillId="0" borderId="4" xfId="1" applyNumberFormat="1" applyFont="1" applyBorder="1"/>
    <xf numFmtId="4" fontId="0" fillId="0" borderId="10" xfId="0" applyNumberFormat="1" applyBorder="1" applyAlignment="1">
      <alignment horizontal="center"/>
    </xf>
    <xf numFmtId="167" fontId="2" fillId="0" borderId="10" xfId="1" applyNumberFormat="1" applyBorder="1" applyAlignment="1">
      <alignment horizontal="center"/>
    </xf>
    <xf numFmtId="167" fontId="0" fillId="0" borderId="9" xfId="1" applyNumberFormat="1" applyFont="1" applyBorder="1" applyAlignment="1">
      <alignment horizontal="center"/>
    </xf>
  </cellXfs>
  <cellStyles count="4">
    <cellStyle name="Normal" xfId="0" builtinId="0"/>
    <cellStyle name="Normal_SLOT STATS" xfId="1" xr:uid="{DCCA2204-F4BA-45E4-B4AA-6C3E32AD34D2}"/>
    <cellStyle name="Normal_TABLE STATS" xfId="2" xr:uid="{88D3CB04-CC4C-449B-AAA6-8BA873684B72}"/>
    <cellStyle name="Normal_YTD TAXES" xfId="3" xr:uid="{633D268B-A775-44DE-8201-CE4FFA911D5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82AF7-CAFB-4ADA-9EFD-A92B435C5E76}">
  <sheetPr>
    <pageSetUpPr autoPageBreaks="0" fitToPage="1"/>
  </sheetPr>
  <dimension ref="A1:R374"/>
  <sheetViews>
    <sheetView showOutlineSymbols="0" zoomScaleNormal="100" workbookViewId="0">
      <selection activeCell="A5" sqref="A5"/>
    </sheetView>
  </sheetViews>
  <sheetFormatPr defaultColWidth="9.6640625" defaultRowHeight="15" x14ac:dyDescent="0.4"/>
  <cols>
    <col min="1" max="1" width="26.44140625" style="3" customWidth="1"/>
    <col min="2" max="2" width="8.6640625" style="3" customWidth="1"/>
    <col min="3" max="4" width="13.6640625" style="3" customWidth="1"/>
    <col min="5" max="5" width="7.6640625" style="3" customWidth="1"/>
    <col min="6" max="7" width="13.6640625" style="3" customWidth="1"/>
    <col min="8" max="8" width="7.6640625" style="3" customWidth="1"/>
    <col min="9" max="10" width="11.6640625" style="3" customWidth="1"/>
    <col min="11" max="12" width="16.6640625" style="186" customWidth="1"/>
    <col min="13" max="13" width="7.6640625" style="3" customWidth="1"/>
    <col min="14" max="14" width="11.6640625" style="3" customWidth="1"/>
    <col min="15" max="15" width="7.6640625" style="3" customWidth="1"/>
    <col min="16" max="16" width="15.6640625" style="3" customWidth="1"/>
    <col min="17" max="17" width="7.6640625" style="3" customWidth="1"/>
    <col min="18" max="16384" width="9.6640625" style="3"/>
  </cols>
  <sheetData>
    <row r="1" spans="1:18" ht="17.649999999999999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79"/>
      <c r="L1" s="179"/>
      <c r="M1" s="2"/>
      <c r="N1" s="2"/>
      <c r="O1" s="2"/>
      <c r="P1" s="2"/>
      <c r="Q1" s="2"/>
      <c r="R1" s="2"/>
    </row>
    <row r="2" spans="1:18" ht="18" customHeight="1" x14ac:dyDescent="0.45">
      <c r="A2" s="4" t="s">
        <v>71</v>
      </c>
      <c r="B2" s="2"/>
      <c r="C2" s="2"/>
      <c r="D2" s="2"/>
      <c r="E2" s="2"/>
      <c r="F2" s="2"/>
      <c r="G2" s="2"/>
      <c r="H2" s="2"/>
      <c r="I2" s="2"/>
      <c r="J2" s="2"/>
      <c r="K2" s="179"/>
      <c r="L2" s="179"/>
      <c r="M2" s="2"/>
      <c r="N2" s="2"/>
      <c r="O2" s="2"/>
      <c r="P2" s="2"/>
      <c r="Q2" s="2"/>
      <c r="R2" s="2"/>
    </row>
    <row r="3" spans="1:18" ht="17.649999999999999" x14ac:dyDescent="0.5">
      <c r="A3" s="257" t="s">
        <v>72</v>
      </c>
      <c r="B3" s="2"/>
      <c r="C3" s="2"/>
      <c r="D3" s="2"/>
      <c r="E3" s="2"/>
      <c r="F3" s="2"/>
      <c r="G3" s="2"/>
      <c r="H3" s="2"/>
      <c r="I3" s="2"/>
      <c r="J3" s="2"/>
      <c r="K3" s="179"/>
      <c r="L3" s="179"/>
      <c r="M3" s="2"/>
      <c r="N3" s="2"/>
      <c r="O3" s="2"/>
      <c r="P3" s="2"/>
      <c r="Q3" s="2"/>
      <c r="R3" s="2"/>
    </row>
    <row r="4" spans="1:18" x14ac:dyDescent="0.4">
      <c r="A4" s="258" t="s">
        <v>73</v>
      </c>
      <c r="B4" s="2"/>
      <c r="C4" s="2"/>
      <c r="D4" s="2"/>
      <c r="E4" s="2"/>
      <c r="F4" s="2"/>
      <c r="G4" s="2"/>
      <c r="H4" s="2"/>
      <c r="I4" s="2"/>
      <c r="J4" s="2"/>
      <c r="K4" s="179"/>
      <c r="L4" s="179"/>
      <c r="M4" s="2"/>
      <c r="N4" s="2"/>
      <c r="O4" s="2"/>
      <c r="P4" s="2"/>
      <c r="Q4" s="2"/>
      <c r="R4" s="2"/>
    </row>
    <row r="5" spans="1:18" ht="15.4" thickBot="1" x14ac:dyDescent="0.45">
      <c r="A5" s="2"/>
      <c r="B5" s="2"/>
      <c r="C5" s="2"/>
      <c r="D5" s="2"/>
      <c r="E5" s="2"/>
      <c r="F5" s="2"/>
      <c r="G5" s="2"/>
      <c r="H5" s="2"/>
      <c r="I5" s="5" t="s">
        <v>1</v>
      </c>
      <c r="J5" s="5" t="s">
        <v>1</v>
      </c>
      <c r="K5" s="179"/>
      <c r="L5" s="179"/>
      <c r="M5" s="2"/>
      <c r="N5" s="2"/>
      <c r="O5" s="2"/>
      <c r="P5" s="2"/>
      <c r="Q5" s="2"/>
      <c r="R5" s="2"/>
    </row>
    <row r="6" spans="1:18" ht="15.4" thickTop="1" x14ac:dyDescent="0.4">
      <c r="A6" s="6"/>
      <c r="B6" s="7" t="s">
        <v>2</v>
      </c>
      <c r="C6" s="7" t="s">
        <v>1</v>
      </c>
      <c r="D6" s="7" t="s">
        <v>3</v>
      </c>
      <c r="E6" s="8"/>
      <c r="F6" s="7" t="s">
        <v>1</v>
      </c>
      <c r="G6" s="7" t="s">
        <v>3</v>
      </c>
      <c r="H6" s="8"/>
      <c r="I6" s="7" t="s">
        <v>4</v>
      </c>
      <c r="J6" s="7" t="s">
        <v>4</v>
      </c>
      <c r="K6" s="180" t="s">
        <v>1</v>
      </c>
      <c r="L6" s="180" t="s">
        <v>3</v>
      </c>
      <c r="M6" s="9"/>
      <c r="N6" s="2"/>
      <c r="R6" s="2"/>
    </row>
    <row r="7" spans="1:18" ht="15.4" thickBot="1" x14ac:dyDescent="0.45">
      <c r="A7" s="10" t="s">
        <v>5</v>
      </c>
      <c r="B7" s="11" t="s">
        <v>6</v>
      </c>
      <c r="C7" s="11" t="s">
        <v>7</v>
      </c>
      <c r="D7" s="11" t="s">
        <v>7</v>
      </c>
      <c r="E7" s="12" t="s">
        <v>8</v>
      </c>
      <c r="F7" s="11" t="s">
        <v>9</v>
      </c>
      <c r="G7" s="11" t="s">
        <v>9</v>
      </c>
      <c r="H7" s="12" t="s">
        <v>8</v>
      </c>
      <c r="I7" s="11" t="s">
        <v>10</v>
      </c>
      <c r="J7" s="11" t="s">
        <v>11</v>
      </c>
      <c r="K7" s="181" t="s">
        <v>12</v>
      </c>
      <c r="L7" s="181" t="s">
        <v>12</v>
      </c>
      <c r="M7" s="13" t="s">
        <v>8</v>
      </c>
      <c r="N7" s="2"/>
      <c r="R7" s="2"/>
    </row>
    <row r="8" spans="1:18" ht="15.75" customHeight="1" thickTop="1" x14ac:dyDescent="0.4">
      <c r="A8" s="14"/>
      <c r="B8" s="15"/>
      <c r="C8" s="15"/>
      <c r="D8" s="15"/>
      <c r="E8" s="16"/>
      <c r="F8" s="15"/>
      <c r="G8" s="15"/>
      <c r="H8" s="16"/>
      <c r="I8" s="15"/>
      <c r="J8" s="15"/>
      <c r="K8" s="182"/>
      <c r="L8" s="182"/>
      <c r="M8" s="17"/>
      <c r="N8" s="2"/>
      <c r="R8" s="2"/>
    </row>
    <row r="9" spans="1:18" x14ac:dyDescent="0.4">
      <c r="A9" s="18" t="s">
        <v>13</v>
      </c>
      <c r="B9" s="19">
        <f>DATE(2025,7,1)</f>
        <v>45839</v>
      </c>
      <c r="C9" s="20">
        <v>180280</v>
      </c>
      <c r="D9" s="20">
        <v>182873</v>
      </c>
      <c r="E9" s="21">
        <f>(+C9-D9)/D9</f>
        <v>-1.4179239144105472E-2</v>
      </c>
      <c r="F9" s="20">
        <f>+C9-86141</f>
        <v>94139</v>
      </c>
      <c r="G9" s="20">
        <f>+D9-86094</f>
        <v>96779</v>
      </c>
      <c r="H9" s="21">
        <f>(+F9-G9)/G9</f>
        <v>-2.7278645160623689E-2</v>
      </c>
      <c r="I9" s="22">
        <f>K9/C9</f>
        <v>75.772670401597509</v>
      </c>
      <c r="J9" s="22">
        <f>K9/F9</f>
        <v>145.10773452023071</v>
      </c>
      <c r="K9" s="20">
        <v>13660297.02</v>
      </c>
      <c r="L9" s="20">
        <v>13370133.560000001</v>
      </c>
      <c r="M9" s="23">
        <f>(+K9-L9)/L9</f>
        <v>2.1702360615760297E-2</v>
      </c>
      <c r="N9" s="2"/>
      <c r="R9" s="2"/>
    </row>
    <row r="10" spans="1:18" x14ac:dyDescent="0.4">
      <c r="A10" s="18"/>
      <c r="B10" s="19">
        <f>DATE(2025,8,1)</f>
        <v>45870</v>
      </c>
      <c r="C10" s="20">
        <v>189582</v>
      </c>
      <c r="D10" s="20">
        <v>193595</v>
      </c>
      <c r="E10" s="21">
        <f>(+C10-D10)/D10</f>
        <v>-2.0728841137426068E-2</v>
      </c>
      <c r="F10" s="20">
        <f>+C10-90399</f>
        <v>99183</v>
      </c>
      <c r="G10" s="20">
        <f>+D10-91892</f>
        <v>101703</v>
      </c>
      <c r="H10" s="21">
        <f>(+F10-G10)/G10</f>
        <v>-2.4778030146603344E-2</v>
      </c>
      <c r="I10" s="22">
        <f>K10/C10</f>
        <v>78.115140519669595</v>
      </c>
      <c r="J10" s="22">
        <f>K10/F10</f>
        <v>149.31212576752066</v>
      </c>
      <c r="K10" s="20">
        <v>14809224.57</v>
      </c>
      <c r="L10" s="20">
        <v>13993160.5</v>
      </c>
      <c r="M10" s="23">
        <f>(+K10-L10)/L10</f>
        <v>5.8318781521872795E-2</v>
      </c>
      <c r="N10" s="2"/>
      <c r="R10" s="2"/>
    </row>
    <row r="11" spans="1:18" x14ac:dyDescent="0.4">
      <c r="A11" s="18"/>
      <c r="B11" s="19">
        <f>DATE(2025,9,1)</f>
        <v>45901</v>
      </c>
      <c r="C11" s="20">
        <v>160329</v>
      </c>
      <c r="D11" s="20">
        <v>175693</v>
      </c>
      <c r="E11" s="21">
        <f>(+C11-D11)/D11</f>
        <v>-8.7447991667283273E-2</v>
      </c>
      <c r="F11" s="20">
        <f>+C11-75298</f>
        <v>85031</v>
      </c>
      <c r="G11" s="20">
        <f>+D11-81570</f>
        <v>94123</v>
      </c>
      <c r="H11" s="21">
        <f>(+F11-G11)/G11</f>
        <v>-9.6597006045281181E-2</v>
      </c>
      <c r="I11" s="22">
        <f>K11/C11</f>
        <v>75.439092303950005</v>
      </c>
      <c r="J11" s="22">
        <f>K11/F11</f>
        <v>142.24311404076161</v>
      </c>
      <c r="K11" s="20">
        <v>12095074.23</v>
      </c>
      <c r="L11" s="20">
        <v>12504940.25</v>
      </c>
      <c r="M11" s="23">
        <f>(+K11-L11)/L11</f>
        <v>-3.2776327739750657E-2</v>
      </c>
      <c r="N11" s="2"/>
      <c r="R11" s="2"/>
    </row>
    <row r="12" spans="1:18" x14ac:dyDescent="0.4">
      <c r="A12" s="18"/>
      <c r="B12" s="19">
        <f>DATE(2025,10,1)</f>
        <v>45931</v>
      </c>
      <c r="C12" s="20">
        <v>170956</v>
      </c>
      <c r="D12" s="20">
        <v>169905</v>
      </c>
      <c r="E12" s="21">
        <f>(+C12-D12)/D12</f>
        <v>6.1858097171949029E-3</v>
      </c>
      <c r="F12" s="20">
        <f>+C12-81592</f>
        <v>89364</v>
      </c>
      <c r="G12" s="20">
        <f>+D12-79197</f>
        <v>90708</v>
      </c>
      <c r="H12" s="21">
        <f>(+F12-G12)/G12</f>
        <v>-1.4816774705648895E-2</v>
      </c>
      <c r="I12" s="22">
        <f>K12/C12</f>
        <v>77.714595626944941</v>
      </c>
      <c r="J12" s="22">
        <f>K12/F12</f>
        <v>148.67034163645317</v>
      </c>
      <c r="K12" s="20">
        <v>13285776.41</v>
      </c>
      <c r="L12" s="20">
        <v>12397438.83</v>
      </c>
      <c r="M12" s="23">
        <f>(+K12-L12)/L12</f>
        <v>7.165492745568966E-2</v>
      </c>
      <c r="N12" s="2"/>
      <c r="R12" s="2"/>
    </row>
    <row r="13" spans="1:18" ht="15.75" customHeight="1" thickBot="1" x14ac:dyDescent="0.45">
      <c r="A13" s="18"/>
      <c r="B13" s="19"/>
      <c r="C13" s="20"/>
      <c r="D13" s="20"/>
      <c r="E13" s="21"/>
      <c r="F13" s="20"/>
      <c r="G13" s="20"/>
      <c r="H13" s="21"/>
      <c r="I13" s="22"/>
      <c r="J13" s="22"/>
      <c r="K13" s="20"/>
      <c r="L13" s="20"/>
      <c r="M13" s="23"/>
      <c r="N13" s="2"/>
      <c r="R13" s="2"/>
    </row>
    <row r="14" spans="1:18" ht="15.75" thickTop="1" thickBot="1" x14ac:dyDescent="0.45">
      <c r="A14" s="24" t="s">
        <v>14</v>
      </c>
      <c r="B14" s="25"/>
      <c r="C14" s="26">
        <f>SUM(C9:C13)</f>
        <v>701147</v>
      </c>
      <c r="D14" s="26">
        <f>SUM(D9:D13)</f>
        <v>722066</v>
      </c>
      <c r="E14" s="259">
        <f>(+C14-D14)/D14</f>
        <v>-2.8971035888686075E-2</v>
      </c>
      <c r="F14" s="26">
        <f>SUM(F9:F13)</f>
        <v>367717</v>
      </c>
      <c r="G14" s="26">
        <f>SUM(G9:G13)</f>
        <v>383313</v>
      </c>
      <c r="H14" s="28">
        <f>(+F14-G14)/G14</f>
        <v>-4.068737559122701E-2</v>
      </c>
      <c r="I14" s="29">
        <f>K14/C14</f>
        <v>76.803255565523358</v>
      </c>
      <c r="J14" s="29">
        <f>K14/F14</f>
        <v>146.44515273974281</v>
      </c>
      <c r="K14" s="26">
        <f>SUM(K9:K13)</f>
        <v>53850372.230000004</v>
      </c>
      <c r="L14" s="26">
        <f>SUM(L9:L13)</f>
        <v>52265673.140000001</v>
      </c>
      <c r="M14" s="30">
        <f>(+K14-L14)/L14</f>
        <v>3.0320074243666454E-2</v>
      </c>
      <c r="N14" s="2"/>
      <c r="R14" s="2"/>
    </row>
    <row r="15" spans="1:18" ht="15.75" customHeight="1" thickTop="1" x14ac:dyDescent="0.4">
      <c r="A15" s="14"/>
      <c r="B15" s="15"/>
      <c r="C15" s="15"/>
      <c r="D15" s="15"/>
      <c r="E15" s="16"/>
      <c r="F15" s="15"/>
      <c r="G15" s="15"/>
      <c r="H15" s="16"/>
      <c r="I15" s="15"/>
      <c r="J15" s="15"/>
      <c r="K15" s="182"/>
      <c r="L15" s="182"/>
      <c r="M15" s="17"/>
      <c r="N15" s="2"/>
      <c r="R15" s="2"/>
    </row>
    <row r="16" spans="1:18" x14ac:dyDescent="0.4">
      <c r="A16" s="18" t="s">
        <v>15</v>
      </c>
      <c r="B16" s="19">
        <f>DATE(2025,7,1)</f>
        <v>45839</v>
      </c>
      <c r="C16" s="20">
        <v>107305</v>
      </c>
      <c r="D16" s="20">
        <v>94277</v>
      </c>
      <c r="E16" s="21">
        <f>(+C16-D16)/D16</f>
        <v>0.13818852954591257</v>
      </c>
      <c r="F16" s="20">
        <f>+C16-51168</f>
        <v>56137</v>
      </c>
      <c r="G16" s="20">
        <f>+D16-44772</f>
        <v>49505</v>
      </c>
      <c r="H16" s="21">
        <f>(+F16-G16)/G16</f>
        <v>0.13396626603373396</v>
      </c>
      <c r="I16" s="22">
        <f>K16/C16</f>
        <v>77.914331298634735</v>
      </c>
      <c r="J16" s="22">
        <f>K16/F16</f>
        <v>148.93202914298948</v>
      </c>
      <c r="K16" s="20">
        <v>8360597.3200000003</v>
      </c>
      <c r="L16" s="20">
        <v>6681618.7599999998</v>
      </c>
      <c r="M16" s="23">
        <f>(+K16-L16)/L16</f>
        <v>0.25128320251543362</v>
      </c>
      <c r="N16" s="2"/>
      <c r="R16" s="2"/>
    </row>
    <row r="17" spans="1:18" x14ac:dyDescent="0.4">
      <c r="A17" s="18"/>
      <c r="B17" s="19">
        <f>DATE(2025,8,1)</f>
        <v>45870</v>
      </c>
      <c r="C17" s="20">
        <v>110037</v>
      </c>
      <c r="D17" s="20">
        <v>95698</v>
      </c>
      <c r="E17" s="21">
        <f>(+C17-D17)/D17</f>
        <v>0.14983594223494745</v>
      </c>
      <c r="F17" s="20">
        <f>+C17-52170</f>
        <v>57867</v>
      </c>
      <c r="G17" s="20">
        <f>+D17-45591</f>
        <v>50107</v>
      </c>
      <c r="H17" s="21">
        <f>(+F17-G17)/G17</f>
        <v>0.15486858123615463</v>
      </c>
      <c r="I17" s="22">
        <f>K17/C17</f>
        <v>75.953694484582456</v>
      </c>
      <c r="J17" s="22">
        <f>K17/F17</f>
        <v>144.42975581937893</v>
      </c>
      <c r="K17" s="20">
        <v>8357716.6799999997</v>
      </c>
      <c r="L17" s="20">
        <v>7224866.7999999998</v>
      </c>
      <c r="M17" s="23">
        <f>(+K17-L17)/L17</f>
        <v>0.15679872188093488</v>
      </c>
      <c r="N17" s="2"/>
      <c r="R17" s="2"/>
    </row>
    <row r="18" spans="1:18" x14ac:dyDescent="0.4">
      <c r="A18" s="18"/>
      <c r="B18" s="19">
        <f>DATE(2025,9,1)</f>
        <v>45901</v>
      </c>
      <c r="C18" s="20">
        <v>100100</v>
      </c>
      <c r="D18" s="20">
        <v>91160</v>
      </c>
      <c r="E18" s="21">
        <f>(+C18-D18)/D18</f>
        <v>9.8069328652917953E-2</v>
      </c>
      <c r="F18" s="20">
        <f>+C18-46239</f>
        <v>53861</v>
      </c>
      <c r="G18" s="20">
        <f>+D18-43108</f>
        <v>48052</v>
      </c>
      <c r="H18" s="21">
        <f>(+F18-G18)/G18</f>
        <v>0.1208898693082494</v>
      </c>
      <c r="I18" s="22">
        <f>K18/C18</f>
        <v>79.124169630369636</v>
      </c>
      <c r="J18" s="22">
        <f>K18/F18</f>
        <v>147.0512872022428</v>
      </c>
      <c r="K18" s="20">
        <v>7920329.3799999999</v>
      </c>
      <c r="L18" s="20">
        <v>6820970.8499999996</v>
      </c>
      <c r="M18" s="23">
        <f>(+K18-L18)/L18</f>
        <v>0.16117332182998559</v>
      </c>
      <c r="N18" s="2"/>
      <c r="R18" s="2"/>
    </row>
    <row r="19" spans="1:18" x14ac:dyDescent="0.4">
      <c r="A19" s="18"/>
      <c r="B19" s="19">
        <f>DATE(2025,10,1)</f>
        <v>45931</v>
      </c>
      <c r="C19" s="20">
        <v>104192</v>
      </c>
      <c r="D19" s="20">
        <v>92138</v>
      </c>
      <c r="E19" s="21">
        <f>(+C19-D19)/D19</f>
        <v>0.1308255008791161</v>
      </c>
      <c r="F19" s="20">
        <f>+C19-49083</f>
        <v>55109</v>
      </c>
      <c r="G19" s="20">
        <f>+D19-42815</f>
        <v>49323</v>
      </c>
      <c r="H19" s="21">
        <f>(+F19-G19)/G19</f>
        <v>0.11730835512843907</v>
      </c>
      <c r="I19" s="22">
        <f>K19/C19</f>
        <v>75.914876382063881</v>
      </c>
      <c r="J19" s="22">
        <f>K19/F19</f>
        <v>143.52869404271533</v>
      </c>
      <c r="K19" s="20">
        <v>7909722.7999999998</v>
      </c>
      <c r="L19" s="20">
        <v>6568817.1600000001</v>
      </c>
      <c r="M19" s="23">
        <f>(+K19-L19)/L19</f>
        <v>0.20413197800134836</v>
      </c>
      <c r="N19" s="2"/>
      <c r="R19" s="2"/>
    </row>
    <row r="20" spans="1:18" ht="15.75" customHeight="1" thickBot="1" x14ac:dyDescent="0.45">
      <c r="A20" s="18"/>
      <c r="B20" s="19"/>
      <c r="C20" s="20"/>
      <c r="D20" s="20"/>
      <c r="E20" s="21"/>
      <c r="F20" s="20"/>
      <c r="G20" s="20"/>
      <c r="H20" s="21"/>
      <c r="I20" s="22"/>
      <c r="J20" s="22"/>
      <c r="K20" s="20"/>
      <c r="L20" s="20"/>
      <c r="M20" s="23"/>
      <c r="N20" s="2"/>
      <c r="R20" s="2"/>
    </row>
    <row r="21" spans="1:18" ht="17.25" customHeight="1" thickTop="1" thickBot="1" x14ac:dyDescent="0.45">
      <c r="A21" s="24" t="s">
        <v>14</v>
      </c>
      <c r="B21" s="25"/>
      <c r="C21" s="26">
        <f>SUM(C16:C20)</f>
        <v>421634</v>
      </c>
      <c r="D21" s="26">
        <f>SUM(D16:D20)</f>
        <v>373273</v>
      </c>
      <c r="E21" s="259">
        <f>(+C21-D21)/D21</f>
        <v>0.12955933057038682</v>
      </c>
      <c r="F21" s="26">
        <f>SUM(F16:F20)</f>
        <v>222974</v>
      </c>
      <c r="G21" s="26">
        <f>SUM(G16:G20)</f>
        <v>196987</v>
      </c>
      <c r="H21" s="28">
        <f>(+F21-G21)/G21</f>
        <v>0.13192241112357669</v>
      </c>
      <c r="I21" s="29">
        <f>K21/C21</f>
        <v>77.195781602052961</v>
      </c>
      <c r="J21" s="29">
        <f>K21/F21</f>
        <v>145.9738183824123</v>
      </c>
      <c r="K21" s="26">
        <f>SUM(K16:K20)</f>
        <v>32548366.18</v>
      </c>
      <c r="L21" s="26">
        <f>SUM(L16:L20)</f>
        <v>27296273.569999997</v>
      </c>
      <c r="M21" s="30">
        <f>(+K21-L21)/L21</f>
        <v>0.19241060859575801</v>
      </c>
      <c r="N21" s="2"/>
      <c r="R21" s="2"/>
    </row>
    <row r="22" spans="1:18" ht="15.75" customHeight="1" thickTop="1" x14ac:dyDescent="0.4">
      <c r="A22" s="31"/>
      <c r="B22" s="32"/>
      <c r="C22" s="33"/>
      <c r="D22" s="33"/>
      <c r="E22" s="27"/>
      <c r="F22" s="33"/>
      <c r="G22" s="33"/>
      <c r="H22" s="27"/>
      <c r="I22" s="34"/>
      <c r="J22" s="34"/>
      <c r="K22" s="33"/>
      <c r="L22" s="33"/>
      <c r="M22" s="35"/>
      <c r="N22" s="2"/>
      <c r="R22" s="2"/>
    </row>
    <row r="23" spans="1:18" ht="15.75" customHeight="1" x14ac:dyDescent="0.4">
      <c r="A23" s="18" t="s">
        <v>62</v>
      </c>
      <c r="B23" s="19">
        <f>DATE(2025,7,1)</f>
        <v>45839</v>
      </c>
      <c r="C23" s="20">
        <v>72536</v>
      </c>
      <c r="D23" s="20">
        <v>53756</v>
      </c>
      <c r="E23" s="21">
        <f>(+C23-D23)/D23</f>
        <v>0.34935635091896716</v>
      </c>
      <c r="F23" s="20">
        <f>+C23-42110</f>
        <v>30426</v>
      </c>
      <c r="G23" s="20">
        <f>+D23-27520</f>
        <v>26236</v>
      </c>
      <c r="H23" s="21">
        <f>(+F23-G23)/G23</f>
        <v>0.15970422320475683</v>
      </c>
      <c r="I23" s="22">
        <f>K23/C23</f>
        <v>70.35019562699901</v>
      </c>
      <c r="J23" s="22">
        <f>K23/F23</f>
        <v>167.7158282390061</v>
      </c>
      <c r="K23" s="20">
        <v>5102921.79</v>
      </c>
      <c r="L23" s="20">
        <v>3867138.09</v>
      </c>
      <c r="M23" s="23">
        <f>(+K23-L23)/L23</f>
        <v>0.31956027202535203</v>
      </c>
      <c r="N23" s="2"/>
      <c r="R23" s="2"/>
    </row>
    <row r="24" spans="1:18" ht="15.75" customHeight="1" x14ac:dyDescent="0.4">
      <c r="A24" s="18"/>
      <c r="B24" s="19">
        <f>DATE(2025,8,1)</f>
        <v>45870</v>
      </c>
      <c r="C24" s="20">
        <v>77461</v>
      </c>
      <c r="D24" s="20">
        <v>54520</v>
      </c>
      <c r="E24" s="21">
        <f>(+C24-D24)/D24</f>
        <v>0.42078136463683052</v>
      </c>
      <c r="F24" s="20">
        <f>+C24-45920</f>
        <v>31541</v>
      </c>
      <c r="G24" s="20">
        <f>+D24-28215</f>
        <v>26305</v>
      </c>
      <c r="H24" s="21">
        <f>(+F24-G24)/G24</f>
        <v>0.19904961034023949</v>
      </c>
      <c r="I24" s="22">
        <f>K24/C24</f>
        <v>69.311892565290918</v>
      </c>
      <c r="J24" s="22">
        <f>K24/F24</f>
        <v>170.22188611648329</v>
      </c>
      <c r="K24" s="20">
        <v>5368968.5099999998</v>
      </c>
      <c r="L24" s="20">
        <v>3925251.53</v>
      </c>
      <c r="M24" s="23">
        <f>(+K24-L24)/L24</f>
        <v>0.36780241188772939</v>
      </c>
      <c r="N24" s="2"/>
      <c r="R24" s="2"/>
    </row>
    <row r="25" spans="1:18" ht="15.75" customHeight="1" x14ac:dyDescent="0.4">
      <c r="A25" s="18"/>
      <c r="B25" s="19">
        <f>DATE(2025,9,1)</f>
        <v>45901</v>
      </c>
      <c r="C25" s="20">
        <v>67800</v>
      </c>
      <c r="D25" s="20">
        <v>50120</v>
      </c>
      <c r="E25" s="21">
        <f>(+C25-D25)/D25</f>
        <v>0.35275339185953714</v>
      </c>
      <c r="F25" s="20">
        <f>+C25-40027</f>
        <v>27773</v>
      </c>
      <c r="G25" s="20">
        <f>+D25-26015</f>
        <v>24105</v>
      </c>
      <c r="H25" s="21">
        <f>(+F25-G25)/G25</f>
        <v>0.15216760008297034</v>
      </c>
      <c r="I25" s="22">
        <f>K25/C25</f>
        <v>68.181462389380542</v>
      </c>
      <c r="J25" s="22">
        <f>K25/F25</f>
        <v>166.44594210204156</v>
      </c>
      <c r="K25" s="20">
        <v>4622703.1500000004</v>
      </c>
      <c r="L25" s="20">
        <v>3808834.78</v>
      </c>
      <c r="M25" s="23">
        <f>(+K25-L25)/L25</f>
        <v>0.21367909531638982</v>
      </c>
      <c r="N25" s="2"/>
      <c r="R25" s="2"/>
    </row>
    <row r="26" spans="1:18" ht="15.75" customHeight="1" x14ac:dyDescent="0.4">
      <c r="A26" s="18"/>
      <c r="B26" s="19">
        <f>DATE(2025,10,1)</f>
        <v>45931</v>
      </c>
      <c r="C26" s="20">
        <v>70043</v>
      </c>
      <c r="D26" s="20">
        <v>42557</v>
      </c>
      <c r="E26" s="21">
        <f>(+C26-D26)/D26</f>
        <v>0.64586319524402569</v>
      </c>
      <c r="F26" s="20">
        <f>+C26-40944</f>
        <v>29099</v>
      </c>
      <c r="G26" s="20">
        <f>+D26-21743</f>
        <v>20814</v>
      </c>
      <c r="H26" s="21">
        <f>(+F26-G26)/G26</f>
        <v>0.39804938983376575</v>
      </c>
      <c r="I26" s="22">
        <f>K26/C26</f>
        <v>69.614976942735183</v>
      </c>
      <c r="J26" s="22">
        <f>K26/F26</f>
        <v>167.56733324169215</v>
      </c>
      <c r="K26" s="20">
        <v>4876041.83</v>
      </c>
      <c r="L26" s="20">
        <v>3023362.89</v>
      </c>
      <c r="M26" s="23">
        <f>(+K26-L26)/L26</f>
        <v>0.61278748446899134</v>
      </c>
      <c r="N26" s="2"/>
      <c r="R26" s="2"/>
    </row>
    <row r="27" spans="1:18" ht="15.75" customHeight="1" thickBot="1" x14ac:dyDescent="0.45">
      <c r="A27" s="36"/>
      <c r="B27" s="19"/>
      <c r="C27" s="20"/>
      <c r="D27" s="20"/>
      <c r="E27" s="21"/>
      <c r="F27" s="20"/>
      <c r="G27" s="20"/>
      <c r="H27" s="21"/>
      <c r="I27" s="22"/>
      <c r="J27" s="22"/>
      <c r="K27" s="20"/>
      <c r="L27" s="20"/>
      <c r="M27" s="23"/>
      <c r="N27" s="2"/>
      <c r="R27" s="2"/>
    </row>
    <row r="28" spans="1:18" ht="17.25" customHeight="1" thickTop="1" thickBot="1" x14ac:dyDescent="0.45">
      <c r="A28" s="37" t="s">
        <v>14</v>
      </c>
      <c r="B28" s="38"/>
      <c r="C28" s="39">
        <f>SUM(C23:C27)</f>
        <v>287840</v>
      </c>
      <c r="D28" s="39">
        <f>SUM(D23:D27)</f>
        <v>200953</v>
      </c>
      <c r="E28" s="260">
        <f>(+C28-D28)/D28</f>
        <v>0.43237473439062868</v>
      </c>
      <c r="F28" s="39">
        <f>SUM(F23:F27)</f>
        <v>118839</v>
      </c>
      <c r="G28" s="39">
        <f>SUM(G23:G27)</f>
        <v>97460</v>
      </c>
      <c r="H28" s="40">
        <f>(+F28-G28)/G28</f>
        <v>0.2193617894520829</v>
      </c>
      <c r="I28" s="41">
        <f>K28/C28</f>
        <v>69.381028627015013</v>
      </c>
      <c r="J28" s="41">
        <f>K28/F28</f>
        <v>168.04782335765196</v>
      </c>
      <c r="K28" s="39">
        <f>SUM(K23:K27)</f>
        <v>19970635.280000001</v>
      </c>
      <c r="L28" s="39">
        <f>SUM(L23:L27)</f>
        <v>14624587.289999999</v>
      </c>
      <c r="M28" s="42">
        <f>(+K28-L28)/L28</f>
        <v>0.36555205859761408</v>
      </c>
      <c r="N28" s="2"/>
      <c r="R28" s="2"/>
    </row>
    <row r="29" spans="1:18" ht="15.75" customHeight="1" thickTop="1" x14ac:dyDescent="0.4">
      <c r="A29" s="36"/>
      <c r="B29" s="43"/>
      <c r="C29" s="20"/>
      <c r="D29" s="20"/>
      <c r="E29" s="21"/>
      <c r="F29" s="20"/>
      <c r="G29" s="20"/>
      <c r="H29" s="21"/>
      <c r="I29" s="22"/>
      <c r="J29" s="22"/>
      <c r="K29" s="20"/>
      <c r="L29" s="20"/>
      <c r="M29" s="23"/>
      <c r="N29" s="2"/>
      <c r="R29" s="2"/>
    </row>
    <row r="30" spans="1:18" ht="15.75" customHeight="1" x14ac:dyDescent="0.4">
      <c r="A30" s="164" t="s">
        <v>58</v>
      </c>
      <c r="B30" s="19">
        <f>DATE(2025,7,1)</f>
        <v>45839</v>
      </c>
      <c r="C30" s="20">
        <v>313256</v>
      </c>
      <c r="D30" s="20">
        <v>318097</v>
      </c>
      <c r="E30" s="21">
        <f>(+C30-D30)/D30</f>
        <v>-1.5218628280052941E-2</v>
      </c>
      <c r="F30" s="20">
        <f>+C30-156640</f>
        <v>156616</v>
      </c>
      <c r="G30" s="20">
        <f>+D30-155689</f>
        <v>162408</v>
      </c>
      <c r="H30" s="21">
        <f>(+F30-G30)/G30</f>
        <v>-3.5663267819319243E-2</v>
      </c>
      <c r="I30" s="22">
        <f>K30/C30</f>
        <v>70.419114494215592</v>
      </c>
      <c r="J30" s="22">
        <f>K30/F30</f>
        <v>140.84902008734738</v>
      </c>
      <c r="K30" s="20">
        <v>22059210.129999999</v>
      </c>
      <c r="L30" s="20">
        <v>20559621.309999999</v>
      </c>
      <c r="M30" s="23">
        <f>(+K30-L30)/L30</f>
        <v>7.2938542854902436E-2</v>
      </c>
      <c r="N30" s="2"/>
      <c r="R30" s="2"/>
    </row>
    <row r="31" spans="1:18" ht="15.75" customHeight="1" x14ac:dyDescent="0.4">
      <c r="A31" s="164"/>
      <c r="B31" s="19">
        <f>DATE(2025,8,1)</f>
        <v>45870</v>
      </c>
      <c r="C31" s="20">
        <v>334817</v>
      </c>
      <c r="D31" s="20">
        <v>340265</v>
      </c>
      <c r="E31" s="21">
        <f>(+C31-D31)/D31</f>
        <v>-1.601105021086506E-2</v>
      </c>
      <c r="F31" s="20">
        <f>+C31-170142</f>
        <v>164675</v>
      </c>
      <c r="G31" s="20">
        <f>+D31-163301</f>
        <v>176964</v>
      </c>
      <c r="H31" s="21">
        <f>(+F31-G31)/G31</f>
        <v>-6.9443502633303955E-2</v>
      </c>
      <c r="I31" s="22">
        <f>K31/C31</f>
        <v>70.872690514519874</v>
      </c>
      <c r="J31" s="22">
        <f>K31/F31</f>
        <v>144.09826397449521</v>
      </c>
      <c r="K31" s="20">
        <v>23729381.620000001</v>
      </c>
      <c r="L31" s="20">
        <v>22930250.41</v>
      </c>
      <c r="M31" s="23">
        <f>(+K31-L31)/L31</f>
        <v>3.485052259400951E-2</v>
      </c>
      <c r="N31" s="2"/>
      <c r="R31" s="2"/>
    </row>
    <row r="32" spans="1:18" ht="15.75" customHeight="1" x14ac:dyDescent="0.4">
      <c r="A32" s="164"/>
      <c r="B32" s="19">
        <f>DATE(2025,9,1)</f>
        <v>45901</v>
      </c>
      <c r="C32" s="20">
        <v>295737</v>
      </c>
      <c r="D32" s="20">
        <v>306427</v>
      </c>
      <c r="E32" s="21">
        <f>(+C32-D32)/D32</f>
        <v>-3.4885959788138771E-2</v>
      </c>
      <c r="F32" s="20">
        <f>+C32-155395</f>
        <v>140342</v>
      </c>
      <c r="G32" s="20">
        <f>+D32-149563</f>
        <v>156864</v>
      </c>
      <c r="H32" s="21">
        <f>(+F32-G32)/G32</f>
        <v>-0.10532690738474092</v>
      </c>
      <c r="I32" s="22">
        <f>K32/C32</f>
        <v>71.137868477735282</v>
      </c>
      <c r="J32" s="22">
        <f>K32/F32</f>
        <v>149.9059426971256</v>
      </c>
      <c r="K32" s="20">
        <v>21038099.809999999</v>
      </c>
      <c r="L32" s="20">
        <f>20248455.39+180818.97</f>
        <v>20429274.359999999</v>
      </c>
      <c r="M32" s="23">
        <f>(+K32-L32)/L32</f>
        <v>2.9801618954810458E-2</v>
      </c>
      <c r="N32" s="2"/>
      <c r="R32" s="2"/>
    </row>
    <row r="33" spans="1:18" ht="15.75" customHeight="1" x14ac:dyDescent="0.4">
      <c r="A33" s="164"/>
      <c r="B33" s="19">
        <f>DATE(2025,10,1)</f>
        <v>45931</v>
      </c>
      <c r="C33" s="20">
        <v>308297</v>
      </c>
      <c r="D33" s="20">
        <v>285141</v>
      </c>
      <c r="E33" s="21">
        <f>(+C33-D33)/D33</f>
        <v>8.1208945749646669E-2</v>
      </c>
      <c r="F33" s="20">
        <f>+C33-162343</f>
        <v>145954</v>
      </c>
      <c r="G33" s="20">
        <f>+D33-140161</f>
        <v>144980</v>
      </c>
      <c r="H33" s="21">
        <f>(+F33-G33)/G33</f>
        <v>6.7181680231756108E-3</v>
      </c>
      <c r="I33" s="22">
        <f>K33/C33</f>
        <v>74.696973437951073</v>
      </c>
      <c r="J33" s="22">
        <f>K33/F33</f>
        <v>157.78158063499458</v>
      </c>
      <c r="K33" s="20">
        <v>23028852.82</v>
      </c>
      <c r="L33" s="20">
        <f>21581148.8-180818.97</f>
        <v>21400329.830000002</v>
      </c>
      <c r="M33" s="23">
        <f>(+K33-L33)/L33</f>
        <v>7.609803227037451E-2</v>
      </c>
      <c r="N33" s="2"/>
      <c r="R33" s="2"/>
    </row>
    <row r="34" spans="1:18" ht="15.4" thickBot="1" x14ac:dyDescent="0.45">
      <c r="A34" s="36"/>
      <c r="B34" s="43"/>
      <c r="C34" s="20"/>
      <c r="D34" s="20"/>
      <c r="E34" s="21"/>
      <c r="F34" s="20"/>
      <c r="G34" s="20"/>
      <c r="H34" s="21"/>
      <c r="I34" s="22"/>
      <c r="J34" s="22"/>
      <c r="K34" s="20"/>
      <c r="L34" s="20"/>
      <c r="M34" s="23"/>
      <c r="N34" s="2"/>
      <c r="R34" s="2"/>
    </row>
    <row r="35" spans="1:18" ht="15.75" thickTop="1" thickBot="1" x14ac:dyDescent="0.45">
      <c r="A35" s="37" t="s">
        <v>14</v>
      </c>
      <c r="B35" s="38"/>
      <c r="C35" s="39">
        <f>SUM(C30:C34)</f>
        <v>1252107</v>
      </c>
      <c r="D35" s="39">
        <f>SUM(D30:D34)</f>
        <v>1249930</v>
      </c>
      <c r="E35" s="260">
        <f>(+C35-D35)/D35</f>
        <v>1.7416975350619634E-3</v>
      </c>
      <c r="F35" s="39">
        <f>SUM(F30:F34)</f>
        <v>607587</v>
      </c>
      <c r="G35" s="39">
        <f>SUM(G30:G34)</f>
        <v>641216</v>
      </c>
      <c r="H35" s="40">
        <f>(+F35-G35)/G35</f>
        <v>-5.2445665735103307E-2</v>
      </c>
      <c r="I35" s="41">
        <f>K35/C35</f>
        <v>71.763470997286973</v>
      </c>
      <c r="J35" s="41">
        <f>K35/F35</f>
        <v>147.88918192785559</v>
      </c>
      <c r="K35" s="39">
        <f>SUM(K30:K34)</f>
        <v>89855544.379999995</v>
      </c>
      <c r="L35" s="39">
        <f>SUM(L30:L34)</f>
        <v>85319475.909999996</v>
      </c>
      <c r="M35" s="42">
        <f>(+K35-L35)/L35</f>
        <v>5.3165686047871544E-2</v>
      </c>
      <c r="N35" s="2"/>
      <c r="R35" s="2"/>
    </row>
    <row r="36" spans="1:18" ht="15.4" thickTop="1" x14ac:dyDescent="0.4">
      <c r="A36" s="36"/>
      <c r="B36" s="43"/>
      <c r="C36" s="20"/>
      <c r="D36" s="20"/>
      <c r="E36" s="21"/>
      <c r="F36" s="20"/>
      <c r="G36" s="20"/>
      <c r="H36" s="21"/>
      <c r="I36" s="22"/>
      <c r="J36" s="22"/>
      <c r="K36" s="20"/>
      <c r="L36" s="20"/>
      <c r="M36" s="23"/>
      <c r="N36" s="2"/>
      <c r="R36" s="2"/>
    </row>
    <row r="37" spans="1:18" x14ac:dyDescent="0.4">
      <c r="A37" s="18" t="s">
        <v>60</v>
      </c>
      <c r="B37" s="19">
        <f>DATE(2025,7,1)</f>
        <v>45839</v>
      </c>
      <c r="C37" s="20">
        <v>189028</v>
      </c>
      <c r="D37" s="20">
        <v>164838</v>
      </c>
      <c r="E37" s="21">
        <f>(+C37-D37)/D37</f>
        <v>0.14675014256421456</v>
      </c>
      <c r="F37" s="20">
        <f>+C37-89606</f>
        <v>99422</v>
      </c>
      <c r="G37" s="20">
        <f>+D37-73814</f>
        <v>91024</v>
      </c>
      <c r="H37" s="21">
        <f>(+F37-G37)/G37</f>
        <v>9.2261381613640364E-2</v>
      </c>
      <c r="I37" s="22">
        <f>K37/C37</f>
        <v>76.743073089700999</v>
      </c>
      <c r="J37" s="22">
        <f>K37/F37</f>
        <v>145.90925167467964</v>
      </c>
      <c r="K37" s="20">
        <v>14506589.619999999</v>
      </c>
      <c r="L37" s="20">
        <v>12724515.279999999</v>
      </c>
      <c r="M37" s="23">
        <f>(+K37-L37)/L37</f>
        <v>0.14005046956884945</v>
      </c>
      <c r="N37" s="2"/>
      <c r="R37" s="2"/>
    </row>
    <row r="38" spans="1:18" x14ac:dyDescent="0.4">
      <c r="A38" s="18"/>
      <c r="B38" s="19">
        <f>DATE(2025,8,1)</f>
        <v>45870</v>
      </c>
      <c r="C38" s="20">
        <v>194053</v>
      </c>
      <c r="D38" s="20">
        <v>175348</v>
      </c>
      <c r="E38" s="21">
        <f>(+C38-D38)/D38</f>
        <v>0.1066735862399343</v>
      </c>
      <c r="F38" s="20">
        <f>+C38-90254</f>
        <v>103799</v>
      </c>
      <c r="G38" s="20">
        <f>+D38-80823</f>
        <v>94525</v>
      </c>
      <c r="H38" s="21">
        <f>(+F38-G38)/G38</f>
        <v>9.8111610685003972E-2</v>
      </c>
      <c r="I38" s="22">
        <f>K38/C38</f>
        <v>83.202486691780081</v>
      </c>
      <c r="J38" s="22">
        <f>K38/F38</f>
        <v>155.54766568078691</v>
      </c>
      <c r="K38" s="20">
        <v>16145692.15</v>
      </c>
      <c r="L38" s="20">
        <v>13808966.68</v>
      </c>
      <c r="M38" s="23">
        <f>(+K38-L38)/L38</f>
        <v>0.16921798163104851</v>
      </c>
      <c r="N38" s="2"/>
      <c r="R38" s="2"/>
    </row>
    <row r="39" spans="1:18" x14ac:dyDescent="0.4">
      <c r="A39" s="18"/>
      <c r="B39" s="19">
        <f>DATE(2025,9,1)</f>
        <v>45901</v>
      </c>
      <c r="C39" s="20">
        <v>174429</v>
      </c>
      <c r="D39" s="20">
        <v>160883</v>
      </c>
      <c r="E39" s="21">
        <f>(+C39-D39)/D39</f>
        <v>8.4197833207983436E-2</v>
      </c>
      <c r="F39" s="20">
        <f>+C39-83114</f>
        <v>91315</v>
      </c>
      <c r="G39" s="20">
        <f>+D39-72644</f>
        <v>88239</v>
      </c>
      <c r="H39" s="21">
        <f>(+F39-G39)/G39</f>
        <v>3.4859869218826139E-2</v>
      </c>
      <c r="I39" s="22">
        <f>K39/C39</f>
        <v>86.026088838438568</v>
      </c>
      <c r="J39" s="22">
        <f>K39/F39</f>
        <v>164.32617477960906</v>
      </c>
      <c r="K39" s="20">
        <v>15005444.65</v>
      </c>
      <c r="L39" s="20">
        <v>12533263.369999999</v>
      </c>
      <c r="M39" s="23">
        <f>(+K39-L39)/L39</f>
        <v>0.19724960746596051</v>
      </c>
      <c r="N39" s="2"/>
      <c r="R39" s="2"/>
    </row>
    <row r="40" spans="1:18" x14ac:dyDescent="0.4">
      <c r="A40" s="18"/>
      <c r="B40" s="19">
        <f>DATE(2025,10,1)</f>
        <v>45931</v>
      </c>
      <c r="C40" s="20">
        <v>181056</v>
      </c>
      <c r="D40" s="20">
        <v>173754</v>
      </c>
      <c r="E40" s="21">
        <f>(+C40-D40)/D40</f>
        <v>4.202493180013122E-2</v>
      </c>
      <c r="F40" s="20">
        <f>+C40-85844</f>
        <v>95212</v>
      </c>
      <c r="G40" s="20">
        <f>+D40-80828</f>
        <v>92926</v>
      </c>
      <c r="H40" s="21">
        <f>(+F40-G40)/G40</f>
        <v>2.4600219529518109E-2</v>
      </c>
      <c r="I40" s="22">
        <f>K40/C40</f>
        <v>76.66527858784022</v>
      </c>
      <c r="J40" s="22">
        <f>K40/F40</f>
        <v>145.78738688400622</v>
      </c>
      <c r="K40" s="20">
        <v>13880708.68</v>
      </c>
      <c r="L40" s="20">
        <v>13312238.460000001</v>
      </c>
      <c r="M40" s="23">
        <f>(+K40-L40)/L40</f>
        <v>4.2702827304972928E-2</v>
      </c>
      <c r="N40" s="2"/>
      <c r="R40" s="2"/>
    </row>
    <row r="41" spans="1:18" ht="15.4" thickBot="1" x14ac:dyDescent="0.45">
      <c r="A41" s="36"/>
      <c r="B41" s="19"/>
      <c r="C41" s="20"/>
      <c r="D41" s="20"/>
      <c r="E41" s="21"/>
      <c r="F41" s="20"/>
      <c r="G41" s="20"/>
      <c r="H41" s="21"/>
      <c r="I41" s="22"/>
      <c r="J41" s="22"/>
      <c r="K41" s="20"/>
      <c r="L41" s="20"/>
      <c r="M41" s="23"/>
      <c r="N41" s="2"/>
      <c r="R41" s="2"/>
    </row>
    <row r="42" spans="1:18" ht="15.75" thickTop="1" thickBot="1" x14ac:dyDescent="0.45">
      <c r="A42" s="37" t="s">
        <v>14</v>
      </c>
      <c r="B42" s="38"/>
      <c r="C42" s="39">
        <f>SUM(C37:C41)</f>
        <v>738566</v>
      </c>
      <c r="D42" s="39">
        <f>SUM(D37:D41)</f>
        <v>674823</v>
      </c>
      <c r="E42" s="261">
        <f>(+C42-D42)/D42</f>
        <v>9.4458843281867988E-2</v>
      </c>
      <c r="F42" s="45">
        <f>SUM(F37:F41)</f>
        <v>389748</v>
      </c>
      <c r="G42" s="46">
        <f>SUM(G37:G41)</f>
        <v>366714</v>
      </c>
      <c r="H42" s="47">
        <f>(+F42-G42)/G42</f>
        <v>6.2811891555817345E-2</v>
      </c>
      <c r="I42" s="48">
        <f>K42/C42</f>
        <v>80.613560737970616</v>
      </c>
      <c r="J42" s="49">
        <f>K42/F42</f>
        <v>152.76136144380473</v>
      </c>
      <c r="K42" s="46">
        <f>SUM(K37:K41)</f>
        <v>59538435.100000001</v>
      </c>
      <c r="L42" s="45">
        <f>SUM(L37:L41)</f>
        <v>52378983.789999999</v>
      </c>
      <c r="M42" s="42">
        <f>(+K42-L42)/L42</f>
        <v>0.13668557104322551</v>
      </c>
      <c r="N42" s="2"/>
      <c r="R42" s="2"/>
    </row>
    <row r="43" spans="1:18" ht="15.75" customHeight="1" thickTop="1" x14ac:dyDescent="0.4">
      <c r="A43" s="253"/>
      <c r="B43" s="43"/>
      <c r="C43" s="20"/>
      <c r="D43" s="20"/>
      <c r="E43" s="21"/>
      <c r="F43" s="20"/>
      <c r="G43" s="20"/>
      <c r="H43" s="21"/>
      <c r="I43" s="22"/>
      <c r="J43" s="22"/>
      <c r="K43" s="20"/>
      <c r="L43" s="20"/>
      <c r="M43" s="23"/>
      <c r="N43" s="2"/>
      <c r="R43" s="2"/>
    </row>
    <row r="44" spans="1:18" x14ac:dyDescent="0.4">
      <c r="A44" s="254" t="s">
        <v>61</v>
      </c>
      <c r="B44" s="19">
        <f>DATE(2025,7,1)</f>
        <v>45839</v>
      </c>
      <c r="C44" s="20">
        <v>94878</v>
      </c>
      <c r="D44" s="20">
        <v>92648</v>
      </c>
      <c r="E44" s="21">
        <f>(+C44-D44)/D44</f>
        <v>2.4069596753302825E-2</v>
      </c>
      <c r="F44" s="20">
        <f>+C44-48029</f>
        <v>46849</v>
      </c>
      <c r="G44" s="20">
        <f>+D44-46627</f>
        <v>46021</v>
      </c>
      <c r="H44" s="21">
        <f>(+F44-G44)/G44</f>
        <v>1.7991786358401599E-2</v>
      </c>
      <c r="I44" s="22">
        <f>K44/C44</f>
        <v>61.843469613609052</v>
      </c>
      <c r="J44" s="22">
        <f>K44/F44</f>
        <v>125.24460949006382</v>
      </c>
      <c r="K44" s="20">
        <v>5867584.71</v>
      </c>
      <c r="L44" s="20">
        <v>5846003.7300000004</v>
      </c>
      <c r="M44" s="23">
        <f>(+K44-L44)/L44</f>
        <v>3.6915782125235687E-3</v>
      </c>
      <c r="N44" s="2"/>
      <c r="R44" s="2"/>
    </row>
    <row r="45" spans="1:18" x14ac:dyDescent="0.4">
      <c r="A45" s="254"/>
      <c r="B45" s="19">
        <f>DATE(2025,8,1)</f>
        <v>45870</v>
      </c>
      <c r="C45" s="20">
        <v>97250</v>
      </c>
      <c r="D45" s="20">
        <v>95306</v>
      </c>
      <c r="E45" s="21">
        <f>(+C45-D45)/D45</f>
        <v>2.039745661343462E-2</v>
      </c>
      <c r="F45" s="20">
        <f>+C45-49642</f>
        <v>47608</v>
      </c>
      <c r="G45" s="20">
        <f>+D45-47322</f>
        <v>47984</v>
      </c>
      <c r="H45" s="21">
        <f>(+F45-G45)/G45</f>
        <v>-7.8359453151050345E-3</v>
      </c>
      <c r="I45" s="22">
        <f>K45/C45</f>
        <v>62.609686169665814</v>
      </c>
      <c r="J45" s="22">
        <f>K45/F45</f>
        <v>127.89430305830953</v>
      </c>
      <c r="K45" s="20">
        <v>6088791.9800000004</v>
      </c>
      <c r="L45" s="20">
        <v>6105616.8799999999</v>
      </c>
      <c r="M45" s="23">
        <f>(+K45-L45)/L45</f>
        <v>-2.7556429318571071E-3</v>
      </c>
      <c r="N45" s="2"/>
      <c r="R45" s="2"/>
    </row>
    <row r="46" spans="1:18" x14ac:dyDescent="0.4">
      <c r="A46" s="254"/>
      <c r="B46" s="19">
        <f>DATE(2025,9,1)</f>
        <v>45901</v>
      </c>
      <c r="C46" s="20">
        <v>89768</v>
      </c>
      <c r="D46" s="20">
        <v>91616</v>
      </c>
      <c r="E46" s="21">
        <f>(+C46-D46)/D46</f>
        <v>-2.0171149144254278E-2</v>
      </c>
      <c r="F46" s="20">
        <f>+C46-44178</f>
        <v>45590</v>
      </c>
      <c r="G46" s="20">
        <f>+D46-47055</f>
        <v>44561</v>
      </c>
      <c r="H46" s="21">
        <f>(+F46-G46)/G46</f>
        <v>2.3091941383721191E-2</v>
      </c>
      <c r="I46" s="22">
        <f>K46/C46</f>
        <v>62.32700717404866</v>
      </c>
      <c r="J46" s="22">
        <f>K46/F46</f>
        <v>122.72364071068218</v>
      </c>
      <c r="K46" s="20">
        <v>5594970.7800000003</v>
      </c>
      <c r="L46" s="20">
        <v>5893817.8799999999</v>
      </c>
      <c r="M46" s="23">
        <f>(+K46-L46)/L46</f>
        <v>-5.0705180595094948E-2</v>
      </c>
      <c r="N46" s="2"/>
      <c r="R46" s="2"/>
    </row>
    <row r="47" spans="1:18" x14ac:dyDescent="0.4">
      <c r="A47" s="254"/>
      <c r="B47" s="19">
        <f>DATE(2025,10,1)</f>
        <v>45931</v>
      </c>
      <c r="C47" s="20">
        <v>86661</v>
      </c>
      <c r="D47" s="20">
        <v>87502</v>
      </c>
      <c r="E47" s="21">
        <f>(+C47-D47)/D47</f>
        <v>-9.6112088866540189E-3</v>
      </c>
      <c r="F47" s="20">
        <f>+C47-42878</f>
        <v>43783</v>
      </c>
      <c r="G47" s="20">
        <f>+D47-43980</f>
        <v>43522</v>
      </c>
      <c r="H47" s="21">
        <f>(+F47-G47)/G47</f>
        <v>5.9969670511465468E-3</v>
      </c>
      <c r="I47" s="22">
        <f>K47/C47</f>
        <v>61.934212275418005</v>
      </c>
      <c r="J47" s="22">
        <f>K47/F47</f>
        <v>122.58823675855925</v>
      </c>
      <c r="K47" s="20">
        <v>5367280.7699999996</v>
      </c>
      <c r="L47" s="20">
        <v>5684741.7699999996</v>
      </c>
      <c r="M47" s="23">
        <f>(+K47-L47)/L47</f>
        <v>-5.584440117849012E-2</v>
      </c>
      <c r="N47" s="2"/>
      <c r="R47" s="2"/>
    </row>
    <row r="48" spans="1:18" ht="15.75" customHeight="1" thickBot="1" x14ac:dyDescent="0.45">
      <c r="A48" s="18"/>
      <c r="B48" s="19"/>
      <c r="C48" s="20"/>
      <c r="D48" s="20"/>
      <c r="E48" s="21"/>
      <c r="F48" s="20"/>
      <c r="G48" s="20"/>
      <c r="H48" s="21"/>
      <c r="I48" s="22"/>
      <c r="J48" s="22"/>
      <c r="K48" s="20"/>
      <c r="L48" s="20"/>
      <c r="M48" s="23"/>
      <c r="N48" s="2"/>
      <c r="R48" s="2"/>
    </row>
    <row r="49" spans="1:18" ht="17.45" customHeight="1" thickTop="1" thickBot="1" x14ac:dyDescent="0.45">
      <c r="A49" s="37" t="s">
        <v>14</v>
      </c>
      <c r="B49" s="50"/>
      <c r="C49" s="45">
        <f>SUM(C44:C48)</f>
        <v>368557</v>
      </c>
      <c r="D49" s="46">
        <f>SUM(D44:D48)</f>
        <v>367072</v>
      </c>
      <c r="E49" s="261">
        <f>(+C49-D49)/D49</f>
        <v>4.0455278528463085E-3</v>
      </c>
      <c r="F49" s="46">
        <f>SUM(F44:F48)</f>
        <v>183830</v>
      </c>
      <c r="G49" s="45">
        <f>SUM(G44:G48)</f>
        <v>182088</v>
      </c>
      <c r="H49" s="44">
        <f>(+F49-G49)/G49</f>
        <v>9.5668028645490098E-3</v>
      </c>
      <c r="I49" s="49">
        <f>K49/C49</f>
        <v>62.184759046768889</v>
      </c>
      <c r="J49" s="48">
        <f>K49/F49</f>
        <v>124.67294913779035</v>
      </c>
      <c r="K49" s="45">
        <f>SUM(K44:K48)</f>
        <v>22918628.240000002</v>
      </c>
      <c r="L49" s="46">
        <f>SUM(L44:L48)</f>
        <v>23530180.259999998</v>
      </c>
      <c r="M49" s="42">
        <f>(+K49-L49)/L49</f>
        <v>-2.5990111985652757E-2</v>
      </c>
      <c r="N49" s="2"/>
      <c r="R49" s="2"/>
    </row>
    <row r="50" spans="1:18" ht="15.75" customHeight="1" thickTop="1" x14ac:dyDescent="0.4">
      <c r="A50" s="18"/>
      <c r="B50" s="43"/>
      <c r="C50" s="20"/>
      <c r="D50" s="20"/>
      <c r="E50" s="21"/>
      <c r="F50" s="20"/>
      <c r="G50" s="20"/>
      <c r="H50" s="21"/>
      <c r="I50" s="22"/>
      <c r="J50" s="22"/>
      <c r="K50" s="20"/>
      <c r="L50" s="20"/>
      <c r="M50" s="23"/>
      <c r="N50" s="2"/>
      <c r="R50" s="2"/>
    </row>
    <row r="51" spans="1:18" x14ac:dyDescent="0.4">
      <c r="A51" s="18" t="s">
        <v>67</v>
      </c>
      <c r="B51" s="19">
        <f>DATE(2025,7,1)</f>
        <v>45839</v>
      </c>
      <c r="C51" s="20">
        <v>204452</v>
      </c>
      <c r="D51" s="20">
        <v>257776</v>
      </c>
      <c r="E51" s="21">
        <f>(+C51-D51)/D51</f>
        <v>-0.20686177146049284</v>
      </c>
      <c r="F51" s="20">
        <f>+C51-91736</f>
        <v>112716</v>
      </c>
      <c r="G51" s="20">
        <f>+D51-114796</f>
        <v>142980</v>
      </c>
      <c r="H51" s="21">
        <f>(+F51-G51)/G51</f>
        <v>-0.2116659672681494</v>
      </c>
      <c r="I51" s="22">
        <f>K51/C51</f>
        <v>54.137227124214974</v>
      </c>
      <c r="J51" s="22">
        <f>K51/F51</f>
        <v>98.197810071329712</v>
      </c>
      <c r="K51" s="20">
        <v>11068464.359999999</v>
      </c>
      <c r="L51" s="20">
        <v>11751251.060000001</v>
      </c>
      <c r="M51" s="23">
        <f>(+K51-L51)/L51</f>
        <v>-5.8103319937068985E-2</v>
      </c>
      <c r="N51" s="2"/>
      <c r="R51" s="2"/>
    </row>
    <row r="52" spans="1:18" x14ac:dyDescent="0.4">
      <c r="A52" s="18"/>
      <c r="B52" s="19">
        <f>DATE(2025,8,1)</f>
        <v>45870</v>
      </c>
      <c r="C52" s="20">
        <v>206623</v>
      </c>
      <c r="D52" s="20">
        <v>262210</v>
      </c>
      <c r="E52" s="21">
        <f>(+C52-D52)/D52</f>
        <v>-0.21199420311963693</v>
      </c>
      <c r="F52" s="20">
        <f>+C52-94997</f>
        <v>111626</v>
      </c>
      <c r="G52" s="20">
        <f>+D52-116032</f>
        <v>146178</v>
      </c>
      <c r="H52" s="21">
        <f>(+F52-G52)/G52</f>
        <v>-0.23636935790611446</v>
      </c>
      <c r="I52" s="22">
        <f>K52/C52</f>
        <v>54.642807383495544</v>
      </c>
      <c r="J52" s="22">
        <f>K52/F52</f>
        <v>101.14543914500206</v>
      </c>
      <c r="K52" s="20">
        <v>11290460.789999999</v>
      </c>
      <c r="L52" s="20">
        <v>11860379.300000001</v>
      </c>
      <c r="M52" s="23">
        <f>(+K52-L52)/L52</f>
        <v>-4.8052300485870766E-2</v>
      </c>
      <c r="N52" s="2"/>
      <c r="R52" s="2"/>
    </row>
    <row r="53" spans="1:18" x14ac:dyDescent="0.4">
      <c r="A53" s="18"/>
      <c r="B53" s="19">
        <f>DATE(2025,9,1)</f>
        <v>45901</v>
      </c>
      <c r="C53" s="20">
        <v>194883</v>
      </c>
      <c r="D53" s="20">
        <v>241213</v>
      </c>
      <c r="E53" s="21">
        <f>(+C53-D53)/D53</f>
        <v>-0.19207090828437937</v>
      </c>
      <c r="F53" s="20">
        <f>+C53-89384</f>
        <v>105499</v>
      </c>
      <c r="G53" s="20">
        <f>+D53-107281</f>
        <v>133932</v>
      </c>
      <c r="H53" s="21">
        <f>(+F53-G53)/G53</f>
        <v>-0.21229429859928919</v>
      </c>
      <c r="I53" s="22">
        <f>K53/C53</f>
        <v>52.214070237014006</v>
      </c>
      <c r="J53" s="22">
        <f>K53/F53</f>
        <v>96.452427511161247</v>
      </c>
      <c r="K53" s="20">
        <v>10175634.65</v>
      </c>
      <c r="L53" s="20">
        <v>11084672.869999999</v>
      </c>
      <c r="M53" s="23">
        <f>(+K53-L53)/L53</f>
        <v>-8.2008574421736535E-2</v>
      </c>
      <c r="N53" s="2"/>
      <c r="R53" s="2"/>
    </row>
    <row r="54" spans="1:18" x14ac:dyDescent="0.4">
      <c r="A54" s="18"/>
      <c r="B54" s="19">
        <f>DATE(2025,10,1)</f>
        <v>45931</v>
      </c>
      <c r="C54" s="20">
        <v>223616</v>
      </c>
      <c r="D54" s="20">
        <v>231557</v>
      </c>
      <c r="E54" s="21">
        <f>(+C54-D54)/D54</f>
        <v>-3.4293931947641403E-2</v>
      </c>
      <c r="F54" s="20">
        <f>+C54-108833</f>
        <v>114783</v>
      </c>
      <c r="G54" s="20">
        <f>+D54-99889</f>
        <v>131668</v>
      </c>
      <c r="H54" s="21">
        <f>(+F54-G54)/G54</f>
        <v>-0.12823920770422578</v>
      </c>
      <c r="I54" s="22">
        <f>K54/C54</f>
        <v>52.455613909559247</v>
      </c>
      <c r="J54" s="22">
        <f>K54/F54</f>
        <v>102.19208907242363</v>
      </c>
      <c r="K54" s="20">
        <v>11729914.560000001</v>
      </c>
      <c r="L54" s="20">
        <v>11878281.369999999</v>
      </c>
      <c r="M54" s="23">
        <f>(+K54-L54)/L54</f>
        <v>-1.249059568286676E-2</v>
      </c>
      <c r="N54" s="2"/>
      <c r="R54" s="2"/>
    </row>
    <row r="55" spans="1:18" ht="15.75" customHeight="1" thickBot="1" x14ac:dyDescent="0.45">
      <c r="A55" s="18"/>
      <c r="B55" s="43"/>
      <c r="C55" s="20"/>
      <c r="D55" s="20"/>
      <c r="E55" s="21"/>
      <c r="F55" s="20"/>
      <c r="G55" s="20"/>
      <c r="H55" s="21"/>
      <c r="I55" s="22"/>
      <c r="J55" s="22"/>
      <c r="K55" s="20"/>
      <c r="L55" s="20"/>
      <c r="M55" s="23"/>
      <c r="N55" s="2"/>
      <c r="R55" s="2"/>
    </row>
    <row r="56" spans="1:18" ht="17.45" customHeight="1" thickTop="1" thickBot="1" x14ac:dyDescent="0.45">
      <c r="A56" s="37" t="s">
        <v>14</v>
      </c>
      <c r="B56" s="50"/>
      <c r="C56" s="45">
        <f>SUM(C51:C55)</f>
        <v>829574</v>
      </c>
      <c r="D56" s="46">
        <f>SUM(D51:D55)</f>
        <v>992756</v>
      </c>
      <c r="E56" s="261">
        <f>(+C56-D56)/D56</f>
        <v>-0.16437271595437347</v>
      </c>
      <c r="F56" s="46">
        <f>SUM(F51:F55)</f>
        <v>444624</v>
      </c>
      <c r="G56" s="45">
        <f>SUM(G51:G55)</f>
        <v>554758</v>
      </c>
      <c r="H56" s="51">
        <f>(+F56-G56)/G56</f>
        <v>-0.19852620421877648</v>
      </c>
      <c r="I56" s="49">
        <f>K56/C56</f>
        <v>53.358078194350355</v>
      </c>
      <c r="J56" s="48">
        <f>K56/F56</f>
        <v>99.554847151750693</v>
      </c>
      <c r="K56" s="45">
        <f>SUM(K51:K55)</f>
        <v>44264474.359999999</v>
      </c>
      <c r="L56" s="46">
        <f>SUM(L51:L55)</f>
        <v>46574584.599999994</v>
      </c>
      <c r="M56" s="42">
        <f>(+K56-L56)/L56</f>
        <v>-4.9600232827411946E-2</v>
      </c>
      <c r="N56" s="2"/>
      <c r="R56" s="2"/>
    </row>
    <row r="57" spans="1:18" ht="15.75" customHeight="1" thickTop="1" x14ac:dyDescent="0.4">
      <c r="A57" s="18"/>
      <c r="B57" s="43"/>
      <c r="C57" s="20"/>
      <c r="D57" s="20"/>
      <c r="E57" s="21"/>
      <c r="F57" s="20"/>
      <c r="G57" s="20"/>
      <c r="H57" s="21"/>
      <c r="I57" s="22"/>
      <c r="J57" s="22"/>
      <c r="K57" s="20"/>
      <c r="L57" s="20"/>
      <c r="M57" s="23"/>
      <c r="N57" s="2"/>
      <c r="R57" s="2"/>
    </row>
    <row r="58" spans="1:18" ht="15.75" customHeight="1" x14ac:dyDescent="0.4">
      <c r="A58" s="18" t="s">
        <v>69</v>
      </c>
      <c r="B58" s="19">
        <f>DATE(2025,7,1)</f>
        <v>45839</v>
      </c>
      <c r="C58" s="20">
        <v>216398</v>
      </c>
      <c r="D58" s="20">
        <v>179532</v>
      </c>
      <c r="E58" s="21">
        <f>(+C58-D58)/D58</f>
        <v>0.20534500813225498</v>
      </c>
      <c r="F58" s="20">
        <f>+C58-97090</f>
        <v>119308</v>
      </c>
      <c r="G58" s="20">
        <f>+D58-80702</f>
        <v>98830</v>
      </c>
      <c r="H58" s="21">
        <f>(+F58-G58)/G58</f>
        <v>0.20720429019528483</v>
      </c>
      <c r="I58" s="22">
        <f>K58/C58</f>
        <v>66.817602658065226</v>
      </c>
      <c r="J58" s="22">
        <f>K58/F58</f>
        <v>121.19217135481276</v>
      </c>
      <c r="K58" s="20">
        <v>14459195.58</v>
      </c>
      <c r="L58" s="20">
        <v>11941116.9</v>
      </c>
      <c r="M58" s="23">
        <f>(+K58-L58)/L58</f>
        <v>0.21087463602336895</v>
      </c>
      <c r="N58" s="2"/>
      <c r="R58" s="2"/>
    </row>
    <row r="59" spans="1:18" ht="15.75" customHeight="1" x14ac:dyDescent="0.4">
      <c r="A59" s="18"/>
      <c r="B59" s="19">
        <f>DATE(2025,8,1)</f>
        <v>45870</v>
      </c>
      <c r="C59" s="20">
        <v>230610</v>
      </c>
      <c r="D59" s="20">
        <v>184933</v>
      </c>
      <c r="E59" s="21">
        <f>(+C59-D59)/D59</f>
        <v>0.24699215391520171</v>
      </c>
      <c r="F59" s="20">
        <f>+C59-104945</f>
        <v>125665</v>
      </c>
      <c r="G59" s="20">
        <f>+D59-83211</f>
        <v>101722</v>
      </c>
      <c r="H59" s="21">
        <f>(+F59-G59)/G59</f>
        <v>0.23537681130925464</v>
      </c>
      <c r="I59" s="22">
        <f>K59/C59</f>
        <v>66.546834439096315</v>
      </c>
      <c r="J59" s="22">
        <f>K59/F59</f>
        <v>122.12123892889826</v>
      </c>
      <c r="K59" s="20">
        <v>15346365.49</v>
      </c>
      <c r="L59" s="20">
        <v>11618380.869999999</v>
      </c>
      <c r="M59" s="23">
        <f>(+K59-L59)/L59</f>
        <v>0.32086954815073138</v>
      </c>
      <c r="N59" s="2"/>
      <c r="R59" s="2"/>
    </row>
    <row r="60" spans="1:18" ht="15.75" customHeight="1" x14ac:dyDescent="0.4">
      <c r="A60" s="18"/>
      <c r="B60" s="19">
        <f>DATE(2025,9,1)</f>
        <v>45901</v>
      </c>
      <c r="C60" s="20">
        <v>204466</v>
      </c>
      <c r="D60" s="20">
        <v>169283</v>
      </c>
      <c r="E60" s="21">
        <f>(+C60-D60)/D60</f>
        <v>0.20783539989248773</v>
      </c>
      <c r="F60" s="20">
        <f>+C60-91793</f>
        <v>112673</v>
      </c>
      <c r="G60" s="20">
        <f>+D60-78026</f>
        <v>91257</v>
      </c>
      <c r="H60" s="21">
        <f>(+F60-G60)/G60</f>
        <v>0.23467788772368148</v>
      </c>
      <c r="I60" s="22">
        <f>K60/C60</f>
        <v>64.941878894290497</v>
      </c>
      <c r="J60" s="22">
        <f>K60/F60</f>
        <v>117.84905176927926</v>
      </c>
      <c r="K60" s="20">
        <v>13278406.210000001</v>
      </c>
      <c r="L60" s="20">
        <v>10583991.34</v>
      </c>
      <c r="M60" s="23">
        <f>(+K60-L60)/L60</f>
        <v>0.25457455353511288</v>
      </c>
      <c r="N60" s="2"/>
      <c r="R60" s="2"/>
    </row>
    <row r="61" spans="1:18" ht="15.75" customHeight="1" x14ac:dyDescent="0.4">
      <c r="A61" s="18"/>
      <c r="B61" s="19">
        <f>DATE(2025,10,1)</f>
        <v>45931</v>
      </c>
      <c r="C61" s="20">
        <v>202121</v>
      </c>
      <c r="D61" s="20">
        <v>170885</v>
      </c>
      <c r="E61" s="21">
        <f>(+C61-D61)/D61</f>
        <v>0.18278959534189659</v>
      </c>
      <c r="F61" s="20">
        <f>+C61-92017</f>
        <v>110104</v>
      </c>
      <c r="G61" s="20">
        <f>+D61-79112</f>
        <v>91773</v>
      </c>
      <c r="H61" s="21">
        <f>(+F61-G61)/G61</f>
        <v>0.19974284375578874</v>
      </c>
      <c r="I61" s="22">
        <f>K61/C61</f>
        <v>64.578654617778454</v>
      </c>
      <c r="J61" s="22">
        <f>K61/F61</f>
        <v>118.54884699920076</v>
      </c>
      <c r="K61" s="20">
        <v>13052702.25</v>
      </c>
      <c r="L61" s="20">
        <v>10511697.35</v>
      </c>
      <c r="M61" s="23">
        <f>(+K61-L61)/L61</f>
        <v>0.24173117008548581</v>
      </c>
      <c r="N61" s="2"/>
      <c r="R61" s="2"/>
    </row>
    <row r="62" spans="1:18" ht="15.75" customHeight="1" thickBot="1" x14ac:dyDescent="0.45">
      <c r="A62" s="18"/>
      <c r="B62" s="43"/>
      <c r="C62" s="20"/>
      <c r="D62" s="20"/>
      <c r="E62" s="21"/>
      <c r="F62" s="20"/>
      <c r="G62" s="20"/>
      <c r="H62" s="21"/>
      <c r="I62" s="22"/>
      <c r="J62" s="22"/>
      <c r="K62" s="20"/>
      <c r="L62" s="20"/>
      <c r="M62" s="23"/>
      <c r="N62" s="2"/>
      <c r="R62" s="2"/>
    </row>
    <row r="63" spans="1:18" ht="15.75" thickTop="1" thickBot="1" x14ac:dyDescent="0.45">
      <c r="A63" s="37" t="s">
        <v>14</v>
      </c>
      <c r="B63" s="38"/>
      <c r="C63" s="39">
        <f>SUM(C58:C62)</f>
        <v>853595</v>
      </c>
      <c r="D63" s="39">
        <f>SUM(D58:D62)</f>
        <v>704633</v>
      </c>
      <c r="E63" s="260">
        <f>(+C63-D63)/D63</f>
        <v>0.21140366687339368</v>
      </c>
      <c r="F63" s="39">
        <f>SUM(F58:F62)</f>
        <v>467750</v>
      </c>
      <c r="G63" s="39">
        <f>SUM(G58:G62)</f>
        <v>383582</v>
      </c>
      <c r="H63" s="40">
        <f>(+F63-G63)/G63</f>
        <v>0.21942635472988825</v>
      </c>
      <c r="I63" s="41">
        <f>K63/C63</f>
        <v>65.764993386793506</v>
      </c>
      <c r="J63" s="41">
        <f>K63/F63</f>
        <v>120.01425874933192</v>
      </c>
      <c r="K63" s="39">
        <f>SUM(K58:K62)</f>
        <v>56136669.530000001</v>
      </c>
      <c r="L63" s="39">
        <f>SUM(L58:L62)</f>
        <v>44655186.460000001</v>
      </c>
      <c r="M63" s="42">
        <f>(+K63-L63)/L63</f>
        <v>0.2571142118124301</v>
      </c>
      <c r="N63" s="2"/>
      <c r="R63" s="2"/>
    </row>
    <row r="64" spans="1:18" ht="15.75" customHeight="1" thickTop="1" x14ac:dyDescent="0.4">
      <c r="A64" s="52"/>
      <c r="B64" s="53"/>
      <c r="C64" s="53"/>
      <c r="D64" s="53"/>
      <c r="E64" s="54"/>
      <c r="F64" s="53"/>
      <c r="G64" s="53"/>
      <c r="H64" s="54"/>
      <c r="I64" s="53"/>
      <c r="J64" s="53"/>
      <c r="K64" s="183"/>
      <c r="L64" s="183"/>
      <c r="M64" s="55"/>
      <c r="N64" s="2"/>
      <c r="R64" s="2"/>
    </row>
    <row r="65" spans="1:18" ht="15.75" customHeight="1" x14ac:dyDescent="0.4">
      <c r="A65" s="18" t="s">
        <v>16</v>
      </c>
      <c r="B65" s="19">
        <f>DATE(2025,7,1)</f>
        <v>45839</v>
      </c>
      <c r="C65" s="20">
        <v>256392</v>
      </c>
      <c r="D65" s="20">
        <v>241251</v>
      </c>
      <c r="E65" s="21">
        <f>(+C65-D65)/D65</f>
        <v>6.2760361615081389E-2</v>
      </c>
      <c r="F65" s="20">
        <f>+C65-136380</f>
        <v>120012</v>
      </c>
      <c r="G65" s="20">
        <f>+D65-122029</f>
        <v>119222</v>
      </c>
      <c r="H65" s="21">
        <f>(+F65-G65)/G65</f>
        <v>6.6262938048346782E-3</v>
      </c>
      <c r="I65" s="22">
        <f>K65/C65</f>
        <v>68.159802372928951</v>
      </c>
      <c r="J65" s="22">
        <f>K65/F65</f>
        <v>145.61567218278174</v>
      </c>
      <c r="K65" s="20">
        <v>17475628.050000001</v>
      </c>
      <c r="L65" s="20">
        <v>16833896.640000001</v>
      </c>
      <c r="M65" s="23">
        <f>(+K65-L65)/L65</f>
        <v>3.8121382334922078E-2</v>
      </c>
      <c r="N65" s="2"/>
      <c r="R65" s="2"/>
    </row>
    <row r="66" spans="1:18" ht="15.75" customHeight="1" x14ac:dyDescent="0.4">
      <c r="A66" s="18"/>
      <c r="B66" s="19">
        <f>DATE(2025,8,1)</f>
        <v>45870</v>
      </c>
      <c r="C66" s="20">
        <v>264680</v>
      </c>
      <c r="D66" s="20">
        <v>252387</v>
      </c>
      <c r="E66" s="21">
        <f>(+C66-D66)/D66</f>
        <v>4.8706946078839242E-2</v>
      </c>
      <c r="F66" s="20">
        <f>+C66-139345</f>
        <v>125335</v>
      </c>
      <c r="G66" s="20">
        <f>+D66-128448</f>
        <v>123939</v>
      </c>
      <c r="H66" s="21">
        <f>(+F66-G66)/G66</f>
        <v>1.1263605483342612E-2</v>
      </c>
      <c r="I66" s="22">
        <f>K66/C66</f>
        <v>67.211676515037027</v>
      </c>
      <c r="J66" s="22">
        <f>K66/F66</f>
        <v>141.93630302788526</v>
      </c>
      <c r="K66" s="20">
        <v>17789586.539999999</v>
      </c>
      <c r="L66" s="20">
        <v>17738787.879999999</v>
      </c>
      <c r="M66" s="23">
        <f>(+K66-L66)/L66</f>
        <v>2.8637052510940872E-3</v>
      </c>
      <c r="N66" s="2"/>
      <c r="R66" s="2"/>
    </row>
    <row r="67" spans="1:18" ht="15.75" customHeight="1" x14ac:dyDescent="0.4">
      <c r="A67" s="18"/>
      <c r="B67" s="19">
        <f>DATE(2025,9,1)</f>
        <v>45901</v>
      </c>
      <c r="C67" s="20">
        <v>229065</v>
      </c>
      <c r="D67" s="20">
        <v>226206</v>
      </c>
      <c r="E67" s="21">
        <f>(+C67-D67)/D67</f>
        <v>1.2638922044508102E-2</v>
      </c>
      <c r="F67" s="20">
        <f>+C67-122117</f>
        <v>106948</v>
      </c>
      <c r="G67" s="20">
        <f>+D67-113686</f>
        <v>112520</v>
      </c>
      <c r="H67" s="21">
        <f>(+F67-G67)/G67</f>
        <v>-4.9520085318165659E-2</v>
      </c>
      <c r="I67" s="22">
        <f>K67/C67</f>
        <v>68.787489096981204</v>
      </c>
      <c r="J67" s="22">
        <f>K67/F67</f>
        <v>147.33147127576018</v>
      </c>
      <c r="K67" s="20">
        <v>15756806.189999999</v>
      </c>
      <c r="L67" s="20">
        <v>16336895.189999999</v>
      </c>
      <c r="M67" s="23">
        <f>(+K67-L67)/L67</f>
        <v>-3.5507909749894158E-2</v>
      </c>
      <c r="N67" s="2"/>
      <c r="R67" s="2"/>
    </row>
    <row r="68" spans="1:18" ht="15.75" customHeight="1" x14ac:dyDescent="0.4">
      <c r="A68" s="18"/>
      <c r="B68" s="19">
        <f>DATE(2025,10,1)</f>
        <v>45931</v>
      </c>
      <c r="C68" s="20">
        <v>242655</v>
      </c>
      <c r="D68" s="20">
        <v>225125</v>
      </c>
      <c r="E68" s="21">
        <f>(+C68-D68)/D68</f>
        <v>7.7867851193781229E-2</v>
      </c>
      <c r="F68" s="20">
        <f>+C68-126626</f>
        <v>116029</v>
      </c>
      <c r="G68" s="20">
        <f>+D68-114268</f>
        <v>110857</v>
      </c>
      <c r="H68" s="21">
        <f>(+F68-G68)/G68</f>
        <v>4.6654699297292906E-2</v>
      </c>
      <c r="I68" s="22">
        <f>K68/C68</f>
        <v>69.280798582349419</v>
      </c>
      <c r="J68" s="22">
        <f>K68/F68</f>
        <v>144.88905515000559</v>
      </c>
      <c r="K68" s="20">
        <v>16811332.18</v>
      </c>
      <c r="L68" s="20">
        <v>15330195.15</v>
      </c>
      <c r="M68" s="23">
        <f>(+K68-L68)/L68</f>
        <v>9.6615667022347029E-2</v>
      </c>
      <c r="N68" s="2"/>
      <c r="R68" s="2"/>
    </row>
    <row r="69" spans="1:18" ht="15.75" customHeight="1" thickBot="1" x14ac:dyDescent="0.45">
      <c r="A69" s="18"/>
      <c r="B69" s="43"/>
      <c r="C69" s="20"/>
      <c r="D69" s="20"/>
      <c r="E69" s="21"/>
      <c r="F69" s="20"/>
      <c r="G69" s="20"/>
      <c r="H69" s="21"/>
      <c r="I69" s="22"/>
      <c r="J69" s="22"/>
      <c r="K69" s="20"/>
      <c r="L69" s="20"/>
      <c r="M69" s="23"/>
      <c r="N69" s="2"/>
      <c r="R69" s="2"/>
    </row>
    <row r="70" spans="1:18" ht="15.75" thickTop="1" thickBot="1" x14ac:dyDescent="0.45">
      <c r="A70" s="37" t="s">
        <v>14</v>
      </c>
      <c r="B70" s="38"/>
      <c r="C70" s="39">
        <f>SUM(C65:C69)</f>
        <v>992792</v>
      </c>
      <c r="D70" s="39">
        <f>SUM(D65:D69)</f>
        <v>944969</v>
      </c>
      <c r="E70" s="260">
        <f>(+C70-D70)/D70</f>
        <v>5.0608009363270118E-2</v>
      </c>
      <c r="F70" s="39">
        <f>SUM(F65:F69)</f>
        <v>468324</v>
      </c>
      <c r="G70" s="39">
        <f>SUM(G65:G69)</f>
        <v>466538</v>
      </c>
      <c r="H70" s="40">
        <f>(+F70-G70)/G70</f>
        <v>3.828198346115429E-3</v>
      </c>
      <c r="I70" s="41">
        <f>K70/C70</f>
        <v>68.325845655484741</v>
      </c>
      <c r="J70" s="41">
        <f>K70/F70</f>
        <v>144.84278610534588</v>
      </c>
      <c r="K70" s="39">
        <f>SUM(K65:K69)</f>
        <v>67833352.960000008</v>
      </c>
      <c r="L70" s="39">
        <f>SUM(L65:L69)</f>
        <v>66239774.859999992</v>
      </c>
      <c r="M70" s="42">
        <f>(+K70-L70)/L70</f>
        <v>2.4057722167203883E-2</v>
      </c>
      <c r="N70" s="2"/>
      <c r="R70" s="2"/>
    </row>
    <row r="71" spans="1:18" ht="15.75" customHeight="1" thickTop="1" x14ac:dyDescent="0.4">
      <c r="A71" s="52"/>
      <c r="B71" s="53"/>
      <c r="C71" s="53"/>
      <c r="D71" s="53"/>
      <c r="E71" s="54"/>
      <c r="F71" s="53"/>
      <c r="G71" s="53"/>
      <c r="H71" s="54"/>
      <c r="I71" s="53"/>
      <c r="J71" s="53"/>
      <c r="K71" s="183"/>
      <c r="L71" s="183"/>
      <c r="M71" s="55"/>
      <c r="N71" s="2"/>
      <c r="R71" s="2"/>
    </row>
    <row r="72" spans="1:18" ht="15.75" customHeight="1" x14ac:dyDescent="0.4">
      <c r="A72" s="18" t="s">
        <v>53</v>
      </c>
      <c r="B72" s="19">
        <f>DATE(2025,7,1)</f>
        <v>45839</v>
      </c>
      <c r="C72" s="20">
        <v>334577</v>
      </c>
      <c r="D72" s="20">
        <v>331492</v>
      </c>
      <c r="E72" s="21">
        <f>(+C72-D72)/D72</f>
        <v>9.3064086011125455E-3</v>
      </c>
      <c r="F72" s="20">
        <f>+C72-156657</f>
        <v>177920</v>
      </c>
      <c r="G72" s="20">
        <f>+D72-154270</f>
        <v>177222</v>
      </c>
      <c r="H72" s="21">
        <f>(+F72-G72)/G72</f>
        <v>3.9385629323673132E-3</v>
      </c>
      <c r="I72" s="22">
        <f>K72/C72</f>
        <v>66.550795661387355</v>
      </c>
      <c r="J72" s="22">
        <f>K72/F72</f>
        <v>125.14818772482013</v>
      </c>
      <c r="K72" s="20">
        <v>22266365.559999999</v>
      </c>
      <c r="L72" s="20">
        <v>20666135.579999998</v>
      </c>
      <c r="M72" s="23">
        <f>(+K72-L72)/L72</f>
        <v>7.7432472742927805E-2</v>
      </c>
      <c r="N72" s="2"/>
      <c r="R72" s="2"/>
    </row>
    <row r="73" spans="1:18" ht="15.75" customHeight="1" x14ac:dyDescent="0.4">
      <c r="A73" s="18"/>
      <c r="B73" s="19">
        <f>DATE(2025,8,1)</f>
        <v>45870</v>
      </c>
      <c r="C73" s="20">
        <v>344204</v>
      </c>
      <c r="D73" s="20">
        <v>357343</v>
      </c>
      <c r="E73" s="21">
        <f>(+C73-D73)/D73</f>
        <v>-3.6768594879429566E-2</v>
      </c>
      <c r="F73" s="20">
        <f>+C73-159754</f>
        <v>184450</v>
      </c>
      <c r="G73" s="20">
        <f>+D73-161766</f>
        <v>195577</v>
      </c>
      <c r="H73" s="21">
        <f>(+F73-G73)/G73</f>
        <v>-5.689319296236265E-2</v>
      </c>
      <c r="I73" s="22">
        <f>K73/C73</f>
        <v>69.857439803139997</v>
      </c>
      <c r="J73" s="22">
        <f>K73/F73</f>
        <v>130.36167096774193</v>
      </c>
      <c r="K73" s="20">
        <v>24045210.210000001</v>
      </c>
      <c r="L73" s="20">
        <v>21638089.190000001</v>
      </c>
      <c r="M73" s="23">
        <f>(+K73-L73)/L73</f>
        <v>0.11124462048675007</v>
      </c>
      <c r="N73" s="2"/>
      <c r="R73" s="2"/>
    </row>
    <row r="74" spans="1:18" ht="15.75" customHeight="1" x14ac:dyDescent="0.4">
      <c r="A74" s="18"/>
      <c r="B74" s="19">
        <f>DATE(2025,9,1)</f>
        <v>45901</v>
      </c>
      <c r="C74" s="20">
        <v>307673</v>
      </c>
      <c r="D74" s="20">
        <v>320719</v>
      </c>
      <c r="E74" s="21">
        <f>(+C74-D74)/D74</f>
        <v>-4.0677353072315639E-2</v>
      </c>
      <c r="F74" s="20">
        <f>+C74-142575</f>
        <v>165098</v>
      </c>
      <c r="G74" s="20">
        <f>+D74-145865</f>
        <v>174854</v>
      </c>
      <c r="H74" s="21">
        <f>(+F74-G74)/G74</f>
        <v>-5.579512050053187E-2</v>
      </c>
      <c r="I74" s="22">
        <f>K74/C74</f>
        <v>69.893282283463293</v>
      </c>
      <c r="J74" s="22">
        <f>K74/F74</f>
        <v>130.25158293861827</v>
      </c>
      <c r="K74" s="20">
        <v>21504275.84</v>
      </c>
      <c r="L74" s="20">
        <v>20401476.460000001</v>
      </c>
      <c r="M74" s="23">
        <f>(+K74-L74)/L74</f>
        <v>5.4054880888753036E-2</v>
      </c>
      <c r="N74" s="2"/>
      <c r="R74" s="2"/>
    </row>
    <row r="75" spans="1:18" ht="15.75" customHeight="1" x14ac:dyDescent="0.4">
      <c r="A75" s="18"/>
      <c r="B75" s="19">
        <f>DATE(2025,10,1)</f>
        <v>45931</v>
      </c>
      <c r="C75" s="20">
        <v>327604</v>
      </c>
      <c r="D75" s="20">
        <v>327430</v>
      </c>
      <c r="E75" s="21">
        <f>(+C75-D75)/D75</f>
        <v>5.314112940170418E-4</v>
      </c>
      <c r="F75" s="20">
        <f>+C75-156099</f>
        <v>171505</v>
      </c>
      <c r="G75" s="20">
        <f>+D75-150962</f>
        <v>176468</v>
      </c>
      <c r="H75" s="21">
        <f>(+F75-G75)/G75</f>
        <v>-2.8124079153160914E-2</v>
      </c>
      <c r="I75" s="22">
        <f>K75/C75</f>
        <v>69.181519975336087</v>
      </c>
      <c r="J75" s="22">
        <f>K75/F75</f>
        <v>132.14858266522842</v>
      </c>
      <c r="K75" s="20">
        <v>22664142.670000002</v>
      </c>
      <c r="L75" s="20">
        <v>21417542.489999998</v>
      </c>
      <c r="M75" s="23">
        <f>(+K75-L75)/L75</f>
        <v>5.8204632047866828E-2</v>
      </c>
      <c r="N75" s="2"/>
      <c r="R75" s="2"/>
    </row>
    <row r="76" spans="1:18" ht="15.75" customHeight="1" thickBot="1" x14ac:dyDescent="0.45">
      <c r="A76" s="18"/>
      <c r="B76" s="43"/>
      <c r="C76" s="20"/>
      <c r="D76" s="20"/>
      <c r="E76" s="21"/>
      <c r="F76" s="20"/>
      <c r="G76" s="20"/>
      <c r="H76" s="21"/>
      <c r="I76" s="22"/>
      <c r="J76" s="22"/>
      <c r="K76" s="20"/>
      <c r="L76" s="20"/>
      <c r="M76" s="23"/>
      <c r="N76" s="2"/>
      <c r="R76" s="2"/>
    </row>
    <row r="77" spans="1:18" ht="15.75" thickTop="1" thickBot="1" x14ac:dyDescent="0.45">
      <c r="A77" s="37" t="s">
        <v>14</v>
      </c>
      <c r="B77" s="38"/>
      <c r="C77" s="39">
        <f>SUM(C72:C76)</f>
        <v>1314058</v>
      </c>
      <c r="D77" s="39">
        <f>SUM(D72:D76)</f>
        <v>1336984</v>
      </c>
      <c r="E77" s="260">
        <f>(+C77-D77)/D77</f>
        <v>-1.7147550008077883E-2</v>
      </c>
      <c r="F77" s="39">
        <f>SUM(F72:F76)</f>
        <v>698973</v>
      </c>
      <c r="G77" s="39">
        <f>SUM(G72:G76)</f>
        <v>724121</v>
      </c>
      <c r="H77" s="40">
        <f>(+F77-G77)/G77</f>
        <v>-3.4729002473343547E-2</v>
      </c>
      <c r="I77" s="41">
        <f>K77/C77</f>
        <v>68.855403855841985</v>
      </c>
      <c r="J77" s="41">
        <f>K77/F77</f>
        <v>129.44705200343932</v>
      </c>
      <c r="K77" s="39">
        <f>SUM(K72:K76)</f>
        <v>90479994.280000001</v>
      </c>
      <c r="L77" s="39">
        <f>SUM(L72:L76)</f>
        <v>84123243.719999999</v>
      </c>
      <c r="M77" s="42">
        <f>(+K77-L77)/L77</f>
        <v>7.556473429814628E-2</v>
      </c>
      <c r="N77" s="2"/>
      <c r="R77" s="2"/>
    </row>
    <row r="78" spans="1:18" ht="15.75" customHeight="1" thickTop="1" x14ac:dyDescent="0.4">
      <c r="A78" s="56"/>
      <c r="B78" s="57"/>
      <c r="C78" s="57"/>
      <c r="D78" s="57"/>
      <c r="E78" s="58"/>
      <c r="F78" s="57"/>
      <c r="G78" s="57"/>
      <c r="H78" s="58"/>
      <c r="I78" s="57"/>
      <c r="J78" s="57"/>
      <c r="K78" s="184"/>
      <c r="L78" s="184"/>
      <c r="M78" s="59"/>
      <c r="N78" s="2"/>
      <c r="R78" s="2"/>
    </row>
    <row r="79" spans="1:18" ht="15" customHeight="1" x14ac:dyDescent="0.4">
      <c r="A79" s="18" t="s">
        <v>54</v>
      </c>
      <c r="B79" s="19">
        <f>DATE(2025,7,1)</f>
        <v>45839</v>
      </c>
      <c r="C79" s="20">
        <v>42805</v>
      </c>
      <c r="D79" s="20">
        <v>39024</v>
      </c>
      <c r="E79" s="21">
        <f>(+C79-D79)/D79</f>
        <v>9.6889093890938915E-2</v>
      </c>
      <c r="F79" s="20">
        <f>+C79-21502</f>
        <v>21303</v>
      </c>
      <c r="G79" s="20">
        <f>+D79-19863</f>
        <v>19161</v>
      </c>
      <c r="H79" s="21">
        <f>(+F79-G79)/G79</f>
        <v>0.11178957256928135</v>
      </c>
      <c r="I79" s="22">
        <f>K79/C79</f>
        <v>68.823005957247986</v>
      </c>
      <c r="J79" s="22">
        <f>K79/F79</f>
        <v>138.28891564568372</v>
      </c>
      <c r="K79" s="20">
        <v>2945968.77</v>
      </c>
      <c r="L79" s="20">
        <v>2829692.37</v>
      </c>
      <c r="M79" s="23">
        <f>(+K79-L79)/L79</f>
        <v>4.1091533918225856E-2</v>
      </c>
      <c r="N79" s="2"/>
      <c r="R79" s="2"/>
    </row>
    <row r="80" spans="1:18" ht="15" customHeight="1" x14ac:dyDescent="0.4">
      <c r="A80" s="18"/>
      <c r="B80" s="19">
        <f>DATE(2025,8,1)</f>
        <v>45870</v>
      </c>
      <c r="C80" s="20">
        <v>43476</v>
      </c>
      <c r="D80" s="20">
        <v>37405</v>
      </c>
      <c r="E80" s="21">
        <f>(+C80-D80)/D80</f>
        <v>0.16230450474535491</v>
      </c>
      <c r="F80" s="20">
        <f>+C80-21927</f>
        <v>21549</v>
      </c>
      <c r="G80" s="20">
        <f>+D80-18960</f>
        <v>18445</v>
      </c>
      <c r="H80" s="21">
        <f>(+F80-G80)/G80</f>
        <v>0.16828408782867985</v>
      </c>
      <c r="I80" s="22">
        <f>K80/C80</f>
        <v>69.474783788757023</v>
      </c>
      <c r="J80" s="22">
        <f>K80/F80</f>
        <v>140.16825374727367</v>
      </c>
      <c r="K80" s="20">
        <v>3020485.7</v>
      </c>
      <c r="L80" s="20">
        <v>2718513.58</v>
      </c>
      <c r="M80" s="23">
        <f>(+K80-L80)/L80</f>
        <v>0.11107986446034238</v>
      </c>
      <c r="N80" s="2"/>
      <c r="R80" s="2"/>
    </row>
    <row r="81" spans="1:18" ht="15" customHeight="1" x14ac:dyDescent="0.4">
      <c r="A81" s="18"/>
      <c r="B81" s="19">
        <f>DATE(2025,9,1)</f>
        <v>45901</v>
      </c>
      <c r="C81" s="20">
        <v>38993</v>
      </c>
      <c r="D81" s="20">
        <v>33865</v>
      </c>
      <c r="E81" s="21">
        <f>(+C81-D81)/D81</f>
        <v>0.15142477484128156</v>
      </c>
      <c r="F81" s="20">
        <f>+C81-19435</f>
        <v>19558</v>
      </c>
      <c r="G81" s="20">
        <f>+D81-17304</f>
        <v>16561</v>
      </c>
      <c r="H81" s="21">
        <f>(+F81-G81)/G81</f>
        <v>0.18096733289052594</v>
      </c>
      <c r="I81" s="22">
        <f>K81/C81</f>
        <v>71.161166363193388</v>
      </c>
      <c r="J81" s="22">
        <f>K81/F81</f>
        <v>141.8748011044074</v>
      </c>
      <c r="K81" s="20">
        <v>2774787.36</v>
      </c>
      <c r="L81" s="20">
        <v>2469404.4700000002</v>
      </c>
      <c r="M81" s="23">
        <f>(+K81-L81)/L81</f>
        <v>0.12366661424242083</v>
      </c>
      <c r="N81" s="2"/>
      <c r="R81" s="2"/>
    </row>
    <row r="82" spans="1:18" ht="15" customHeight="1" x14ac:dyDescent="0.4">
      <c r="A82" s="18"/>
      <c r="B82" s="19">
        <f>DATE(2025,10,1)</f>
        <v>45931</v>
      </c>
      <c r="C82" s="20">
        <v>40589</v>
      </c>
      <c r="D82" s="20">
        <v>33869</v>
      </c>
      <c r="E82" s="21">
        <f>(+C82-D82)/D82</f>
        <v>0.19841152676488824</v>
      </c>
      <c r="F82" s="20">
        <f>+C82-20243</f>
        <v>20346</v>
      </c>
      <c r="G82" s="20">
        <f>+D82-17511</f>
        <v>16358</v>
      </c>
      <c r="H82" s="21">
        <f>(+F82-G82)/G82</f>
        <v>0.24379508497371316</v>
      </c>
      <c r="I82" s="22">
        <f>K82/C82</f>
        <v>71.809353765798619</v>
      </c>
      <c r="J82" s="22">
        <f>K82/F82</f>
        <v>143.25517841344737</v>
      </c>
      <c r="K82" s="20">
        <v>2914669.86</v>
      </c>
      <c r="L82" s="20">
        <v>2475216.7799999998</v>
      </c>
      <c r="M82" s="23">
        <f>(+K82-L82)/L82</f>
        <v>0.1775412495385556</v>
      </c>
      <c r="N82" s="2"/>
      <c r="R82" s="2"/>
    </row>
    <row r="83" spans="1:18" ht="15.4" thickBot="1" x14ac:dyDescent="0.45">
      <c r="A83" s="36"/>
      <c r="B83" s="19"/>
      <c r="C83" s="20"/>
      <c r="D83" s="20"/>
      <c r="E83" s="21"/>
      <c r="F83" s="20"/>
      <c r="G83" s="20"/>
      <c r="H83" s="21"/>
      <c r="I83" s="22"/>
      <c r="J83" s="22"/>
      <c r="K83" s="20"/>
      <c r="L83" s="20"/>
      <c r="M83" s="23"/>
      <c r="N83" s="2"/>
      <c r="R83" s="2"/>
    </row>
    <row r="84" spans="1:18" ht="15.75" thickTop="1" thickBot="1" x14ac:dyDescent="0.45">
      <c r="A84" s="60" t="s">
        <v>14</v>
      </c>
      <c r="B84" s="50"/>
      <c r="C84" s="46">
        <f>SUM(C79:C83)</f>
        <v>165863</v>
      </c>
      <c r="D84" s="46">
        <f>SUM(D79:D83)</f>
        <v>144163</v>
      </c>
      <c r="E84" s="260">
        <f>(+C84-D84)/D84</f>
        <v>0.15052405957145731</v>
      </c>
      <c r="F84" s="46">
        <f>SUM(F79:F83)</f>
        <v>82756</v>
      </c>
      <c r="G84" s="46">
        <f>SUM(G79:G83)</f>
        <v>70525</v>
      </c>
      <c r="H84" s="40">
        <f>(+F84-G84)/G84</f>
        <v>0.17342786246012051</v>
      </c>
      <c r="I84" s="48">
        <f>K84/C84</f>
        <v>70.274332973598689</v>
      </c>
      <c r="J84" s="48">
        <f>K84/F84</f>
        <v>140.84672640050269</v>
      </c>
      <c r="K84" s="46">
        <f>SUM(K79:K83)</f>
        <v>11655911.689999999</v>
      </c>
      <c r="L84" s="46">
        <f>SUM(L79:L83)</f>
        <v>10492827.199999999</v>
      </c>
      <c r="M84" s="42">
        <f>(+K84-L84)/L84</f>
        <v>0.11084567274680748</v>
      </c>
      <c r="N84" s="2"/>
      <c r="R84" s="2"/>
    </row>
    <row r="85" spans="1:18" ht="15.75" customHeight="1" thickTop="1" x14ac:dyDescent="0.4">
      <c r="A85" s="18"/>
      <c r="B85" s="43"/>
      <c r="C85" s="20"/>
      <c r="D85" s="20"/>
      <c r="E85" s="21"/>
      <c r="F85" s="20"/>
      <c r="G85" s="20"/>
      <c r="H85" s="21"/>
      <c r="I85" s="22"/>
      <c r="J85" s="22"/>
      <c r="K85" s="20"/>
      <c r="L85" s="20"/>
      <c r="M85" s="23"/>
      <c r="N85" s="2"/>
      <c r="R85" s="2"/>
    </row>
    <row r="86" spans="1:18" x14ac:dyDescent="0.4">
      <c r="A86" s="18" t="s">
        <v>17</v>
      </c>
      <c r="B86" s="19">
        <f>DATE(2025,7,1)</f>
        <v>45839</v>
      </c>
      <c r="C86" s="20">
        <v>332760</v>
      </c>
      <c r="D86" s="20">
        <v>318851</v>
      </c>
      <c r="E86" s="21">
        <f>(+C86-D86)/D86</f>
        <v>4.3622256163537203E-2</v>
      </c>
      <c r="F86" s="20">
        <f>+C86-168404</f>
        <v>164356</v>
      </c>
      <c r="G86" s="20">
        <f>+D86-161525</f>
        <v>157326</v>
      </c>
      <c r="H86" s="21">
        <f>(+F86-G86)/G86</f>
        <v>4.4684286131980729E-2</v>
      </c>
      <c r="I86" s="22">
        <f>K86/C86</f>
        <v>76.969005679769197</v>
      </c>
      <c r="J86" s="22">
        <f>K86/F86</f>
        <v>155.83371662732117</v>
      </c>
      <c r="K86" s="20">
        <v>25612206.329999998</v>
      </c>
      <c r="L86" s="20">
        <v>24087952.09</v>
      </c>
      <c r="M86" s="23">
        <f>(+K86-L86)/L86</f>
        <v>6.3278697761640995E-2</v>
      </c>
      <c r="N86" s="2"/>
      <c r="R86" s="2"/>
    </row>
    <row r="87" spans="1:18" x14ac:dyDescent="0.4">
      <c r="A87" s="18"/>
      <c r="B87" s="19">
        <f>DATE(2025,8,1)</f>
        <v>45870</v>
      </c>
      <c r="C87" s="20">
        <v>337915</v>
      </c>
      <c r="D87" s="20">
        <v>333739</v>
      </c>
      <c r="E87" s="21">
        <f>(+C87-D87)/D87</f>
        <v>1.2512771956528904E-2</v>
      </c>
      <c r="F87" s="20">
        <f>+C87-170963</f>
        <v>166952</v>
      </c>
      <c r="G87" s="20">
        <f>+D87-170693</f>
        <v>163046</v>
      </c>
      <c r="H87" s="21">
        <f>(+F87-G87)/G87</f>
        <v>2.3956429473890803E-2</v>
      </c>
      <c r="I87" s="22">
        <f>K87/C87</f>
        <v>80.770227986327924</v>
      </c>
      <c r="J87" s="22">
        <f>K87/F87</f>
        <v>163.48095015333749</v>
      </c>
      <c r="K87" s="20">
        <v>27293471.59</v>
      </c>
      <c r="L87" s="20">
        <v>25503125.370000001</v>
      </c>
      <c r="M87" s="23">
        <f>(+K87-L87)/L87</f>
        <v>7.0201051597622244E-2</v>
      </c>
      <c r="N87" s="2"/>
      <c r="R87" s="2"/>
    </row>
    <row r="88" spans="1:18" x14ac:dyDescent="0.4">
      <c r="A88" s="18"/>
      <c r="B88" s="19">
        <f>DATE(2025,9,1)</f>
        <v>45901</v>
      </c>
      <c r="C88" s="20">
        <v>299683</v>
      </c>
      <c r="D88" s="20">
        <v>295322</v>
      </c>
      <c r="E88" s="21">
        <f>(+C88-D88)/D88</f>
        <v>1.4766932365350363E-2</v>
      </c>
      <c r="F88" s="20">
        <f>+C88-150956</f>
        <v>148727</v>
      </c>
      <c r="G88" s="20">
        <f>+D88-149037</f>
        <v>146285</v>
      </c>
      <c r="H88" s="21">
        <f>(+F88-G88)/G88</f>
        <v>1.6693440885941827E-2</v>
      </c>
      <c r="I88" s="22">
        <f>K88/C88</f>
        <v>77.667914429580591</v>
      </c>
      <c r="J88" s="22">
        <f>K88/F88</f>
        <v>156.49985275034123</v>
      </c>
      <c r="K88" s="20">
        <v>23275753.600000001</v>
      </c>
      <c r="L88" s="20">
        <v>23625697.699999999</v>
      </c>
      <c r="M88" s="23">
        <f>(+K88-L88)/L88</f>
        <v>-1.4812011244857237E-2</v>
      </c>
      <c r="N88" s="2"/>
      <c r="R88" s="2"/>
    </row>
    <row r="89" spans="1:18" x14ac:dyDescent="0.4">
      <c r="A89" s="18"/>
      <c r="B89" s="19">
        <f>DATE(2025,10,1)</f>
        <v>45931</v>
      </c>
      <c r="C89" s="20">
        <v>310127</v>
      </c>
      <c r="D89" s="20">
        <v>292456</v>
      </c>
      <c r="E89" s="21">
        <f>(+C89-D89)/D89</f>
        <v>6.0422764450036928E-2</v>
      </c>
      <c r="F89" s="20">
        <f>+C89-157798</f>
        <v>152329</v>
      </c>
      <c r="G89" s="20">
        <f>+D89-147740</f>
        <v>144716</v>
      </c>
      <c r="H89" s="21">
        <f>(+F89-G89)/G89</f>
        <v>5.2606484424666242E-2</v>
      </c>
      <c r="I89" s="22">
        <f>K89/C89</f>
        <v>81.401161266190954</v>
      </c>
      <c r="J89" s="22">
        <f>K89/F89</f>
        <v>165.72483204117404</v>
      </c>
      <c r="K89" s="20">
        <v>25244697.940000001</v>
      </c>
      <c r="L89" s="20">
        <v>23599739.219999999</v>
      </c>
      <c r="M89" s="23">
        <f>(+K89-L89)/L89</f>
        <v>6.9702410889606548E-2</v>
      </c>
      <c r="N89" s="2"/>
      <c r="R89" s="2"/>
    </row>
    <row r="90" spans="1:18" ht="15.4" thickBot="1" x14ac:dyDescent="0.45">
      <c r="A90" s="36"/>
      <c r="B90" s="43"/>
      <c r="C90" s="20"/>
      <c r="D90" s="20"/>
      <c r="E90" s="21"/>
      <c r="F90" s="20"/>
      <c r="G90" s="20"/>
      <c r="H90" s="21"/>
      <c r="I90" s="22"/>
      <c r="J90" s="22"/>
      <c r="K90" s="20"/>
      <c r="L90" s="20"/>
      <c r="M90" s="23"/>
      <c r="N90" s="2"/>
      <c r="R90" s="2"/>
    </row>
    <row r="91" spans="1:18" ht="15.75" thickTop="1" thickBot="1" x14ac:dyDescent="0.45">
      <c r="A91" s="37" t="s">
        <v>14</v>
      </c>
      <c r="B91" s="38"/>
      <c r="C91" s="39">
        <f>SUM(C86:C90)</f>
        <v>1280485</v>
      </c>
      <c r="D91" s="39">
        <f>SUM(D86:D90)</f>
        <v>1240368</v>
      </c>
      <c r="E91" s="260">
        <f>(+C91-D91)/D91</f>
        <v>3.234282084026676E-2</v>
      </c>
      <c r="F91" s="39">
        <f>SUM(F86:F90)</f>
        <v>632364</v>
      </c>
      <c r="G91" s="39">
        <f>SUM(G86:G90)</f>
        <v>611373</v>
      </c>
      <c r="H91" s="40">
        <f>(+F91-G91)/G91</f>
        <v>3.4334195327565986E-2</v>
      </c>
      <c r="I91" s="41">
        <f>K91/C91</f>
        <v>79.209150798330327</v>
      </c>
      <c r="J91" s="41">
        <f>K91/F91</f>
        <v>160.39200438355127</v>
      </c>
      <c r="K91" s="39">
        <f>SUM(K86:K90)</f>
        <v>101426129.46000001</v>
      </c>
      <c r="L91" s="39">
        <f>SUM(L86:L90)</f>
        <v>96816514.379999995</v>
      </c>
      <c r="M91" s="42">
        <f>(+K91-L91)/L91</f>
        <v>4.7611867763669984E-2</v>
      </c>
      <c r="N91" s="2"/>
      <c r="R91" s="2"/>
    </row>
    <row r="92" spans="1:18" ht="15.75" customHeight="1" thickTop="1" x14ac:dyDescent="0.4">
      <c r="A92" s="18"/>
      <c r="B92" s="43"/>
      <c r="C92" s="20"/>
      <c r="D92" s="20"/>
      <c r="E92" s="21"/>
      <c r="F92" s="20"/>
      <c r="G92" s="20"/>
      <c r="H92" s="21"/>
      <c r="I92" s="22"/>
      <c r="J92" s="22"/>
      <c r="K92" s="20"/>
      <c r="L92" s="20"/>
      <c r="M92" s="23"/>
      <c r="N92" s="2"/>
      <c r="R92" s="2"/>
    </row>
    <row r="93" spans="1:18" x14ac:dyDescent="0.4">
      <c r="A93" s="18" t="s">
        <v>56</v>
      </c>
      <c r="B93" s="19">
        <f>DATE(2025,7,1)</f>
        <v>45839</v>
      </c>
      <c r="C93" s="20">
        <v>62531</v>
      </c>
      <c r="D93" s="20">
        <v>61692</v>
      </c>
      <c r="E93" s="21">
        <f>(+C93-D93)/D93</f>
        <v>1.3599818452959865E-2</v>
      </c>
      <c r="F93" s="20">
        <f>+C93-28002</f>
        <v>34529</v>
      </c>
      <c r="G93" s="20">
        <f>+D93-26929</f>
        <v>34763</v>
      </c>
      <c r="H93" s="21">
        <f>(+F93-G93)/G93</f>
        <v>-6.7312947674251361E-3</v>
      </c>
      <c r="I93" s="22">
        <f>K93/C93</f>
        <v>69.151710991348281</v>
      </c>
      <c r="J93" s="22">
        <f>K93/F93</f>
        <v>125.23170783978684</v>
      </c>
      <c r="K93" s="20">
        <v>4324125.6399999997</v>
      </c>
      <c r="L93" s="20">
        <v>4020687.4</v>
      </c>
      <c r="M93" s="23">
        <f>(+K93-L93)/L93</f>
        <v>7.546924438840974E-2</v>
      </c>
      <c r="N93" s="2"/>
      <c r="R93" s="2"/>
    </row>
    <row r="94" spans="1:18" x14ac:dyDescent="0.4">
      <c r="A94" s="18"/>
      <c r="B94" s="19">
        <f>DATE(2025,8,1)</f>
        <v>45870</v>
      </c>
      <c r="C94" s="20">
        <v>65265</v>
      </c>
      <c r="D94" s="20">
        <v>66178</v>
      </c>
      <c r="E94" s="21">
        <f>(+C94-D94)/D94</f>
        <v>-1.3796125600652786E-2</v>
      </c>
      <c r="F94" s="20">
        <f>+C94-29137</f>
        <v>36128</v>
      </c>
      <c r="G94" s="20">
        <f>+D94-28897</f>
        <v>37281</v>
      </c>
      <c r="H94" s="21">
        <f>(+F94-G94)/G94</f>
        <v>-3.0927281993508759E-2</v>
      </c>
      <c r="I94" s="22">
        <f>K94/C94</f>
        <v>64.341791618784953</v>
      </c>
      <c r="J94" s="22">
        <f>K94/F94</f>
        <v>116.2330333813109</v>
      </c>
      <c r="K94" s="20">
        <v>4199267.03</v>
      </c>
      <c r="L94" s="20">
        <v>4282672.42</v>
      </c>
      <c r="M94" s="23">
        <f>(+K94-L94)/L94</f>
        <v>-1.9475080468563988E-2</v>
      </c>
      <c r="N94" s="2"/>
      <c r="R94" s="2"/>
    </row>
    <row r="95" spans="1:18" x14ac:dyDescent="0.4">
      <c r="A95" s="18"/>
      <c r="B95" s="19">
        <f>DATE(2025,9,1)</f>
        <v>45901</v>
      </c>
      <c r="C95" s="20">
        <v>58566</v>
      </c>
      <c r="D95" s="20">
        <v>57691</v>
      </c>
      <c r="E95" s="21">
        <f>(+C95-D95)/D95</f>
        <v>1.5167010452236918E-2</v>
      </c>
      <c r="F95" s="20">
        <f>+C95-25799</f>
        <v>32767</v>
      </c>
      <c r="G95" s="20">
        <f>+D95-24805</f>
        <v>32886</v>
      </c>
      <c r="H95" s="21">
        <f>(+F95-G95)/G95</f>
        <v>-3.6185610898254576E-3</v>
      </c>
      <c r="I95" s="22">
        <f>K95/C95</f>
        <v>59.291630297442204</v>
      </c>
      <c r="J95" s="22">
        <f>K95/F95</f>
        <v>105.97471907712028</v>
      </c>
      <c r="K95" s="20">
        <v>3472473.62</v>
      </c>
      <c r="L95" s="20">
        <v>3550945.67</v>
      </c>
      <c r="M95" s="23">
        <f>(+K95-L95)/L95</f>
        <v>-2.2098915976937437E-2</v>
      </c>
      <c r="N95" s="2"/>
      <c r="R95" s="2"/>
    </row>
    <row r="96" spans="1:18" x14ac:dyDescent="0.4">
      <c r="A96" s="18"/>
      <c r="B96" s="19">
        <f>DATE(2025,10,1)</f>
        <v>45931</v>
      </c>
      <c r="C96" s="20">
        <v>60410</v>
      </c>
      <c r="D96" s="20">
        <v>57484</v>
      </c>
      <c r="E96" s="21">
        <f>(+C96-D96)/D96</f>
        <v>5.090112031173892E-2</v>
      </c>
      <c r="F96" s="20">
        <f>+C96-27156</f>
        <v>33254</v>
      </c>
      <c r="G96" s="20">
        <f>+D96-25116</f>
        <v>32368</v>
      </c>
      <c r="H96" s="21">
        <f>(+F96-G96)/G96</f>
        <v>2.7372713791398912E-2</v>
      </c>
      <c r="I96" s="22">
        <f>K96/C96</f>
        <v>67.937298957126302</v>
      </c>
      <c r="J96" s="22">
        <f>K96/F96</f>
        <v>123.41649816563421</v>
      </c>
      <c r="K96" s="20">
        <v>4104092.23</v>
      </c>
      <c r="L96" s="20">
        <v>3665445.99</v>
      </c>
      <c r="M96" s="23">
        <f>(+K96-L96)/L96</f>
        <v>0.11967063249511957</v>
      </c>
      <c r="N96" s="2"/>
      <c r="R96" s="2"/>
    </row>
    <row r="97" spans="1:18" ht="15.4" thickBot="1" x14ac:dyDescent="0.45">
      <c r="A97" s="36"/>
      <c r="B97" s="43"/>
      <c r="C97" s="20"/>
      <c r="D97" s="20"/>
      <c r="E97" s="21"/>
      <c r="F97" s="20"/>
      <c r="G97" s="20"/>
      <c r="H97" s="21"/>
      <c r="I97" s="22"/>
      <c r="J97" s="22"/>
      <c r="K97" s="20"/>
      <c r="L97" s="20"/>
      <c r="M97" s="23"/>
      <c r="N97" s="2"/>
      <c r="R97" s="2"/>
    </row>
    <row r="98" spans="1:18" ht="15.75" thickTop="1" thickBot="1" x14ac:dyDescent="0.45">
      <c r="A98" s="24" t="s">
        <v>14</v>
      </c>
      <c r="B98" s="25"/>
      <c r="C98" s="26">
        <f>SUM(C93:C97)</f>
        <v>246772</v>
      </c>
      <c r="D98" s="26">
        <f>SUM(D93:D97)</f>
        <v>243045</v>
      </c>
      <c r="E98" s="260">
        <f>(+C98-D98)/D98</f>
        <v>1.5334608817297209E-2</v>
      </c>
      <c r="F98" s="26">
        <f>SUM(F93:F97)</f>
        <v>136678</v>
      </c>
      <c r="G98" s="26">
        <f>SUM(G93:G97)</f>
        <v>137298</v>
      </c>
      <c r="H98" s="40">
        <f>(+F98-G98)/G98</f>
        <v>-4.5157249195181288E-3</v>
      </c>
      <c r="I98" s="41">
        <f>K98/C98</f>
        <v>65.242241907509765</v>
      </c>
      <c r="J98" s="41">
        <f>K98/F98</f>
        <v>117.79480618680402</v>
      </c>
      <c r="K98" s="26">
        <f>SUM(K93:K97)</f>
        <v>16099958.52</v>
      </c>
      <c r="L98" s="26">
        <f>SUM(L93:L97)</f>
        <v>15519751.48</v>
      </c>
      <c r="M98" s="42">
        <f>(+K98-L98)/L98</f>
        <v>3.7385072869736385E-2</v>
      </c>
      <c r="N98" s="2"/>
      <c r="R98" s="2"/>
    </row>
    <row r="99" spans="1:18" ht="15.75" thickTop="1" thickBot="1" x14ac:dyDescent="0.45">
      <c r="A99" s="61"/>
      <c r="B99" s="32"/>
      <c r="C99" s="33"/>
      <c r="D99" s="33"/>
      <c r="E99" s="27"/>
      <c r="F99" s="33"/>
      <c r="G99" s="33"/>
      <c r="H99" s="27"/>
      <c r="I99" s="34"/>
      <c r="J99" s="34"/>
      <c r="K99" s="33"/>
      <c r="L99" s="33"/>
      <c r="M99" s="35"/>
      <c r="N99" s="2"/>
      <c r="R99" s="2"/>
    </row>
    <row r="100" spans="1:18" ht="15.75" thickTop="1" thickBot="1" x14ac:dyDescent="0.45">
      <c r="A100" s="62" t="s">
        <v>18</v>
      </c>
      <c r="B100" s="63"/>
      <c r="C100" s="26">
        <f>C98+C91+C42+C56+C63+C28+C14+C70+C77+C35+C84+C21+C49</f>
        <v>9452990</v>
      </c>
      <c r="D100" s="26">
        <f>D98+D91+D42+D56+D63+D28+D14+D70+D77+D35+D84+D21+D49</f>
        <v>9195035</v>
      </c>
      <c r="E100" s="259">
        <f>(+C100-D100)/D100</f>
        <v>2.8053726821050708E-2</v>
      </c>
      <c r="F100" s="26">
        <f>F98+F91+F42+F56+F63+F28+F14+F70+F77+F35+F84+F21+F49</f>
        <v>4822164</v>
      </c>
      <c r="G100" s="26">
        <f>G98+G91+G42+G56+G63+G28+G14+G70+G77+G35+G84+G21+G49</f>
        <v>4815973</v>
      </c>
      <c r="H100" s="28">
        <f>(+F100-G100)/G100</f>
        <v>1.2855138515103801E-3</v>
      </c>
      <c r="I100" s="29">
        <f>K100/C100</f>
        <v>70.515093341894996</v>
      </c>
      <c r="J100" s="29">
        <f>K100/F100</f>
        <v>138.23222773219658</v>
      </c>
      <c r="K100" s="26">
        <f>K98+K91+K42+K56+K63+K28+K14+K70+K77+K35+K84+K21+K49</f>
        <v>666578472.21000004</v>
      </c>
      <c r="L100" s="26">
        <f>L98+L91+L42+L56+L63+L28+L14+L70+L77+L35+L84+L21+L49</f>
        <v>619837056.66000009</v>
      </c>
      <c r="M100" s="30">
        <f>(+K100-L100)/L100</f>
        <v>7.5409198349428594E-2</v>
      </c>
      <c r="N100" s="2"/>
      <c r="R100" s="2"/>
    </row>
    <row r="101" spans="1:18" ht="15.75" thickTop="1" thickBot="1" x14ac:dyDescent="0.45">
      <c r="A101" s="62"/>
      <c r="B101" s="63"/>
      <c r="C101" s="26"/>
      <c r="D101" s="26"/>
      <c r="E101" s="27"/>
      <c r="F101" s="26"/>
      <c r="G101" s="26"/>
      <c r="H101" s="28"/>
      <c r="I101" s="29"/>
      <c r="J101" s="29"/>
      <c r="K101" s="26"/>
      <c r="L101" s="26"/>
      <c r="M101" s="30"/>
      <c r="N101" s="2"/>
      <c r="R101" s="2"/>
    </row>
    <row r="102" spans="1:18" ht="15.75" thickTop="1" thickBot="1" x14ac:dyDescent="0.45">
      <c r="A102" s="62" t="s">
        <v>19</v>
      </c>
      <c r="B102" s="63"/>
      <c r="C102" s="26">
        <f>+C12+C19+C26+C33+C40+C47+C54+C61+C68+C75+C82+C89+C96</f>
        <v>2328327</v>
      </c>
      <c r="D102" s="26">
        <f>+D12+D19+D26+D33+D40+D47+D54+D61+D68+D75+D82+D89+D96</f>
        <v>2189803</v>
      </c>
      <c r="E102" s="259">
        <f>(+C102-D102)/D102</f>
        <v>6.3258658427264913E-2</v>
      </c>
      <c r="F102" s="26">
        <f>+F12+F19+F26+F33+F40+F47+F54+F61+F68+F75+F82+F89+F96</f>
        <v>1176871</v>
      </c>
      <c r="G102" s="26">
        <f>+G12+G19+G26+G33+G40+G47+G54+G61+G68+G75+G82+G89+G96</f>
        <v>1146481</v>
      </c>
      <c r="H102" s="28">
        <f>(+F102-G102)/G102</f>
        <v>2.6507198985417115E-2</v>
      </c>
      <c r="I102" s="271">
        <f>K102/C102</f>
        <v>70.810472498064058</v>
      </c>
      <c r="J102" s="29">
        <f>K102/F102</f>
        <v>140.09176451794633</v>
      </c>
      <c r="K102" s="26">
        <f>+K12+K19+K26+K33+K40+K47+K54+K61+K68+K75+K82+K89+K96</f>
        <v>164869935</v>
      </c>
      <c r="L102" s="26">
        <f>+L12+L19+L26+L33+L40+L47+L54+L61+L68+L75+L82+L89+L96</f>
        <v>151265047.29000002</v>
      </c>
      <c r="M102" s="30">
        <f>(+K102-L102)/L102</f>
        <v>8.9940722947827914E-2</v>
      </c>
      <c r="N102" s="2"/>
      <c r="R102" s="2"/>
    </row>
    <row r="103" spans="1:18" ht="15.4" thickTop="1" x14ac:dyDescent="0.4">
      <c r="A103" s="64"/>
      <c r="B103" s="65"/>
      <c r="C103" s="66"/>
      <c r="D103" s="65"/>
      <c r="E103" s="65"/>
      <c r="F103" s="65"/>
      <c r="G103" s="65"/>
      <c r="H103" s="65"/>
      <c r="I103" s="65"/>
      <c r="J103" s="65"/>
      <c r="K103" s="66"/>
      <c r="L103" s="66"/>
      <c r="M103" s="65"/>
      <c r="R103" s="2"/>
    </row>
    <row r="104" spans="1:18" ht="17.25" x14ac:dyDescent="0.45">
      <c r="A104" s="244" t="s">
        <v>20</v>
      </c>
      <c r="B104" s="68"/>
      <c r="C104" s="69"/>
      <c r="D104" s="69"/>
      <c r="E104" s="69"/>
      <c r="F104" s="69"/>
      <c r="G104" s="69"/>
      <c r="H104" s="69"/>
      <c r="I104" s="69"/>
      <c r="J104" s="69"/>
      <c r="K104" s="185"/>
      <c r="L104" s="185"/>
      <c r="M104" s="69"/>
      <c r="N104" s="2"/>
      <c r="O104" s="2"/>
      <c r="P104" s="2"/>
      <c r="Q104" s="2"/>
      <c r="R104" s="2"/>
    </row>
    <row r="105" spans="1:18" ht="17.649999999999999" x14ac:dyDescent="0.5">
      <c r="A105" s="67"/>
      <c r="B105" s="68"/>
      <c r="C105" s="69"/>
      <c r="D105" s="69"/>
      <c r="E105" s="69"/>
      <c r="F105" s="69"/>
      <c r="G105" s="69"/>
      <c r="H105" s="69"/>
      <c r="I105" s="69"/>
      <c r="J105" s="69"/>
      <c r="K105" s="185"/>
      <c r="L105" s="185"/>
      <c r="M105" s="69"/>
      <c r="N105" s="2"/>
      <c r="O105" s="2"/>
      <c r="P105" s="2"/>
      <c r="Q105" s="2"/>
      <c r="R105" s="2"/>
    </row>
    <row r="106" spans="1:18" x14ac:dyDescent="0.4">
      <c r="A106" s="70"/>
      <c r="B106" s="71"/>
      <c r="C106" s="72"/>
      <c r="D106" s="72"/>
      <c r="E106" s="72"/>
      <c r="F106" s="72"/>
      <c r="G106" s="72"/>
      <c r="H106" s="72"/>
      <c r="I106" s="72"/>
      <c r="J106" s="72"/>
      <c r="K106" s="179"/>
      <c r="L106" s="179"/>
      <c r="M106" s="73"/>
      <c r="N106" s="2"/>
      <c r="O106" s="2"/>
      <c r="P106" s="2"/>
      <c r="Q106" s="2"/>
      <c r="R106" s="2"/>
    </row>
    <row r="107" spans="1:18" x14ac:dyDescent="0.4">
      <c r="A107" s="2"/>
      <c r="B107" s="71"/>
      <c r="C107" s="72"/>
      <c r="D107" s="72"/>
      <c r="E107" s="72"/>
      <c r="F107" s="72"/>
      <c r="G107" s="72"/>
      <c r="H107" s="72"/>
      <c r="I107" s="72"/>
      <c r="J107" s="72"/>
      <c r="K107" s="179"/>
      <c r="L107" s="179"/>
      <c r="M107" s="73"/>
      <c r="N107" s="2"/>
      <c r="O107" s="2"/>
      <c r="P107" s="2"/>
      <c r="Q107" s="2"/>
      <c r="R107" s="2"/>
    </row>
    <row r="108" spans="1:18" x14ac:dyDescent="0.4">
      <c r="A108" s="2"/>
      <c r="B108" s="71"/>
      <c r="C108" s="72"/>
      <c r="D108" s="72"/>
      <c r="E108" s="72"/>
      <c r="F108" s="72"/>
      <c r="G108" s="72"/>
      <c r="H108" s="72"/>
      <c r="I108" s="72"/>
      <c r="J108" s="72"/>
      <c r="K108" s="179"/>
      <c r="L108" s="179"/>
      <c r="M108" s="73"/>
      <c r="N108" s="2"/>
      <c r="O108" s="2"/>
      <c r="P108" s="2"/>
      <c r="Q108" s="2"/>
      <c r="R108" s="2"/>
    </row>
    <row r="109" spans="1:18" x14ac:dyDescent="0.4">
      <c r="A109" s="2"/>
      <c r="B109" s="71"/>
      <c r="C109" s="72"/>
      <c r="D109" s="72"/>
      <c r="E109" s="72"/>
      <c r="F109" s="72"/>
      <c r="G109" s="72"/>
      <c r="H109" s="72"/>
      <c r="I109" s="72"/>
      <c r="J109" s="72"/>
      <c r="K109" s="179"/>
      <c r="L109" s="179"/>
      <c r="M109" s="73"/>
      <c r="N109" s="2"/>
      <c r="O109" s="2"/>
      <c r="P109" s="2"/>
      <c r="Q109" s="2"/>
      <c r="R109" s="2"/>
    </row>
    <row r="110" spans="1:18" x14ac:dyDescent="0.4">
      <c r="A110" s="2"/>
      <c r="B110" s="71"/>
      <c r="C110" s="72"/>
      <c r="D110" s="72"/>
      <c r="E110" s="72"/>
      <c r="F110" s="72"/>
      <c r="G110" s="72"/>
      <c r="H110" s="72"/>
      <c r="I110" s="72"/>
      <c r="J110" s="72"/>
      <c r="K110" s="179"/>
      <c r="L110" s="179"/>
      <c r="M110" s="73"/>
      <c r="N110" s="2"/>
      <c r="O110" s="2"/>
      <c r="P110" s="2"/>
      <c r="Q110" s="2"/>
      <c r="R110" s="2"/>
    </row>
    <row r="111" spans="1:18" x14ac:dyDescent="0.4">
      <c r="A111" s="2"/>
      <c r="B111" s="71"/>
      <c r="C111" s="72"/>
      <c r="D111" s="72"/>
      <c r="E111" s="72"/>
      <c r="F111" s="72"/>
      <c r="G111" s="72"/>
      <c r="H111" s="72"/>
      <c r="I111" s="72"/>
      <c r="J111" s="72"/>
      <c r="K111" s="179"/>
      <c r="L111" s="179"/>
      <c r="M111" s="73"/>
      <c r="N111" s="2"/>
      <c r="O111" s="2"/>
      <c r="P111" s="2"/>
      <c r="Q111" s="2"/>
      <c r="R111" s="2"/>
    </row>
    <row r="112" spans="1:18" x14ac:dyDescent="0.4">
      <c r="A112" s="2"/>
      <c r="B112" s="71"/>
      <c r="C112" s="72"/>
      <c r="D112" s="72"/>
      <c r="E112" s="72"/>
      <c r="F112" s="72"/>
      <c r="G112" s="72"/>
      <c r="H112" s="72"/>
      <c r="I112" s="72"/>
      <c r="J112" s="72"/>
      <c r="K112" s="179"/>
      <c r="L112" s="179"/>
      <c r="M112" s="73"/>
      <c r="N112" s="2"/>
      <c r="O112" s="2"/>
      <c r="P112" s="2"/>
      <c r="Q112" s="2"/>
      <c r="R112" s="2"/>
    </row>
    <row r="113" spans="1:18" x14ac:dyDescent="0.4">
      <c r="A113" s="2"/>
      <c r="B113" s="71"/>
      <c r="C113" s="72"/>
      <c r="D113" s="72"/>
      <c r="E113" s="72"/>
      <c r="F113" s="72"/>
      <c r="G113" s="72"/>
      <c r="H113" s="72"/>
      <c r="I113" s="72"/>
      <c r="J113" s="72"/>
      <c r="K113" s="179"/>
      <c r="L113" s="179"/>
      <c r="M113" s="73"/>
      <c r="N113" s="2"/>
      <c r="O113" s="2"/>
      <c r="P113" s="2"/>
      <c r="Q113" s="2"/>
      <c r="R113" s="2"/>
    </row>
    <row r="114" spans="1:18" x14ac:dyDescent="0.4">
      <c r="A114" s="2"/>
      <c r="B114" s="71"/>
      <c r="C114" s="72"/>
      <c r="D114" s="72"/>
      <c r="E114" s="72"/>
      <c r="F114" s="72"/>
      <c r="G114" s="72"/>
      <c r="H114" s="72"/>
      <c r="I114" s="72"/>
      <c r="J114" s="72"/>
      <c r="K114" s="179"/>
      <c r="L114" s="179"/>
      <c r="M114" s="73"/>
      <c r="N114" s="2"/>
      <c r="O114" s="2"/>
      <c r="P114" s="2"/>
      <c r="Q114" s="2"/>
      <c r="R114" s="2"/>
    </row>
    <row r="115" spans="1:18" x14ac:dyDescent="0.4">
      <c r="A115" s="2"/>
      <c r="B115" s="71"/>
      <c r="C115" s="72"/>
      <c r="D115" s="72"/>
      <c r="E115" s="72"/>
      <c r="F115" s="72"/>
      <c r="G115" s="72"/>
      <c r="H115" s="72"/>
      <c r="I115" s="72"/>
      <c r="J115" s="72"/>
      <c r="K115" s="179"/>
      <c r="L115" s="179"/>
      <c r="M115" s="72"/>
      <c r="N115" s="2"/>
      <c r="O115" s="2"/>
      <c r="P115" s="2"/>
      <c r="Q115" s="2"/>
      <c r="R115" s="2"/>
    </row>
    <row r="116" spans="1:18" x14ac:dyDescent="0.4">
      <c r="A116" s="2"/>
      <c r="B116" s="71"/>
      <c r="C116" s="72"/>
      <c r="D116" s="72"/>
      <c r="E116" s="72"/>
      <c r="F116" s="72"/>
      <c r="G116" s="72"/>
      <c r="H116" s="72"/>
      <c r="I116" s="72"/>
      <c r="J116" s="72"/>
      <c r="K116" s="179"/>
      <c r="L116" s="179"/>
      <c r="M116" s="72"/>
      <c r="N116" s="2"/>
      <c r="O116" s="2"/>
      <c r="P116" s="2"/>
      <c r="Q116" s="2"/>
      <c r="R116" s="2"/>
    </row>
    <row r="117" spans="1:18" x14ac:dyDescent="0.4">
      <c r="A117" s="2"/>
      <c r="B117" s="68"/>
      <c r="C117" s="72"/>
      <c r="D117" s="72"/>
      <c r="E117" s="72"/>
      <c r="F117" s="72"/>
      <c r="G117" s="72"/>
      <c r="H117" s="72"/>
      <c r="I117" s="72"/>
      <c r="J117" s="72"/>
      <c r="K117" s="179"/>
      <c r="L117" s="179"/>
      <c r="M117" s="72"/>
      <c r="N117" s="2"/>
      <c r="O117" s="2"/>
      <c r="P117" s="2"/>
      <c r="Q117" s="2"/>
      <c r="R117" s="2"/>
    </row>
    <row r="118" spans="1:18" x14ac:dyDescent="0.4">
      <c r="A118" s="74"/>
      <c r="B118" s="68"/>
      <c r="C118" s="72"/>
      <c r="D118" s="72"/>
      <c r="E118" s="72"/>
      <c r="F118" s="72"/>
      <c r="G118" s="72"/>
      <c r="H118" s="72"/>
      <c r="I118" s="72"/>
      <c r="J118" s="72"/>
      <c r="K118" s="179"/>
      <c r="L118" s="179"/>
      <c r="M118" s="73"/>
      <c r="N118" s="2"/>
      <c r="O118" s="2"/>
      <c r="P118" s="2"/>
      <c r="Q118" s="2"/>
      <c r="R118" s="2"/>
    </row>
    <row r="119" spans="1:18" x14ac:dyDescent="0.4">
      <c r="A119" s="74"/>
      <c r="B119" s="68"/>
      <c r="C119" s="72"/>
      <c r="D119" s="72"/>
      <c r="E119" s="72"/>
      <c r="F119" s="72"/>
      <c r="G119" s="72"/>
      <c r="H119" s="72"/>
      <c r="I119" s="72"/>
      <c r="J119" s="72"/>
      <c r="K119" s="179"/>
      <c r="L119" s="179"/>
      <c r="M119" s="73"/>
      <c r="N119" s="2"/>
      <c r="O119" s="2"/>
      <c r="P119" s="2"/>
      <c r="Q119" s="2"/>
      <c r="R119" s="2"/>
    </row>
    <row r="120" spans="1:18" x14ac:dyDescent="0.4">
      <c r="A120" s="74"/>
      <c r="B120" s="68"/>
      <c r="C120" s="72"/>
      <c r="D120" s="72"/>
      <c r="E120" s="72"/>
      <c r="F120" s="72"/>
      <c r="G120" s="72"/>
      <c r="H120" s="72"/>
      <c r="I120" s="72"/>
      <c r="J120" s="72"/>
      <c r="K120" s="179"/>
      <c r="L120" s="179"/>
      <c r="M120" s="73"/>
      <c r="N120" s="2"/>
      <c r="O120" s="2"/>
      <c r="P120" s="2"/>
      <c r="Q120" s="2"/>
      <c r="R120" s="2"/>
    </row>
    <row r="121" spans="1:18" x14ac:dyDescent="0.4">
      <c r="A121" s="2"/>
      <c r="B121" s="68"/>
      <c r="C121" s="72"/>
      <c r="D121" s="72"/>
      <c r="E121" s="72"/>
      <c r="F121" s="72"/>
      <c r="G121" s="72"/>
      <c r="H121" s="72"/>
      <c r="I121" s="72"/>
      <c r="J121" s="72"/>
      <c r="K121" s="179"/>
      <c r="L121" s="179"/>
      <c r="M121" s="73"/>
      <c r="N121" s="2"/>
      <c r="O121" s="2"/>
      <c r="P121" s="2"/>
      <c r="Q121" s="2"/>
      <c r="R121" s="2"/>
    </row>
    <row r="122" spans="1:18" x14ac:dyDescent="0.4">
      <c r="A122" s="74"/>
      <c r="B122" s="71"/>
      <c r="C122" s="72"/>
      <c r="D122" s="72"/>
      <c r="E122" s="72"/>
      <c r="F122" s="72"/>
      <c r="G122" s="72"/>
      <c r="H122" s="72"/>
      <c r="I122" s="72"/>
      <c r="J122" s="72"/>
      <c r="K122" s="179"/>
      <c r="L122" s="179"/>
      <c r="M122" s="73"/>
      <c r="N122" s="2"/>
      <c r="O122" s="2"/>
      <c r="P122" s="2"/>
      <c r="Q122" s="2"/>
      <c r="R122" s="2"/>
    </row>
    <row r="123" spans="1:18" x14ac:dyDescent="0.4">
      <c r="A123" s="2"/>
      <c r="B123" s="71"/>
      <c r="C123" s="72"/>
      <c r="D123" s="72"/>
      <c r="E123" s="72"/>
      <c r="F123" s="72"/>
      <c r="G123" s="72"/>
      <c r="H123" s="72"/>
      <c r="I123" s="72"/>
      <c r="J123" s="72"/>
      <c r="K123" s="179"/>
      <c r="L123" s="179"/>
      <c r="M123" s="73"/>
      <c r="N123" s="2"/>
      <c r="O123" s="2"/>
      <c r="P123" s="2"/>
      <c r="Q123" s="2"/>
      <c r="R123" s="2"/>
    </row>
    <row r="124" spans="1:18" x14ac:dyDescent="0.4">
      <c r="A124" s="2"/>
      <c r="B124" s="71"/>
      <c r="C124" s="72"/>
      <c r="D124" s="72"/>
      <c r="E124" s="72"/>
      <c r="F124" s="72"/>
      <c r="G124" s="72"/>
      <c r="H124" s="72"/>
      <c r="I124" s="72"/>
      <c r="J124" s="72"/>
      <c r="K124" s="179"/>
      <c r="L124" s="179"/>
      <c r="M124" s="73"/>
      <c r="N124" s="2"/>
      <c r="O124" s="2"/>
      <c r="P124" s="2"/>
      <c r="Q124" s="2"/>
      <c r="R124" s="2"/>
    </row>
    <row r="125" spans="1:18" x14ac:dyDescent="0.4">
      <c r="A125" s="2"/>
      <c r="B125" s="75"/>
      <c r="C125" s="72"/>
      <c r="D125" s="72"/>
      <c r="E125" s="72"/>
      <c r="F125" s="72"/>
      <c r="G125" s="72"/>
      <c r="H125" s="72"/>
      <c r="I125" s="72"/>
      <c r="J125" s="72"/>
      <c r="K125" s="179"/>
      <c r="L125" s="179"/>
      <c r="M125" s="73"/>
      <c r="N125" s="2"/>
      <c r="O125" s="2"/>
      <c r="P125" s="2"/>
      <c r="Q125" s="2"/>
      <c r="R125" s="2"/>
    </row>
    <row r="126" spans="1:18" x14ac:dyDescent="0.4">
      <c r="A126" s="2"/>
      <c r="B126" s="75"/>
      <c r="C126" s="72"/>
      <c r="D126" s="72"/>
      <c r="E126" s="72"/>
      <c r="F126" s="72"/>
      <c r="G126" s="72"/>
      <c r="H126" s="72"/>
      <c r="I126" s="72"/>
      <c r="J126" s="72"/>
      <c r="K126" s="179"/>
      <c r="L126" s="179"/>
      <c r="M126" s="73"/>
      <c r="N126" s="2"/>
      <c r="O126" s="2"/>
      <c r="P126" s="2"/>
      <c r="Q126" s="2"/>
      <c r="R126" s="2"/>
    </row>
    <row r="127" spans="1:18" x14ac:dyDescent="0.4">
      <c r="A127" s="2"/>
      <c r="B127" s="75"/>
      <c r="C127" s="72"/>
      <c r="D127" s="72"/>
      <c r="E127" s="72"/>
      <c r="F127" s="72"/>
      <c r="G127" s="72"/>
      <c r="H127" s="72"/>
      <c r="I127" s="72"/>
      <c r="J127" s="72"/>
      <c r="K127" s="179"/>
      <c r="L127" s="179"/>
      <c r="M127" s="73"/>
      <c r="N127" s="2"/>
      <c r="O127" s="2"/>
      <c r="P127" s="2"/>
      <c r="Q127" s="2"/>
      <c r="R127" s="2"/>
    </row>
    <row r="128" spans="1:18" x14ac:dyDescent="0.4">
      <c r="A128" s="2"/>
      <c r="B128" s="75"/>
      <c r="C128" s="72"/>
      <c r="D128" s="72"/>
      <c r="E128" s="72"/>
      <c r="F128" s="72"/>
      <c r="G128" s="72"/>
      <c r="H128" s="72"/>
      <c r="I128" s="72"/>
      <c r="J128" s="72"/>
      <c r="K128" s="179"/>
      <c r="L128" s="179"/>
      <c r="M128" s="73"/>
      <c r="N128" s="2"/>
      <c r="O128" s="2"/>
      <c r="P128" s="2"/>
      <c r="Q128" s="2"/>
      <c r="R128" s="2"/>
    </row>
    <row r="129" spans="1:18" x14ac:dyDescent="0.4">
      <c r="A129" s="2"/>
      <c r="B129" s="75"/>
      <c r="C129" s="72"/>
      <c r="D129" s="72"/>
      <c r="E129" s="72"/>
      <c r="F129" s="72"/>
      <c r="G129" s="72"/>
      <c r="H129" s="72"/>
      <c r="I129" s="72"/>
      <c r="J129" s="72"/>
      <c r="K129" s="179"/>
      <c r="L129" s="179"/>
      <c r="M129" s="73"/>
      <c r="N129" s="2"/>
      <c r="O129" s="2"/>
      <c r="P129" s="2"/>
      <c r="Q129" s="2"/>
      <c r="R129" s="2"/>
    </row>
    <row r="130" spans="1:18" x14ac:dyDescent="0.4">
      <c r="A130" s="2"/>
      <c r="B130" s="75"/>
      <c r="C130" s="72"/>
      <c r="D130" s="72"/>
      <c r="E130" s="72"/>
      <c r="F130" s="72"/>
      <c r="G130" s="72"/>
      <c r="H130" s="72"/>
      <c r="I130" s="72"/>
      <c r="J130" s="72"/>
      <c r="K130" s="179"/>
      <c r="L130" s="179"/>
      <c r="M130" s="73"/>
      <c r="N130" s="2"/>
      <c r="O130" s="2"/>
      <c r="P130" s="2"/>
      <c r="Q130" s="2"/>
      <c r="R130" s="2"/>
    </row>
    <row r="131" spans="1:18" x14ac:dyDescent="0.4">
      <c r="A131" s="2"/>
      <c r="B131" s="75"/>
      <c r="C131" s="72"/>
      <c r="D131" s="72"/>
      <c r="E131" s="72"/>
      <c r="F131" s="72"/>
      <c r="G131" s="72"/>
      <c r="H131" s="72"/>
      <c r="I131" s="72"/>
      <c r="J131" s="72"/>
      <c r="K131" s="179"/>
      <c r="L131" s="179"/>
      <c r="M131" s="73"/>
      <c r="N131" s="2"/>
      <c r="O131" s="2"/>
      <c r="P131" s="2"/>
      <c r="Q131" s="2"/>
      <c r="R131" s="2"/>
    </row>
    <row r="132" spans="1:18" x14ac:dyDescent="0.4">
      <c r="A132" s="2"/>
      <c r="B132" s="75"/>
      <c r="C132" s="72"/>
      <c r="D132" s="72"/>
      <c r="E132" s="72"/>
      <c r="F132" s="72"/>
      <c r="G132" s="72"/>
      <c r="H132" s="72"/>
      <c r="I132" s="72"/>
      <c r="J132" s="72"/>
      <c r="K132" s="179"/>
      <c r="L132" s="179"/>
      <c r="M132" s="73"/>
      <c r="N132" s="2"/>
      <c r="O132" s="2"/>
      <c r="P132" s="2"/>
      <c r="Q132" s="2"/>
      <c r="R132" s="2"/>
    </row>
    <row r="133" spans="1:18" x14ac:dyDescent="0.4">
      <c r="A133" s="2"/>
      <c r="B133" s="75"/>
      <c r="C133" s="72"/>
      <c r="D133" s="72"/>
      <c r="E133" s="72"/>
      <c r="F133" s="72"/>
      <c r="G133" s="72"/>
      <c r="H133" s="72"/>
      <c r="I133" s="72"/>
      <c r="J133" s="72"/>
      <c r="K133" s="179"/>
      <c r="L133" s="179"/>
      <c r="M133" s="73"/>
      <c r="N133" s="2"/>
      <c r="O133" s="2"/>
      <c r="P133" s="2"/>
      <c r="Q133" s="2"/>
      <c r="R133" s="2"/>
    </row>
    <row r="134" spans="1:18" x14ac:dyDescent="0.4">
      <c r="A134" s="2"/>
      <c r="B134" s="2"/>
      <c r="C134" s="72"/>
      <c r="D134" s="72"/>
      <c r="E134" s="72"/>
      <c r="F134" s="72"/>
      <c r="G134" s="72"/>
      <c r="H134" s="72"/>
      <c r="I134" s="72"/>
      <c r="J134" s="72"/>
      <c r="K134" s="179"/>
      <c r="L134" s="179"/>
      <c r="M134" s="73"/>
      <c r="N134" s="2"/>
      <c r="O134" s="2"/>
      <c r="P134" s="2"/>
      <c r="Q134" s="2"/>
      <c r="R134" s="2"/>
    </row>
    <row r="135" spans="1:18" x14ac:dyDescent="0.4">
      <c r="A135" s="74"/>
      <c r="B135" s="2"/>
      <c r="C135" s="72"/>
      <c r="D135" s="72"/>
      <c r="E135" s="72"/>
      <c r="F135" s="72"/>
      <c r="G135" s="72"/>
      <c r="H135" s="72"/>
      <c r="I135" s="72"/>
      <c r="J135" s="72"/>
      <c r="K135" s="179"/>
      <c r="L135" s="179"/>
      <c r="M135" s="73"/>
      <c r="N135" s="2"/>
      <c r="O135" s="2"/>
      <c r="P135" s="2"/>
      <c r="Q135" s="2"/>
      <c r="R135" s="2"/>
    </row>
    <row r="136" spans="1:18" x14ac:dyDescent="0.4">
      <c r="A136" s="2"/>
      <c r="B136" s="2"/>
      <c r="C136" s="72"/>
      <c r="D136" s="72"/>
      <c r="E136" s="72"/>
      <c r="F136" s="72"/>
      <c r="G136" s="72"/>
      <c r="H136" s="72"/>
      <c r="I136" s="72"/>
      <c r="J136" s="72"/>
      <c r="K136" s="179"/>
      <c r="L136" s="179"/>
      <c r="M136" s="73"/>
      <c r="N136" s="2"/>
      <c r="O136" s="2"/>
      <c r="P136" s="2"/>
      <c r="Q136" s="2"/>
      <c r="R136" s="2"/>
    </row>
    <row r="137" spans="1:18" x14ac:dyDescent="0.4">
      <c r="A137" s="2"/>
      <c r="B137" s="2"/>
      <c r="C137" s="72"/>
      <c r="D137" s="72"/>
      <c r="E137" s="72"/>
      <c r="F137" s="72"/>
      <c r="G137" s="72"/>
      <c r="H137" s="72"/>
      <c r="I137" s="72"/>
      <c r="J137" s="72"/>
      <c r="K137" s="179"/>
      <c r="L137" s="179"/>
      <c r="M137" s="73"/>
      <c r="N137" s="2"/>
      <c r="O137" s="2"/>
      <c r="P137" s="2"/>
      <c r="Q137" s="2"/>
      <c r="R137" s="2"/>
    </row>
    <row r="138" spans="1:18" x14ac:dyDescent="0.4">
      <c r="A138" s="74"/>
      <c r="B138" s="2"/>
      <c r="C138" s="72"/>
      <c r="D138" s="72"/>
      <c r="E138" s="72"/>
      <c r="F138" s="72"/>
      <c r="G138" s="72"/>
      <c r="H138" s="72"/>
      <c r="I138" s="72"/>
      <c r="J138" s="72"/>
      <c r="K138" s="179"/>
      <c r="L138" s="179"/>
      <c r="M138" s="73"/>
      <c r="N138" s="2"/>
      <c r="O138" s="2"/>
      <c r="P138" s="2"/>
      <c r="Q138" s="2"/>
      <c r="R138" s="2"/>
    </row>
    <row r="139" spans="1:18" x14ac:dyDescent="0.4">
      <c r="A139" s="74"/>
      <c r="B139" s="2"/>
      <c r="C139" s="72"/>
      <c r="D139" s="72"/>
      <c r="E139" s="72"/>
      <c r="F139" s="72"/>
      <c r="G139" s="72"/>
      <c r="H139" s="72"/>
      <c r="I139" s="72"/>
      <c r="J139" s="72"/>
      <c r="K139" s="179"/>
      <c r="L139" s="179"/>
      <c r="M139" s="73"/>
      <c r="N139" s="2"/>
      <c r="O139" s="2"/>
      <c r="P139" s="2"/>
      <c r="Q139" s="2"/>
      <c r="R139" s="2"/>
    </row>
    <row r="140" spans="1:18" x14ac:dyDescent="0.4">
      <c r="A140" s="74"/>
      <c r="B140" s="75"/>
      <c r="C140" s="72"/>
      <c r="D140" s="72"/>
      <c r="E140" s="72"/>
      <c r="F140" s="72"/>
      <c r="G140" s="72"/>
      <c r="H140" s="72"/>
      <c r="I140" s="72"/>
      <c r="J140" s="72"/>
      <c r="K140" s="179"/>
      <c r="L140" s="179"/>
      <c r="M140" s="73"/>
      <c r="N140" s="2"/>
      <c r="O140" s="2"/>
      <c r="P140" s="2"/>
      <c r="Q140" s="2"/>
      <c r="R140" s="2"/>
    </row>
    <row r="141" spans="1:18" x14ac:dyDescent="0.4">
      <c r="A141" s="2"/>
      <c r="B141" s="75"/>
      <c r="C141" s="72"/>
      <c r="D141" s="72"/>
      <c r="E141" s="72"/>
      <c r="F141" s="72"/>
      <c r="G141" s="72"/>
      <c r="H141" s="72"/>
      <c r="I141" s="72"/>
      <c r="J141" s="72"/>
      <c r="K141" s="179"/>
      <c r="L141" s="179"/>
      <c r="M141" s="73"/>
      <c r="N141" s="2"/>
      <c r="O141" s="2"/>
      <c r="P141" s="2"/>
      <c r="Q141" s="2"/>
      <c r="R141" s="2"/>
    </row>
    <row r="142" spans="1:18" x14ac:dyDescent="0.4">
      <c r="A142" s="2"/>
      <c r="B142" s="75"/>
      <c r="C142" s="72"/>
      <c r="D142" s="72"/>
      <c r="E142" s="72"/>
      <c r="F142" s="72"/>
      <c r="G142" s="72"/>
      <c r="H142" s="72"/>
      <c r="I142" s="72"/>
      <c r="J142" s="72"/>
      <c r="K142" s="179"/>
      <c r="L142" s="179"/>
      <c r="M142" s="73"/>
      <c r="N142" s="2"/>
      <c r="O142" s="2"/>
      <c r="P142" s="2"/>
      <c r="Q142" s="2"/>
      <c r="R142" s="2"/>
    </row>
    <row r="143" spans="1:18" x14ac:dyDescent="0.4">
      <c r="A143" s="2"/>
      <c r="B143" s="75"/>
      <c r="C143" s="72"/>
      <c r="D143" s="72"/>
      <c r="E143" s="72"/>
      <c r="F143" s="72"/>
      <c r="G143" s="72"/>
      <c r="H143" s="72"/>
      <c r="I143" s="72"/>
      <c r="J143" s="72"/>
      <c r="K143" s="179"/>
      <c r="L143" s="179"/>
      <c r="M143" s="73"/>
      <c r="N143" s="2"/>
      <c r="O143" s="2"/>
      <c r="P143" s="2"/>
      <c r="Q143" s="2"/>
      <c r="R143" s="2"/>
    </row>
    <row r="144" spans="1:18" x14ac:dyDescent="0.4">
      <c r="A144" s="2"/>
      <c r="B144" s="75"/>
      <c r="C144" s="72"/>
      <c r="D144" s="72"/>
      <c r="E144" s="72"/>
      <c r="F144" s="72"/>
      <c r="G144" s="72"/>
      <c r="H144" s="72"/>
      <c r="I144" s="72"/>
      <c r="J144" s="72"/>
      <c r="K144" s="179"/>
      <c r="L144" s="179"/>
      <c r="M144" s="73"/>
      <c r="N144" s="2"/>
      <c r="O144" s="2"/>
      <c r="P144" s="2"/>
      <c r="Q144" s="2"/>
      <c r="R144" s="2"/>
    </row>
    <row r="145" spans="1:18" x14ac:dyDescent="0.4">
      <c r="A145" s="2"/>
      <c r="B145" s="75"/>
      <c r="C145" s="72"/>
      <c r="D145" s="72"/>
      <c r="E145" s="72"/>
      <c r="F145" s="72"/>
      <c r="G145" s="72"/>
      <c r="H145" s="72"/>
      <c r="I145" s="72"/>
      <c r="J145" s="72"/>
      <c r="K145" s="179"/>
      <c r="L145" s="179"/>
      <c r="M145" s="73"/>
      <c r="N145" s="2"/>
      <c r="O145" s="2"/>
      <c r="P145" s="2"/>
      <c r="Q145" s="2"/>
      <c r="R145" s="2"/>
    </row>
    <row r="146" spans="1:18" x14ac:dyDescent="0.4">
      <c r="A146" s="2"/>
      <c r="B146" s="75"/>
      <c r="C146" s="72"/>
      <c r="D146" s="72"/>
      <c r="E146" s="72"/>
      <c r="F146" s="72"/>
      <c r="G146" s="72"/>
      <c r="H146" s="72"/>
      <c r="I146" s="72"/>
      <c r="J146" s="72"/>
      <c r="K146" s="179"/>
      <c r="L146" s="179"/>
      <c r="M146" s="73"/>
      <c r="N146" s="2"/>
      <c r="O146" s="2"/>
      <c r="P146" s="2"/>
      <c r="Q146" s="2"/>
      <c r="R146" s="2"/>
    </row>
    <row r="147" spans="1:18" x14ac:dyDescent="0.4">
      <c r="A147" s="2"/>
      <c r="B147" s="75"/>
      <c r="C147" s="72"/>
      <c r="D147" s="72"/>
      <c r="E147" s="72"/>
      <c r="F147" s="72"/>
      <c r="G147" s="72"/>
      <c r="H147" s="72"/>
      <c r="I147" s="72"/>
      <c r="J147" s="72"/>
      <c r="K147" s="179"/>
      <c r="L147" s="179"/>
      <c r="M147" s="73"/>
      <c r="N147" s="2"/>
      <c r="O147" s="2"/>
      <c r="P147" s="2"/>
      <c r="Q147" s="2"/>
      <c r="R147" s="2"/>
    </row>
    <row r="148" spans="1:18" x14ac:dyDescent="0.4">
      <c r="A148" s="2"/>
      <c r="B148" s="75"/>
      <c r="C148" s="72"/>
      <c r="D148" s="72"/>
      <c r="E148" s="72"/>
      <c r="F148" s="72"/>
      <c r="G148" s="72"/>
      <c r="H148" s="72"/>
      <c r="I148" s="72"/>
      <c r="J148" s="72"/>
      <c r="K148" s="179"/>
      <c r="L148" s="179"/>
      <c r="M148" s="73"/>
      <c r="N148" s="2"/>
      <c r="O148" s="2"/>
      <c r="P148" s="2"/>
      <c r="Q148" s="2"/>
      <c r="R148" s="2"/>
    </row>
    <row r="149" spans="1:18" x14ac:dyDescent="0.4">
      <c r="A149" s="2"/>
      <c r="B149" s="75"/>
      <c r="C149" s="72"/>
      <c r="D149" s="72"/>
      <c r="E149" s="72"/>
      <c r="F149" s="72"/>
      <c r="G149" s="72"/>
      <c r="H149" s="72"/>
      <c r="I149" s="72"/>
      <c r="J149" s="72"/>
      <c r="K149" s="179"/>
      <c r="L149" s="179"/>
      <c r="M149" s="73"/>
      <c r="N149" s="2"/>
      <c r="O149" s="2"/>
      <c r="P149" s="2"/>
      <c r="Q149" s="2"/>
      <c r="R149" s="2"/>
    </row>
    <row r="150" spans="1:18" x14ac:dyDescent="0.4">
      <c r="A150" s="2"/>
      <c r="B150" s="75"/>
      <c r="C150" s="72"/>
      <c r="D150" s="72"/>
      <c r="E150" s="72"/>
      <c r="F150" s="72"/>
      <c r="G150" s="72"/>
      <c r="H150" s="72"/>
      <c r="I150" s="72"/>
      <c r="J150" s="72"/>
      <c r="K150" s="179"/>
      <c r="L150" s="179"/>
      <c r="M150" s="73"/>
      <c r="N150" s="2"/>
      <c r="O150" s="2"/>
      <c r="P150" s="2"/>
      <c r="Q150" s="2"/>
      <c r="R150" s="2"/>
    </row>
    <row r="151" spans="1:18" x14ac:dyDescent="0.4">
      <c r="A151" s="2"/>
      <c r="B151" s="75"/>
      <c r="C151" s="72"/>
      <c r="D151" s="72"/>
      <c r="E151" s="72"/>
      <c r="F151" s="72"/>
      <c r="G151" s="72"/>
      <c r="H151" s="72"/>
      <c r="I151" s="72"/>
      <c r="J151" s="72"/>
      <c r="K151" s="179"/>
      <c r="L151" s="179"/>
      <c r="M151" s="73"/>
      <c r="N151" s="2"/>
      <c r="O151" s="2"/>
      <c r="P151" s="2"/>
      <c r="Q151" s="2"/>
      <c r="R151" s="2"/>
    </row>
    <row r="152" spans="1:18" x14ac:dyDescent="0.4">
      <c r="A152" s="2"/>
      <c r="B152" s="2"/>
      <c r="C152" s="72"/>
      <c r="D152" s="72"/>
      <c r="E152" s="72"/>
      <c r="F152" s="72"/>
      <c r="G152" s="72"/>
      <c r="H152" s="72"/>
      <c r="I152" s="72"/>
      <c r="J152" s="72"/>
      <c r="K152" s="179"/>
      <c r="L152" s="179"/>
      <c r="M152" s="73"/>
      <c r="N152" s="2"/>
      <c r="O152" s="2"/>
      <c r="P152" s="2"/>
      <c r="Q152" s="2"/>
      <c r="R152" s="2"/>
    </row>
    <row r="153" spans="1:18" x14ac:dyDescent="0.4">
      <c r="A153" s="74"/>
      <c r="B153" s="2"/>
      <c r="C153" s="72"/>
      <c r="D153" s="72"/>
      <c r="E153" s="72"/>
      <c r="F153" s="72"/>
      <c r="G153" s="72"/>
      <c r="H153" s="72"/>
      <c r="I153" s="72"/>
      <c r="J153" s="72"/>
      <c r="K153" s="179"/>
      <c r="L153" s="179"/>
      <c r="M153" s="73"/>
      <c r="N153" s="2"/>
      <c r="O153" s="2"/>
      <c r="P153" s="2"/>
      <c r="Q153" s="2"/>
      <c r="R153" s="2"/>
    </row>
    <row r="154" spans="1:18" x14ac:dyDescent="0.4">
      <c r="A154" s="2"/>
      <c r="B154" s="2"/>
      <c r="C154" s="72"/>
      <c r="D154" s="72"/>
      <c r="E154" s="72"/>
      <c r="F154" s="72"/>
      <c r="G154" s="72"/>
      <c r="H154" s="72"/>
      <c r="I154" s="72"/>
      <c r="J154" s="72"/>
      <c r="K154" s="179"/>
      <c r="L154" s="179"/>
      <c r="M154" s="73"/>
      <c r="N154" s="2"/>
      <c r="O154" s="2"/>
      <c r="P154" s="2"/>
      <c r="Q154" s="2"/>
      <c r="R154" s="2"/>
    </row>
    <row r="155" spans="1:18" x14ac:dyDescent="0.4">
      <c r="A155" s="2"/>
      <c r="B155" s="2"/>
      <c r="C155" s="72"/>
      <c r="D155" s="72"/>
      <c r="E155" s="72"/>
      <c r="F155" s="72"/>
      <c r="G155" s="72"/>
      <c r="H155" s="72"/>
      <c r="I155" s="72"/>
      <c r="J155" s="72"/>
      <c r="K155" s="179"/>
      <c r="L155" s="179"/>
      <c r="M155" s="73"/>
      <c r="N155" s="2"/>
      <c r="O155" s="2"/>
      <c r="P155" s="2"/>
      <c r="Q155" s="2"/>
      <c r="R155" s="2"/>
    </row>
    <row r="156" spans="1:18" x14ac:dyDescent="0.4">
      <c r="A156" s="74"/>
      <c r="B156" s="75"/>
      <c r="C156" s="72"/>
      <c r="D156" s="72"/>
      <c r="E156" s="72"/>
      <c r="F156" s="72"/>
      <c r="G156" s="72"/>
      <c r="H156" s="72"/>
      <c r="I156" s="72"/>
      <c r="J156" s="72"/>
      <c r="K156" s="179"/>
      <c r="L156" s="179"/>
      <c r="M156" s="73"/>
      <c r="N156" s="2"/>
      <c r="O156" s="2"/>
      <c r="P156" s="2"/>
      <c r="Q156" s="2"/>
      <c r="R156" s="2"/>
    </row>
    <row r="157" spans="1:18" x14ac:dyDescent="0.4">
      <c r="A157" s="2"/>
      <c r="B157" s="75"/>
      <c r="C157" s="72"/>
      <c r="D157" s="72"/>
      <c r="E157" s="72"/>
      <c r="F157" s="72"/>
      <c r="G157" s="72"/>
      <c r="H157" s="72"/>
      <c r="I157" s="72"/>
      <c r="J157" s="72"/>
      <c r="K157" s="179"/>
      <c r="L157" s="179"/>
      <c r="M157" s="73"/>
      <c r="N157" s="2"/>
      <c r="O157" s="2"/>
      <c r="P157" s="2"/>
      <c r="Q157" s="2"/>
      <c r="R157" s="2"/>
    </row>
    <row r="158" spans="1:18" x14ac:dyDescent="0.4">
      <c r="A158" s="2"/>
      <c r="B158" s="75"/>
      <c r="C158" s="72"/>
      <c r="D158" s="72"/>
      <c r="E158" s="72"/>
      <c r="F158" s="72"/>
      <c r="G158" s="72"/>
      <c r="H158" s="72"/>
      <c r="I158" s="72"/>
      <c r="J158" s="72"/>
      <c r="K158" s="179"/>
      <c r="L158" s="179"/>
      <c r="M158" s="73"/>
      <c r="N158" s="2"/>
      <c r="O158" s="2"/>
      <c r="P158" s="2"/>
      <c r="Q158" s="2"/>
      <c r="R158" s="2"/>
    </row>
    <row r="159" spans="1:18" x14ac:dyDescent="0.4">
      <c r="A159" s="2"/>
      <c r="B159" s="2"/>
      <c r="C159" s="72"/>
      <c r="D159" s="72"/>
      <c r="E159" s="72"/>
      <c r="F159" s="72"/>
      <c r="G159" s="72"/>
      <c r="H159" s="72"/>
      <c r="I159" s="72"/>
      <c r="J159" s="72"/>
      <c r="K159" s="179"/>
      <c r="L159" s="179"/>
      <c r="M159" s="73"/>
      <c r="N159" s="2"/>
      <c r="O159" s="2"/>
      <c r="P159" s="2"/>
      <c r="Q159" s="2"/>
      <c r="R159" s="2"/>
    </row>
    <row r="160" spans="1:18" x14ac:dyDescent="0.4">
      <c r="A160" s="2"/>
      <c r="B160" s="2"/>
      <c r="C160" s="72"/>
      <c r="D160" s="72"/>
      <c r="E160" s="72"/>
      <c r="F160" s="72"/>
      <c r="G160" s="72"/>
      <c r="H160" s="72"/>
      <c r="I160" s="72"/>
      <c r="J160" s="72"/>
      <c r="K160" s="179"/>
      <c r="L160" s="179"/>
      <c r="M160" s="73"/>
      <c r="N160" s="2"/>
      <c r="O160" s="2"/>
      <c r="P160" s="2"/>
      <c r="Q160" s="2"/>
      <c r="R160" s="2"/>
    </row>
    <row r="161" spans="1:18" x14ac:dyDescent="0.4">
      <c r="A161" s="2"/>
      <c r="B161" s="2"/>
      <c r="C161" s="72"/>
      <c r="D161" s="72"/>
      <c r="E161" s="72"/>
      <c r="F161" s="72"/>
      <c r="G161" s="72"/>
      <c r="H161" s="72"/>
      <c r="I161" s="72"/>
      <c r="J161" s="72"/>
      <c r="K161" s="179"/>
      <c r="L161" s="179"/>
      <c r="M161" s="73"/>
      <c r="N161" s="2"/>
      <c r="O161" s="2"/>
      <c r="P161" s="2"/>
      <c r="Q161" s="2"/>
      <c r="R161" s="2"/>
    </row>
    <row r="162" spans="1:18" x14ac:dyDescent="0.4">
      <c r="A162" s="74"/>
      <c r="B162" s="2"/>
      <c r="C162" s="72"/>
      <c r="D162" s="72"/>
      <c r="E162" s="72"/>
      <c r="F162" s="72"/>
      <c r="G162" s="72"/>
      <c r="H162" s="72"/>
      <c r="I162" s="72"/>
      <c r="J162" s="72"/>
      <c r="K162" s="179"/>
      <c r="L162" s="179"/>
      <c r="M162" s="73"/>
      <c r="N162" s="2"/>
      <c r="O162" s="2"/>
      <c r="P162" s="2"/>
      <c r="Q162" s="2"/>
      <c r="R162" s="2"/>
    </row>
    <row r="163" spans="1:18" x14ac:dyDescent="0.4">
      <c r="A163" s="2"/>
      <c r="B163" s="2"/>
      <c r="C163" s="72"/>
      <c r="D163" s="72"/>
      <c r="E163" s="72"/>
      <c r="F163" s="72"/>
      <c r="G163" s="72"/>
      <c r="H163" s="72"/>
      <c r="I163" s="72"/>
      <c r="J163" s="72"/>
      <c r="K163" s="179"/>
      <c r="L163" s="179"/>
      <c r="M163" s="73"/>
      <c r="N163" s="2"/>
      <c r="O163" s="2"/>
      <c r="P163" s="2"/>
      <c r="Q163" s="2"/>
      <c r="R163" s="2"/>
    </row>
    <row r="164" spans="1:18" x14ac:dyDescent="0.4">
      <c r="A164" s="2"/>
      <c r="B164" s="2"/>
      <c r="C164" s="72"/>
      <c r="D164" s="72"/>
      <c r="E164" s="72"/>
      <c r="F164" s="72"/>
      <c r="G164" s="72"/>
      <c r="H164" s="72"/>
      <c r="I164" s="72"/>
      <c r="J164" s="72"/>
      <c r="K164" s="179"/>
      <c r="L164" s="179"/>
      <c r="M164" s="73"/>
      <c r="N164" s="2"/>
      <c r="O164" s="2"/>
      <c r="P164" s="2"/>
      <c r="Q164" s="2"/>
      <c r="R164" s="2"/>
    </row>
    <row r="165" spans="1:18" x14ac:dyDescent="0.4">
      <c r="A165" s="74"/>
      <c r="B165" s="74"/>
      <c r="C165" s="72"/>
      <c r="D165" s="72"/>
      <c r="E165" s="72"/>
      <c r="F165" s="72"/>
      <c r="G165" s="72"/>
      <c r="H165" s="72"/>
      <c r="I165" s="72"/>
      <c r="J165" s="72"/>
      <c r="K165" s="179"/>
      <c r="L165" s="179"/>
      <c r="M165" s="73"/>
      <c r="N165" s="2"/>
      <c r="O165" s="2"/>
      <c r="P165" s="2"/>
      <c r="Q165" s="2"/>
      <c r="R165" s="2"/>
    </row>
    <row r="166" spans="1:18" x14ac:dyDescent="0.4">
      <c r="A166" s="2"/>
      <c r="B166" s="2"/>
      <c r="C166" s="72"/>
      <c r="D166" s="72"/>
      <c r="E166" s="72"/>
      <c r="F166" s="72"/>
      <c r="G166" s="72"/>
      <c r="H166" s="72"/>
      <c r="I166" s="72"/>
      <c r="J166" s="72"/>
      <c r="K166" s="179"/>
      <c r="L166" s="179"/>
      <c r="M166" s="73"/>
      <c r="N166" s="2"/>
      <c r="O166" s="2"/>
      <c r="P166" s="2"/>
      <c r="Q166" s="2"/>
      <c r="R166" s="2"/>
    </row>
    <row r="167" spans="1:18" x14ac:dyDescent="0.4">
      <c r="A167" s="2"/>
      <c r="B167" s="2"/>
      <c r="C167" s="72"/>
      <c r="D167" s="72"/>
      <c r="E167" s="72"/>
      <c r="F167" s="72"/>
      <c r="G167" s="72"/>
      <c r="H167" s="72"/>
      <c r="I167" s="72"/>
      <c r="J167" s="72"/>
      <c r="K167" s="179"/>
      <c r="L167" s="179"/>
      <c r="M167" s="73"/>
      <c r="N167" s="2"/>
      <c r="O167" s="2"/>
      <c r="P167" s="2"/>
      <c r="Q167" s="2"/>
      <c r="R167" s="2"/>
    </row>
    <row r="168" spans="1:18" x14ac:dyDescent="0.4">
      <c r="A168" s="2"/>
      <c r="B168" s="2"/>
      <c r="C168" s="72"/>
      <c r="D168" s="72"/>
      <c r="E168" s="72"/>
      <c r="F168" s="72"/>
      <c r="G168" s="72"/>
      <c r="H168" s="72"/>
      <c r="I168" s="72"/>
      <c r="J168" s="72"/>
      <c r="K168" s="179"/>
      <c r="L168" s="179"/>
      <c r="M168" s="73"/>
      <c r="N168" s="2"/>
      <c r="O168" s="2"/>
      <c r="P168" s="2"/>
      <c r="Q168" s="2"/>
      <c r="R168" s="2"/>
    </row>
    <row r="169" spans="1:18" x14ac:dyDescent="0.4">
      <c r="A169" s="2"/>
      <c r="B169" s="2"/>
      <c r="C169" s="72"/>
      <c r="D169" s="72"/>
      <c r="E169" s="72"/>
      <c r="F169" s="72"/>
      <c r="G169" s="72"/>
      <c r="H169" s="72"/>
      <c r="I169" s="72"/>
      <c r="J169" s="72"/>
      <c r="K169" s="179"/>
      <c r="L169" s="179"/>
      <c r="M169" s="73"/>
      <c r="N169" s="2"/>
      <c r="O169" s="2"/>
      <c r="P169" s="2"/>
      <c r="Q169" s="2"/>
      <c r="R169" s="2"/>
    </row>
    <row r="170" spans="1:18" x14ac:dyDescent="0.4">
      <c r="A170" s="2"/>
      <c r="B170" s="2"/>
      <c r="C170" s="72"/>
      <c r="D170" s="72"/>
      <c r="E170" s="72"/>
      <c r="F170" s="72"/>
      <c r="G170" s="72"/>
      <c r="H170" s="72"/>
      <c r="I170" s="72"/>
      <c r="J170" s="72"/>
      <c r="K170" s="179"/>
      <c r="L170" s="179"/>
      <c r="M170" s="73"/>
      <c r="N170" s="2"/>
      <c r="O170" s="2"/>
      <c r="P170" s="2"/>
      <c r="Q170" s="2"/>
      <c r="R170" s="2"/>
    </row>
    <row r="171" spans="1:18" x14ac:dyDescent="0.4">
      <c r="A171" s="2"/>
      <c r="B171" s="2"/>
      <c r="C171" s="72"/>
      <c r="D171" s="72"/>
      <c r="E171" s="72"/>
      <c r="F171" s="72"/>
      <c r="G171" s="72"/>
      <c r="H171" s="72"/>
      <c r="I171" s="72"/>
      <c r="J171" s="72"/>
      <c r="K171" s="179"/>
      <c r="L171" s="179"/>
      <c r="M171" s="73"/>
      <c r="N171" s="2"/>
      <c r="O171" s="2"/>
      <c r="P171" s="2"/>
      <c r="Q171" s="2"/>
      <c r="R171" s="2"/>
    </row>
    <row r="172" spans="1:18" x14ac:dyDescent="0.4">
      <c r="A172" s="2"/>
      <c r="B172" s="2"/>
      <c r="C172" s="72"/>
      <c r="D172" s="72"/>
      <c r="E172" s="72"/>
      <c r="F172" s="72"/>
      <c r="G172" s="72"/>
      <c r="H172" s="72"/>
      <c r="I172" s="72"/>
      <c r="J172" s="72"/>
      <c r="K172" s="179"/>
      <c r="L172" s="179"/>
      <c r="M172" s="73"/>
      <c r="N172" s="2"/>
      <c r="O172" s="2"/>
      <c r="P172" s="2"/>
      <c r="Q172" s="2"/>
      <c r="R172" s="2"/>
    </row>
    <row r="173" spans="1:18" x14ac:dyDescent="0.4">
      <c r="A173" s="2"/>
      <c r="B173" s="2"/>
      <c r="C173" s="72"/>
      <c r="D173" s="72"/>
      <c r="E173" s="72"/>
      <c r="F173" s="72"/>
      <c r="G173" s="72"/>
      <c r="H173" s="72"/>
      <c r="I173" s="72"/>
      <c r="J173" s="72"/>
      <c r="K173" s="179"/>
      <c r="L173" s="179"/>
      <c r="M173" s="73"/>
      <c r="N173" s="2"/>
      <c r="O173" s="2"/>
      <c r="P173" s="2"/>
      <c r="Q173" s="2"/>
      <c r="R173" s="2"/>
    </row>
    <row r="174" spans="1:18" x14ac:dyDescent="0.4">
      <c r="A174" s="2"/>
      <c r="B174" s="2"/>
      <c r="C174" s="72"/>
      <c r="D174" s="72"/>
      <c r="E174" s="72"/>
      <c r="F174" s="72"/>
      <c r="G174" s="72"/>
      <c r="H174" s="72"/>
      <c r="I174" s="72"/>
      <c r="J174" s="72"/>
      <c r="K174" s="179"/>
      <c r="L174" s="179"/>
      <c r="M174" s="73"/>
      <c r="N174" s="2"/>
      <c r="O174" s="2"/>
      <c r="P174" s="2"/>
      <c r="Q174" s="2"/>
      <c r="R174" s="2"/>
    </row>
    <row r="175" spans="1:18" x14ac:dyDescent="0.4">
      <c r="A175" s="2"/>
      <c r="B175" s="2"/>
      <c r="C175" s="72"/>
      <c r="D175" s="72"/>
      <c r="E175" s="72"/>
      <c r="F175" s="72"/>
      <c r="G175" s="72"/>
      <c r="H175" s="72"/>
      <c r="I175" s="72"/>
      <c r="J175" s="72"/>
      <c r="K175" s="179"/>
      <c r="L175" s="179"/>
      <c r="M175" s="73"/>
      <c r="N175" s="2"/>
      <c r="O175" s="2"/>
      <c r="P175" s="2"/>
      <c r="Q175" s="2"/>
      <c r="R175" s="2"/>
    </row>
    <row r="176" spans="1:18" x14ac:dyDescent="0.4">
      <c r="A176" s="2"/>
      <c r="B176" s="2"/>
      <c r="C176" s="72"/>
      <c r="D176" s="72"/>
      <c r="E176" s="72"/>
      <c r="F176" s="72"/>
      <c r="G176" s="72"/>
      <c r="H176" s="72"/>
      <c r="I176" s="72"/>
      <c r="J176" s="72"/>
      <c r="K176" s="179"/>
      <c r="L176" s="179"/>
      <c r="M176" s="73"/>
      <c r="N176" s="2"/>
      <c r="O176" s="2"/>
      <c r="P176" s="2"/>
      <c r="Q176" s="2"/>
      <c r="R176" s="2"/>
    </row>
    <row r="177" spans="1:18" x14ac:dyDescent="0.4">
      <c r="A177" s="2"/>
      <c r="B177" s="2"/>
      <c r="C177" s="72"/>
      <c r="D177" s="72"/>
      <c r="E177" s="72"/>
      <c r="F177" s="72"/>
      <c r="G177" s="72"/>
      <c r="H177" s="72"/>
      <c r="I177" s="72"/>
      <c r="J177" s="72"/>
      <c r="K177" s="179"/>
      <c r="L177" s="179"/>
      <c r="M177" s="73"/>
      <c r="N177" s="2"/>
      <c r="O177" s="2"/>
      <c r="P177" s="2"/>
      <c r="Q177" s="2"/>
      <c r="R177" s="2"/>
    </row>
    <row r="178" spans="1:18" x14ac:dyDescent="0.4">
      <c r="A178" s="2"/>
      <c r="B178" s="2"/>
      <c r="C178" s="72"/>
      <c r="D178" s="72"/>
      <c r="E178" s="72"/>
      <c r="F178" s="72"/>
      <c r="G178" s="72"/>
      <c r="H178" s="72"/>
      <c r="I178" s="72"/>
      <c r="J178" s="72"/>
      <c r="K178" s="179"/>
      <c r="L178" s="179"/>
      <c r="M178" s="73"/>
      <c r="N178" s="2"/>
      <c r="O178" s="2"/>
      <c r="P178" s="2"/>
      <c r="Q178" s="2"/>
      <c r="R178" s="2"/>
    </row>
    <row r="179" spans="1:18" x14ac:dyDescent="0.4">
      <c r="A179" s="2"/>
      <c r="B179" s="2"/>
      <c r="C179" s="72"/>
      <c r="D179" s="72"/>
      <c r="E179" s="72"/>
      <c r="F179" s="72"/>
      <c r="G179" s="72"/>
      <c r="H179" s="72"/>
      <c r="I179" s="72"/>
      <c r="J179" s="72"/>
      <c r="K179" s="179"/>
      <c r="L179" s="179"/>
      <c r="M179" s="73"/>
      <c r="N179" s="2"/>
      <c r="O179" s="2"/>
      <c r="P179" s="2"/>
      <c r="Q179" s="2"/>
      <c r="R179" s="2"/>
    </row>
    <row r="180" spans="1:18" x14ac:dyDescent="0.4">
      <c r="A180" s="2"/>
      <c r="B180" s="2"/>
      <c r="C180" s="72"/>
      <c r="D180" s="72"/>
      <c r="E180" s="72"/>
      <c r="F180" s="72"/>
      <c r="G180" s="72"/>
      <c r="H180" s="72"/>
      <c r="I180" s="72"/>
      <c r="J180" s="72"/>
      <c r="K180" s="179"/>
      <c r="L180" s="179"/>
      <c r="M180" s="73"/>
      <c r="N180" s="2"/>
      <c r="O180" s="2"/>
      <c r="P180" s="2"/>
      <c r="Q180" s="2"/>
      <c r="R180" s="2"/>
    </row>
    <row r="181" spans="1:18" x14ac:dyDescent="0.4">
      <c r="A181" s="2"/>
      <c r="B181" s="2"/>
      <c r="C181" s="72"/>
      <c r="D181" s="72"/>
      <c r="E181" s="72"/>
      <c r="F181" s="72"/>
      <c r="G181" s="72"/>
      <c r="H181" s="72"/>
      <c r="I181" s="72"/>
      <c r="J181" s="72"/>
      <c r="K181" s="179"/>
      <c r="L181" s="179"/>
      <c r="M181" s="73"/>
      <c r="N181" s="2"/>
      <c r="O181" s="2"/>
      <c r="P181" s="2"/>
      <c r="Q181" s="2"/>
      <c r="R181" s="2"/>
    </row>
    <row r="182" spans="1:18" x14ac:dyDescent="0.4">
      <c r="A182" s="2"/>
      <c r="B182" s="2"/>
      <c r="C182" s="72"/>
      <c r="D182" s="72"/>
      <c r="E182" s="72"/>
      <c r="F182" s="72"/>
      <c r="G182" s="72"/>
      <c r="H182" s="72"/>
      <c r="I182" s="72"/>
      <c r="J182" s="72"/>
      <c r="K182" s="179"/>
      <c r="L182" s="179"/>
      <c r="M182" s="73"/>
      <c r="N182" s="2"/>
      <c r="O182" s="2"/>
      <c r="P182" s="2"/>
      <c r="Q182" s="2"/>
      <c r="R182" s="2"/>
    </row>
    <row r="183" spans="1:18" x14ac:dyDescent="0.4">
      <c r="A183" s="2"/>
      <c r="B183" s="2"/>
      <c r="C183" s="72"/>
      <c r="D183" s="72"/>
      <c r="E183" s="72"/>
      <c r="F183" s="72"/>
      <c r="G183" s="72"/>
      <c r="H183" s="72"/>
      <c r="I183" s="72"/>
      <c r="J183" s="72"/>
      <c r="K183" s="179"/>
      <c r="L183" s="179"/>
      <c r="M183" s="73"/>
      <c r="N183" s="2"/>
      <c r="O183" s="2"/>
      <c r="P183" s="2"/>
      <c r="Q183" s="2"/>
      <c r="R183" s="2"/>
    </row>
    <row r="184" spans="1:18" x14ac:dyDescent="0.4">
      <c r="A184" s="2"/>
      <c r="B184" s="2"/>
      <c r="C184" s="72"/>
      <c r="D184" s="72"/>
      <c r="E184" s="72"/>
      <c r="F184" s="72"/>
      <c r="G184" s="72"/>
      <c r="H184" s="72"/>
      <c r="I184" s="72"/>
      <c r="J184" s="72"/>
      <c r="K184" s="179"/>
      <c r="L184" s="179"/>
      <c r="M184" s="73"/>
      <c r="N184" s="2"/>
      <c r="O184" s="2"/>
      <c r="P184" s="2"/>
      <c r="Q184" s="2"/>
      <c r="R184" s="2"/>
    </row>
    <row r="185" spans="1:18" x14ac:dyDescent="0.4">
      <c r="A185" s="2"/>
      <c r="B185" s="2"/>
      <c r="C185" s="72"/>
      <c r="D185" s="72"/>
      <c r="E185" s="72"/>
      <c r="F185" s="72"/>
      <c r="G185" s="72"/>
      <c r="H185" s="72"/>
      <c r="I185" s="72"/>
      <c r="J185" s="72"/>
      <c r="K185" s="179"/>
      <c r="L185" s="179"/>
      <c r="M185" s="73"/>
      <c r="N185" s="2"/>
      <c r="O185" s="2"/>
      <c r="P185" s="2"/>
      <c r="Q185" s="2"/>
      <c r="R185" s="2"/>
    </row>
    <row r="186" spans="1:18" x14ac:dyDescent="0.4">
      <c r="A186" s="2"/>
      <c r="B186" s="2"/>
      <c r="C186" s="72"/>
      <c r="D186" s="72"/>
      <c r="E186" s="72"/>
      <c r="F186" s="72"/>
      <c r="G186" s="72"/>
      <c r="H186" s="72"/>
      <c r="I186" s="72"/>
      <c r="J186" s="72"/>
      <c r="K186" s="179"/>
      <c r="L186" s="179"/>
      <c r="M186" s="73"/>
      <c r="N186" s="2"/>
      <c r="O186" s="2"/>
      <c r="P186" s="2"/>
      <c r="Q186" s="2"/>
      <c r="R186" s="2"/>
    </row>
    <row r="187" spans="1:18" x14ac:dyDescent="0.4">
      <c r="A187" s="2"/>
      <c r="B187" s="2"/>
      <c r="C187" s="72"/>
      <c r="D187" s="72"/>
      <c r="E187" s="72"/>
      <c r="F187" s="72"/>
      <c r="G187" s="72"/>
      <c r="H187" s="72"/>
      <c r="I187" s="72"/>
      <c r="J187" s="72"/>
      <c r="K187" s="179"/>
      <c r="L187" s="179"/>
      <c r="M187" s="73"/>
      <c r="N187" s="2"/>
      <c r="O187" s="2"/>
      <c r="P187" s="2"/>
      <c r="Q187" s="2"/>
      <c r="R187" s="2"/>
    </row>
    <row r="188" spans="1:18" x14ac:dyDescent="0.4">
      <c r="A188" s="2"/>
      <c r="B188" s="2"/>
      <c r="C188" s="72"/>
      <c r="D188" s="72"/>
      <c r="E188" s="72"/>
      <c r="F188" s="72"/>
      <c r="G188" s="72"/>
      <c r="H188" s="72"/>
      <c r="I188" s="72"/>
      <c r="J188" s="72"/>
      <c r="K188" s="179"/>
      <c r="L188" s="179"/>
      <c r="M188" s="73"/>
      <c r="N188" s="2"/>
      <c r="O188" s="2"/>
      <c r="P188" s="2"/>
      <c r="Q188" s="2"/>
      <c r="R188" s="2"/>
    </row>
    <row r="189" spans="1:18" x14ac:dyDescent="0.4">
      <c r="A189" s="2"/>
      <c r="B189" s="2"/>
      <c r="C189" s="72"/>
      <c r="D189" s="72"/>
      <c r="E189" s="72"/>
      <c r="F189" s="72"/>
      <c r="G189" s="72"/>
      <c r="H189" s="72"/>
      <c r="I189" s="72"/>
      <c r="J189" s="72"/>
      <c r="K189" s="179"/>
      <c r="L189" s="179"/>
      <c r="M189" s="73"/>
      <c r="N189" s="2"/>
      <c r="O189" s="2"/>
      <c r="P189" s="2"/>
      <c r="Q189" s="2"/>
      <c r="R189" s="2"/>
    </row>
    <row r="190" spans="1:18" x14ac:dyDescent="0.4">
      <c r="A190" s="2"/>
      <c r="B190" s="2"/>
      <c r="C190" s="72"/>
      <c r="D190" s="72"/>
      <c r="E190" s="72"/>
      <c r="F190" s="72"/>
      <c r="G190" s="72"/>
      <c r="H190" s="72"/>
      <c r="I190" s="72"/>
      <c r="J190" s="72"/>
      <c r="K190" s="179"/>
      <c r="L190" s="179"/>
      <c r="M190" s="73"/>
      <c r="N190" s="2"/>
      <c r="O190" s="2"/>
      <c r="P190" s="2"/>
      <c r="Q190" s="2"/>
      <c r="R190" s="2"/>
    </row>
    <row r="191" spans="1:18" x14ac:dyDescent="0.4">
      <c r="A191" s="2"/>
      <c r="B191" s="2"/>
      <c r="C191" s="72"/>
      <c r="D191" s="72"/>
      <c r="E191" s="72"/>
      <c r="F191" s="72"/>
      <c r="G191" s="72"/>
      <c r="H191" s="72"/>
      <c r="I191" s="72"/>
      <c r="J191" s="72"/>
      <c r="K191" s="179"/>
      <c r="L191" s="179"/>
      <c r="M191" s="73"/>
      <c r="N191" s="2"/>
      <c r="O191" s="2"/>
      <c r="P191" s="2"/>
      <c r="Q191" s="2"/>
      <c r="R191" s="2"/>
    </row>
    <row r="192" spans="1:18" x14ac:dyDescent="0.4">
      <c r="A192" s="2"/>
      <c r="B192" s="2"/>
      <c r="C192" s="72"/>
      <c r="D192" s="72"/>
      <c r="E192" s="72"/>
      <c r="F192" s="72"/>
      <c r="G192" s="72"/>
      <c r="H192" s="72"/>
      <c r="I192" s="72"/>
      <c r="J192" s="72"/>
      <c r="K192" s="179"/>
      <c r="L192" s="179"/>
      <c r="M192" s="73"/>
      <c r="N192" s="2"/>
      <c r="O192" s="2"/>
      <c r="P192" s="2"/>
      <c r="Q192" s="2"/>
      <c r="R192" s="2"/>
    </row>
    <row r="193" spans="1:18" x14ac:dyDescent="0.4">
      <c r="A193" s="2"/>
      <c r="B193" s="2"/>
      <c r="C193" s="72"/>
      <c r="D193" s="72"/>
      <c r="E193" s="72"/>
      <c r="F193" s="72"/>
      <c r="G193" s="72"/>
      <c r="H193" s="72"/>
      <c r="I193" s="72"/>
      <c r="J193" s="72"/>
      <c r="K193" s="179"/>
      <c r="L193" s="179"/>
      <c r="M193" s="73"/>
      <c r="N193" s="2"/>
      <c r="O193" s="2"/>
      <c r="P193" s="2"/>
      <c r="Q193" s="2"/>
      <c r="R193" s="2"/>
    </row>
    <row r="194" spans="1:18" x14ac:dyDescent="0.4">
      <c r="A194" s="2"/>
      <c r="B194" s="2"/>
      <c r="C194" s="72"/>
      <c r="D194" s="72"/>
      <c r="E194" s="72"/>
      <c r="F194" s="72"/>
      <c r="G194" s="72"/>
      <c r="H194" s="72"/>
      <c r="I194" s="72"/>
      <c r="J194" s="72"/>
      <c r="K194" s="179"/>
      <c r="L194" s="179"/>
      <c r="M194" s="73"/>
      <c r="N194" s="2"/>
      <c r="O194" s="2"/>
      <c r="P194" s="2"/>
      <c r="Q194" s="2"/>
      <c r="R194" s="2"/>
    </row>
    <row r="195" spans="1:18" x14ac:dyDescent="0.4">
      <c r="A195" s="2"/>
      <c r="B195" s="2"/>
      <c r="C195" s="72"/>
      <c r="D195" s="72"/>
      <c r="E195" s="72"/>
      <c r="F195" s="72"/>
      <c r="G195" s="72"/>
      <c r="H195" s="72"/>
      <c r="I195" s="72"/>
      <c r="J195" s="72"/>
      <c r="K195" s="179"/>
      <c r="L195" s="179"/>
      <c r="M195" s="73"/>
      <c r="N195" s="2"/>
      <c r="O195" s="2"/>
      <c r="P195" s="2"/>
      <c r="Q195" s="2"/>
      <c r="R195" s="2"/>
    </row>
    <row r="196" spans="1:18" x14ac:dyDescent="0.4">
      <c r="A196" s="2"/>
      <c r="B196" s="2"/>
      <c r="C196" s="72"/>
      <c r="D196" s="72"/>
      <c r="E196" s="72"/>
      <c r="F196" s="72"/>
      <c r="G196" s="72"/>
      <c r="H196" s="72"/>
      <c r="I196" s="72"/>
      <c r="J196" s="72"/>
      <c r="K196" s="179"/>
      <c r="L196" s="179"/>
      <c r="M196" s="73"/>
      <c r="N196" s="2"/>
      <c r="O196" s="2"/>
      <c r="P196" s="2"/>
      <c r="Q196" s="2"/>
      <c r="R196" s="2"/>
    </row>
    <row r="197" spans="1:18" x14ac:dyDescent="0.4">
      <c r="A197" s="2"/>
      <c r="B197" s="2"/>
      <c r="C197" s="72"/>
      <c r="D197" s="72"/>
      <c r="E197" s="72"/>
      <c r="F197" s="72"/>
      <c r="G197" s="72"/>
      <c r="H197" s="72"/>
      <c r="I197" s="72"/>
      <c r="J197" s="72"/>
      <c r="K197" s="179"/>
      <c r="L197" s="179"/>
      <c r="M197" s="73"/>
      <c r="N197" s="2"/>
      <c r="O197" s="2"/>
      <c r="P197" s="2"/>
      <c r="Q197" s="2"/>
      <c r="R197" s="2"/>
    </row>
    <row r="198" spans="1:18" x14ac:dyDescent="0.4">
      <c r="A198" s="2"/>
      <c r="B198" s="2"/>
      <c r="C198" s="72"/>
      <c r="D198" s="72"/>
      <c r="E198" s="72"/>
      <c r="F198" s="72"/>
      <c r="G198" s="72"/>
      <c r="H198" s="72"/>
      <c r="I198" s="72"/>
      <c r="J198" s="72"/>
      <c r="K198" s="179"/>
      <c r="L198" s="179"/>
      <c r="M198" s="73"/>
      <c r="N198" s="2"/>
      <c r="O198" s="2"/>
      <c r="P198" s="2"/>
      <c r="Q198" s="2"/>
      <c r="R198" s="2"/>
    </row>
    <row r="199" spans="1:18" x14ac:dyDescent="0.4">
      <c r="A199" s="2"/>
      <c r="B199" s="2"/>
      <c r="C199" s="72"/>
      <c r="D199" s="72"/>
      <c r="E199" s="72"/>
      <c r="F199" s="72"/>
      <c r="G199" s="72"/>
      <c r="H199" s="72"/>
      <c r="I199" s="72"/>
      <c r="J199" s="72"/>
      <c r="K199" s="179"/>
      <c r="L199" s="179"/>
      <c r="M199" s="73"/>
      <c r="N199" s="2"/>
      <c r="O199" s="2"/>
      <c r="P199" s="2"/>
      <c r="Q199" s="2"/>
      <c r="R199" s="2"/>
    </row>
    <row r="200" spans="1:18" x14ac:dyDescent="0.4">
      <c r="A200" s="2"/>
      <c r="B200" s="2"/>
      <c r="C200" s="72"/>
      <c r="D200" s="72"/>
      <c r="E200" s="72"/>
      <c r="F200" s="72"/>
      <c r="G200" s="72"/>
      <c r="H200" s="72"/>
      <c r="I200" s="72"/>
      <c r="J200" s="72"/>
      <c r="K200" s="179"/>
      <c r="L200" s="179"/>
      <c r="M200" s="73"/>
      <c r="N200" s="2"/>
      <c r="O200" s="2"/>
      <c r="P200" s="2"/>
      <c r="Q200" s="2"/>
      <c r="R200" s="2"/>
    </row>
    <row r="201" spans="1:18" x14ac:dyDescent="0.4">
      <c r="A201" s="2"/>
      <c r="B201" s="2"/>
      <c r="C201" s="72"/>
      <c r="D201" s="72"/>
      <c r="E201" s="72"/>
      <c r="F201" s="72"/>
      <c r="G201" s="72"/>
      <c r="H201" s="72"/>
      <c r="I201" s="72"/>
      <c r="J201" s="72"/>
      <c r="K201" s="179"/>
      <c r="L201" s="179"/>
      <c r="M201" s="73"/>
      <c r="N201" s="2"/>
      <c r="O201" s="2"/>
      <c r="P201" s="2"/>
      <c r="Q201" s="2"/>
      <c r="R201" s="2"/>
    </row>
    <row r="202" spans="1:18" x14ac:dyDescent="0.4">
      <c r="A202" s="2"/>
      <c r="B202" s="2"/>
      <c r="C202" s="72"/>
      <c r="D202" s="72"/>
      <c r="E202" s="72"/>
      <c r="F202" s="72"/>
      <c r="G202" s="72"/>
      <c r="H202" s="72"/>
      <c r="I202" s="72"/>
      <c r="J202" s="72"/>
      <c r="K202" s="179"/>
      <c r="L202" s="179"/>
      <c r="M202" s="73"/>
      <c r="N202" s="2"/>
      <c r="O202" s="2"/>
      <c r="P202" s="2"/>
      <c r="Q202" s="2"/>
      <c r="R202" s="2"/>
    </row>
    <row r="203" spans="1:18" x14ac:dyDescent="0.4">
      <c r="A203" s="2"/>
      <c r="B203" s="2"/>
      <c r="C203" s="72"/>
      <c r="D203" s="72"/>
      <c r="E203" s="72"/>
      <c r="F203" s="72"/>
      <c r="G203" s="72"/>
      <c r="H203" s="72"/>
      <c r="I203" s="72"/>
      <c r="J203" s="72"/>
      <c r="K203" s="179"/>
      <c r="L203" s="179"/>
      <c r="M203" s="73"/>
      <c r="N203" s="2"/>
      <c r="O203" s="2"/>
      <c r="P203" s="2"/>
      <c r="Q203" s="2"/>
      <c r="R203" s="2"/>
    </row>
    <row r="204" spans="1:18" x14ac:dyDescent="0.4">
      <c r="A204" s="2"/>
      <c r="B204" s="2"/>
      <c r="C204" s="72"/>
      <c r="D204" s="72"/>
      <c r="E204" s="72"/>
      <c r="F204" s="72"/>
      <c r="G204" s="72"/>
      <c r="H204" s="72"/>
      <c r="I204" s="72"/>
      <c r="J204" s="72"/>
      <c r="K204" s="179"/>
      <c r="L204" s="179"/>
      <c r="M204" s="73"/>
      <c r="N204" s="2"/>
      <c r="O204" s="2"/>
      <c r="P204" s="2"/>
      <c r="Q204" s="2"/>
      <c r="R204" s="2"/>
    </row>
    <row r="205" spans="1:18" x14ac:dyDescent="0.4">
      <c r="A205" s="2"/>
      <c r="B205" s="2"/>
      <c r="C205" s="72"/>
      <c r="D205" s="72"/>
      <c r="E205" s="72"/>
      <c r="F205" s="72"/>
      <c r="G205" s="72"/>
      <c r="H205" s="72"/>
      <c r="I205" s="72"/>
      <c r="J205" s="72"/>
      <c r="K205" s="179"/>
      <c r="L205" s="179"/>
      <c r="M205" s="73"/>
      <c r="N205" s="2"/>
      <c r="O205" s="2"/>
      <c r="P205" s="2"/>
      <c r="Q205" s="2"/>
      <c r="R205" s="2"/>
    </row>
    <row r="206" spans="1:18" x14ac:dyDescent="0.4">
      <c r="A206" s="2"/>
      <c r="B206" s="2"/>
      <c r="C206" s="72"/>
      <c r="D206" s="72"/>
      <c r="E206" s="72"/>
      <c r="F206" s="72"/>
      <c r="G206" s="72"/>
      <c r="H206" s="72"/>
      <c r="I206" s="72"/>
      <c r="J206" s="72"/>
      <c r="K206" s="179"/>
      <c r="L206" s="179"/>
      <c r="M206" s="73"/>
      <c r="N206" s="2"/>
      <c r="O206" s="2"/>
      <c r="P206" s="2"/>
      <c r="Q206" s="2"/>
      <c r="R206" s="2"/>
    </row>
    <row r="207" spans="1:18" x14ac:dyDescent="0.4">
      <c r="A207" s="2"/>
      <c r="B207" s="2"/>
      <c r="C207" s="72"/>
      <c r="D207" s="72"/>
      <c r="E207" s="72"/>
      <c r="F207" s="72"/>
      <c r="G207" s="72"/>
      <c r="H207" s="72"/>
      <c r="I207" s="72"/>
      <c r="J207" s="72"/>
      <c r="K207" s="179"/>
      <c r="L207" s="179"/>
      <c r="M207" s="73"/>
      <c r="N207" s="2"/>
      <c r="O207" s="2"/>
      <c r="P207" s="2"/>
      <c r="Q207" s="2"/>
      <c r="R207" s="2"/>
    </row>
    <row r="208" spans="1:18" x14ac:dyDescent="0.4">
      <c r="A208" s="2"/>
      <c r="B208" s="2"/>
      <c r="C208" s="72"/>
      <c r="D208" s="72"/>
      <c r="E208" s="72"/>
      <c r="F208" s="72"/>
      <c r="G208" s="72"/>
      <c r="H208" s="72"/>
      <c r="I208" s="72"/>
      <c r="J208" s="72"/>
      <c r="K208" s="179"/>
      <c r="L208" s="179"/>
      <c r="M208" s="73"/>
      <c r="N208" s="2"/>
      <c r="O208" s="2"/>
      <c r="P208" s="2"/>
      <c r="Q208" s="2"/>
      <c r="R208" s="2"/>
    </row>
    <row r="209" spans="1:18" x14ac:dyDescent="0.4">
      <c r="A209" s="2"/>
      <c r="B209" s="2"/>
      <c r="C209" s="72"/>
      <c r="D209" s="72"/>
      <c r="E209" s="72"/>
      <c r="F209" s="72"/>
      <c r="G209" s="72"/>
      <c r="H209" s="72"/>
      <c r="I209" s="72"/>
      <c r="J209" s="72"/>
      <c r="K209" s="179"/>
      <c r="L209" s="179"/>
      <c r="M209" s="73"/>
      <c r="N209" s="2"/>
      <c r="O209" s="2"/>
      <c r="P209" s="2"/>
      <c r="Q209" s="2"/>
      <c r="R209" s="2"/>
    </row>
    <row r="210" spans="1:18" x14ac:dyDescent="0.4">
      <c r="A210" s="2"/>
      <c r="B210" s="2"/>
      <c r="C210" s="72"/>
      <c r="D210" s="72"/>
      <c r="E210" s="72"/>
      <c r="F210" s="72"/>
      <c r="G210" s="72"/>
      <c r="H210" s="72"/>
      <c r="I210" s="72"/>
      <c r="J210" s="72"/>
      <c r="K210" s="179"/>
      <c r="L210" s="179"/>
      <c r="M210" s="73"/>
      <c r="N210" s="2"/>
      <c r="O210" s="2"/>
      <c r="P210" s="2"/>
      <c r="Q210" s="2"/>
      <c r="R210" s="2"/>
    </row>
    <row r="211" spans="1:18" x14ac:dyDescent="0.4">
      <c r="A211" s="2"/>
      <c r="B211" s="2"/>
      <c r="C211" s="72"/>
      <c r="D211" s="72"/>
      <c r="E211" s="72"/>
      <c r="F211" s="72"/>
      <c r="G211" s="72"/>
      <c r="H211" s="72"/>
      <c r="I211" s="72"/>
      <c r="J211" s="72"/>
      <c r="K211" s="179"/>
      <c r="L211" s="179"/>
      <c r="M211" s="73"/>
      <c r="N211" s="2"/>
      <c r="O211" s="2"/>
      <c r="P211" s="2"/>
      <c r="Q211" s="2"/>
      <c r="R211" s="2"/>
    </row>
    <row r="212" spans="1:18" x14ac:dyDescent="0.4">
      <c r="A212" s="2"/>
      <c r="B212" s="2"/>
      <c r="C212" s="72"/>
      <c r="D212" s="72"/>
      <c r="E212" s="72"/>
      <c r="F212" s="72"/>
      <c r="G212" s="72"/>
      <c r="H212" s="72"/>
      <c r="I212" s="72"/>
      <c r="J212" s="72"/>
      <c r="K212" s="179"/>
      <c r="L212" s="179"/>
      <c r="M212" s="73"/>
      <c r="N212" s="2"/>
      <c r="O212" s="2"/>
      <c r="P212" s="2"/>
      <c r="Q212" s="2"/>
      <c r="R212" s="2"/>
    </row>
    <row r="213" spans="1:18" x14ac:dyDescent="0.4">
      <c r="A213" s="2"/>
      <c r="B213" s="2"/>
      <c r="C213" s="72"/>
      <c r="D213" s="72"/>
      <c r="E213" s="72"/>
      <c r="F213" s="72"/>
      <c r="G213" s="72"/>
      <c r="H213" s="72"/>
      <c r="I213" s="72"/>
      <c r="J213" s="72"/>
      <c r="K213" s="179"/>
      <c r="L213" s="179"/>
      <c r="M213" s="73"/>
      <c r="N213" s="2"/>
      <c r="O213" s="2"/>
      <c r="P213" s="2"/>
      <c r="Q213" s="2"/>
      <c r="R213" s="2"/>
    </row>
    <row r="214" spans="1:18" x14ac:dyDescent="0.4">
      <c r="A214" s="2"/>
      <c r="B214" s="2"/>
      <c r="C214" s="72"/>
      <c r="D214" s="72"/>
      <c r="E214" s="72"/>
      <c r="F214" s="72"/>
      <c r="G214" s="72"/>
      <c r="H214" s="72"/>
      <c r="I214" s="72"/>
      <c r="J214" s="72"/>
      <c r="K214" s="179"/>
      <c r="L214" s="179"/>
      <c r="M214" s="73"/>
      <c r="N214" s="2"/>
      <c r="O214" s="2"/>
      <c r="P214" s="2"/>
      <c r="Q214" s="2"/>
      <c r="R214" s="2"/>
    </row>
    <row r="215" spans="1:18" x14ac:dyDescent="0.4">
      <c r="A215" s="2"/>
      <c r="B215" s="2"/>
      <c r="C215" s="72"/>
      <c r="D215" s="72"/>
      <c r="E215" s="72"/>
      <c r="F215" s="72"/>
      <c r="G215" s="72"/>
      <c r="H215" s="72"/>
      <c r="I215" s="72"/>
      <c r="J215" s="72"/>
      <c r="K215" s="179"/>
      <c r="L215" s="179"/>
      <c r="M215" s="73"/>
      <c r="N215" s="2"/>
      <c r="O215" s="2"/>
      <c r="P215" s="2"/>
      <c r="Q215" s="2"/>
      <c r="R215" s="2"/>
    </row>
    <row r="216" spans="1:18" x14ac:dyDescent="0.4">
      <c r="A216" s="2"/>
      <c r="B216" s="2"/>
      <c r="C216" s="72"/>
      <c r="D216" s="72"/>
      <c r="E216" s="72"/>
      <c r="F216" s="72"/>
      <c r="G216" s="72"/>
      <c r="H216" s="72"/>
      <c r="I216" s="72"/>
      <c r="J216" s="72"/>
      <c r="K216" s="179"/>
      <c r="L216" s="179"/>
      <c r="M216" s="73"/>
      <c r="N216" s="2"/>
      <c r="O216" s="2"/>
      <c r="P216" s="2"/>
      <c r="Q216" s="2"/>
      <c r="R216" s="2"/>
    </row>
    <row r="217" spans="1:18" x14ac:dyDescent="0.4">
      <c r="A217" s="2"/>
      <c r="B217" s="2"/>
      <c r="C217" s="72"/>
      <c r="D217" s="72"/>
      <c r="E217" s="72"/>
      <c r="F217" s="72"/>
      <c r="G217" s="72"/>
      <c r="H217" s="72"/>
      <c r="I217" s="72"/>
      <c r="J217" s="72"/>
      <c r="K217" s="179"/>
      <c r="L217" s="179"/>
      <c r="M217" s="73"/>
      <c r="N217" s="2"/>
      <c r="O217" s="2"/>
      <c r="P217" s="2"/>
      <c r="Q217" s="2"/>
      <c r="R217" s="2"/>
    </row>
    <row r="218" spans="1:18" x14ac:dyDescent="0.4">
      <c r="A218" s="2"/>
      <c r="B218" s="2"/>
      <c r="C218" s="72"/>
      <c r="D218" s="72"/>
      <c r="E218" s="72"/>
      <c r="F218" s="72"/>
      <c r="G218" s="72"/>
      <c r="H218" s="72"/>
      <c r="I218" s="72"/>
      <c r="J218" s="72"/>
      <c r="K218" s="179"/>
      <c r="L218" s="179"/>
      <c r="M218" s="73"/>
      <c r="N218" s="2"/>
      <c r="O218" s="2"/>
      <c r="P218" s="2"/>
      <c r="Q218" s="2"/>
      <c r="R218" s="2"/>
    </row>
    <row r="219" spans="1:18" x14ac:dyDescent="0.4">
      <c r="A219" s="2"/>
      <c r="B219" s="2"/>
      <c r="C219" s="72"/>
      <c r="D219" s="72"/>
      <c r="E219" s="72"/>
      <c r="F219" s="72"/>
      <c r="G219" s="72"/>
      <c r="H219" s="72"/>
      <c r="I219" s="72"/>
      <c r="J219" s="72"/>
      <c r="K219" s="179"/>
      <c r="L219" s="179"/>
      <c r="M219" s="73"/>
      <c r="N219" s="2"/>
      <c r="O219" s="2"/>
      <c r="P219" s="2"/>
      <c r="Q219" s="2"/>
      <c r="R219" s="2"/>
    </row>
    <row r="220" spans="1:18" x14ac:dyDescent="0.4">
      <c r="A220" s="2"/>
      <c r="B220" s="2"/>
      <c r="C220" s="72"/>
      <c r="D220" s="72"/>
      <c r="E220" s="72"/>
      <c r="F220" s="72"/>
      <c r="G220" s="72"/>
      <c r="H220" s="72"/>
      <c r="I220" s="72"/>
      <c r="J220" s="72"/>
      <c r="K220" s="179"/>
      <c r="L220" s="179"/>
      <c r="M220" s="73"/>
      <c r="N220" s="2"/>
      <c r="O220" s="2"/>
      <c r="P220" s="2"/>
      <c r="Q220" s="2"/>
      <c r="R220" s="2"/>
    </row>
    <row r="221" spans="1:18" x14ac:dyDescent="0.4">
      <c r="A221" s="2"/>
      <c r="B221" s="2"/>
      <c r="C221" s="72"/>
      <c r="D221" s="72"/>
      <c r="E221" s="72"/>
      <c r="F221" s="72"/>
      <c r="G221" s="72"/>
      <c r="H221" s="72"/>
      <c r="I221" s="72"/>
      <c r="J221" s="72"/>
      <c r="K221" s="179"/>
      <c r="L221" s="179"/>
      <c r="M221" s="73"/>
      <c r="N221" s="2"/>
      <c r="O221" s="2"/>
      <c r="P221" s="2"/>
      <c r="Q221" s="2"/>
      <c r="R221" s="2"/>
    </row>
    <row r="222" spans="1:18" x14ac:dyDescent="0.4">
      <c r="A222" s="2"/>
      <c r="B222" s="2"/>
      <c r="C222" s="72"/>
      <c r="D222" s="72"/>
      <c r="E222" s="72"/>
      <c r="F222" s="72"/>
      <c r="G222" s="72"/>
      <c r="H222" s="72"/>
      <c r="I222" s="72"/>
      <c r="J222" s="72"/>
      <c r="K222" s="179"/>
      <c r="L222" s="179"/>
      <c r="M222" s="73"/>
      <c r="N222" s="2"/>
      <c r="O222" s="2"/>
      <c r="P222" s="2"/>
      <c r="Q222" s="2"/>
      <c r="R222" s="2"/>
    </row>
    <row r="223" spans="1:18" x14ac:dyDescent="0.4">
      <c r="A223" s="2"/>
      <c r="B223" s="2"/>
      <c r="C223" s="72"/>
      <c r="D223" s="72"/>
      <c r="E223" s="72"/>
      <c r="F223" s="72"/>
      <c r="G223" s="72"/>
      <c r="H223" s="72"/>
      <c r="I223" s="72"/>
      <c r="J223" s="72"/>
      <c r="K223" s="179"/>
      <c r="L223" s="179"/>
      <c r="M223" s="73"/>
      <c r="N223" s="2"/>
      <c r="O223" s="2"/>
      <c r="P223" s="2"/>
      <c r="Q223" s="2"/>
      <c r="R223" s="2"/>
    </row>
    <row r="224" spans="1:18" x14ac:dyDescent="0.4">
      <c r="A224" s="2"/>
      <c r="B224" s="2"/>
      <c r="C224" s="72"/>
      <c r="D224" s="72"/>
      <c r="E224" s="72"/>
      <c r="F224" s="72"/>
      <c r="G224" s="72"/>
      <c r="H224" s="72"/>
      <c r="I224" s="72"/>
      <c r="J224" s="72"/>
      <c r="K224" s="179"/>
      <c r="L224" s="179"/>
      <c r="M224" s="73"/>
      <c r="N224" s="2"/>
      <c r="O224" s="2"/>
      <c r="P224" s="2"/>
      <c r="Q224" s="2"/>
      <c r="R224" s="2"/>
    </row>
    <row r="225" spans="1:18" x14ac:dyDescent="0.4">
      <c r="A225" s="2"/>
      <c r="B225" s="2"/>
      <c r="C225" s="72"/>
      <c r="D225" s="72"/>
      <c r="E225" s="72"/>
      <c r="F225" s="72"/>
      <c r="G225" s="72"/>
      <c r="H225" s="72"/>
      <c r="I225" s="72"/>
      <c r="J225" s="72"/>
      <c r="K225" s="179"/>
      <c r="L225" s="179"/>
      <c r="M225" s="73"/>
      <c r="N225" s="2"/>
      <c r="O225" s="2"/>
      <c r="P225" s="2"/>
      <c r="Q225" s="2"/>
      <c r="R225" s="2"/>
    </row>
    <row r="226" spans="1:18" x14ac:dyDescent="0.4">
      <c r="A226" s="2"/>
      <c r="B226" s="2"/>
      <c r="C226" s="72"/>
      <c r="D226" s="72"/>
      <c r="E226" s="72"/>
      <c r="F226" s="72"/>
      <c r="G226" s="72"/>
      <c r="H226" s="72"/>
      <c r="I226" s="72"/>
      <c r="J226" s="72"/>
      <c r="K226" s="179"/>
      <c r="L226" s="179"/>
      <c r="M226" s="73"/>
      <c r="N226" s="2"/>
      <c r="O226" s="2"/>
      <c r="P226" s="2"/>
      <c r="Q226" s="2"/>
      <c r="R226" s="2"/>
    </row>
    <row r="227" spans="1:18" x14ac:dyDescent="0.4">
      <c r="A227" s="2"/>
      <c r="B227" s="2"/>
      <c r="C227" s="72"/>
      <c r="D227" s="72"/>
      <c r="E227" s="72"/>
      <c r="F227" s="72"/>
      <c r="G227" s="72"/>
      <c r="H227" s="72"/>
      <c r="I227" s="72"/>
      <c r="J227" s="72"/>
      <c r="K227" s="179"/>
      <c r="L227" s="179"/>
      <c r="M227" s="73"/>
      <c r="N227" s="2"/>
      <c r="O227" s="2"/>
      <c r="P227" s="2"/>
      <c r="Q227" s="2"/>
      <c r="R227" s="2"/>
    </row>
    <row r="228" spans="1:18" x14ac:dyDescent="0.4">
      <c r="A228" s="2"/>
      <c r="B228" s="2"/>
      <c r="C228" s="72"/>
      <c r="D228" s="72"/>
      <c r="E228" s="72"/>
      <c r="F228" s="72"/>
      <c r="G228" s="72"/>
      <c r="H228" s="72"/>
      <c r="I228" s="72"/>
      <c r="J228" s="72"/>
      <c r="K228" s="179"/>
      <c r="L228" s="179"/>
      <c r="M228" s="73"/>
      <c r="N228" s="2"/>
      <c r="O228" s="2"/>
      <c r="P228" s="2"/>
      <c r="Q228" s="2"/>
      <c r="R228" s="2"/>
    </row>
    <row r="229" spans="1:18" x14ac:dyDescent="0.4">
      <c r="A229" s="2"/>
      <c r="B229" s="2"/>
      <c r="C229" s="72"/>
      <c r="D229" s="72"/>
      <c r="E229" s="72"/>
      <c r="F229" s="72"/>
      <c r="G229" s="72"/>
      <c r="H229" s="72"/>
      <c r="I229" s="72"/>
      <c r="J229" s="72"/>
      <c r="K229" s="179"/>
      <c r="L229" s="179"/>
      <c r="M229" s="73"/>
      <c r="N229" s="2"/>
      <c r="O229" s="2"/>
      <c r="P229" s="2"/>
      <c r="Q229" s="2"/>
      <c r="R229" s="2"/>
    </row>
    <row r="230" spans="1:18" x14ac:dyDescent="0.4">
      <c r="A230" s="2"/>
      <c r="B230" s="2"/>
      <c r="C230" s="72"/>
      <c r="D230" s="72"/>
      <c r="E230" s="72"/>
      <c r="F230" s="72"/>
      <c r="G230" s="72"/>
      <c r="H230" s="72"/>
      <c r="I230" s="72"/>
      <c r="J230" s="72"/>
      <c r="K230" s="179"/>
      <c r="L230" s="179"/>
      <c r="M230" s="73"/>
      <c r="N230" s="2"/>
      <c r="O230" s="2"/>
      <c r="P230" s="2"/>
      <c r="Q230" s="2"/>
      <c r="R230" s="2"/>
    </row>
    <row r="231" spans="1:18" x14ac:dyDescent="0.4">
      <c r="A231" s="2"/>
      <c r="B231" s="2"/>
      <c r="C231" s="72"/>
      <c r="D231" s="72"/>
      <c r="E231" s="72"/>
      <c r="F231" s="72"/>
      <c r="G231" s="72"/>
      <c r="H231" s="72"/>
      <c r="I231" s="72"/>
      <c r="J231" s="72"/>
      <c r="K231" s="179"/>
      <c r="L231" s="179"/>
      <c r="M231" s="73"/>
      <c r="N231" s="2"/>
      <c r="O231" s="2"/>
      <c r="P231" s="2"/>
      <c r="Q231" s="2"/>
      <c r="R231" s="2"/>
    </row>
    <row r="232" spans="1:18" x14ac:dyDescent="0.4">
      <c r="A232" s="2"/>
      <c r="B232" s="2"/>
      <c r="C232" s="72"/>
      <c r="D232" s="72"/>
      <c r="E232" s="72"/>
      <c r="F232" s="72"/>
      <c r="G232" s="72"/>
      <c r="H232" s="72"/>
      <c r="I232" s="72"/>
      <c r="J232" s="72"/>
      <c r="K232" s="179"/>
      <c r="L232" s="179"/>
      <c r="M232" s="73"/>
      <c r="N232" s="2"/>
      <c r="O232" s="2"/>
      <c r="P232" s="2"/>
      <c r="Q232" s="2"/>
      <c r="R232" s="2"/>
    </row>
    <row r="233" spans="1:18" x14ac:dyDescent="0.4">
      <c r="A233" s="2"/>
      <c r="B233" s="2"/>
      <c r="C233" s="72"/>
      <c r="D233" s="72"/>
      <c r="E233" s="72"/>
      <c r="F233" s="72"/>
      <c r="G233" s="72"/>
      <c r="H233" s="72"/>
      <c r="I233" s="72"/>
      <c r="J233" s="72"/>
      <c r="K233" s="179"/>
      <c r="L233" s="179"/>
      <c r="M233" s="73"/>
      <c r="N233" s="2"/>
      <c r="O233" s="2"/>
      <c r="P233" s="2"/>
      <c r="Q233" s="2"/>
      <c r="R233" s="2"/>
    </row>
    <row r="234" spans="1:18" x14ac:dyDescent="0.4">
      <c r="A234" s="2"/>
      <c r="B234" s="2"/>
      <c r="C234" s="72"/>
      <c r="D234" s="72"/>
      <c r="E234" s="72"/>
      <c r="F234" s="72"/>
      <c r="G234" s="72"/>
      <c r="H234" s="72"/>
      <c r="I234" s="72"/>
      <c r="J234" s="72"/>
      <c r="K234" s="179"/>
      <c r="L234" s="179"/>
      <c r="M234" s="73"/>
      <c r="N234" s="2"/>
      <c r="O234" s="2"/>
      <c r="P234" s="2"/>
      <c r="Q234" s="2"/>
      <c r="R234" s="2"/>
    </row>
    <row r="235" spans="1:18" x14ac:dyDescent="0.4">
      <c r="A235" s="2"/>
      <c r="B235" s="2"/>
      <c r="C235" s="72"/>
      <c r="D235" s="72"/>
      <c r="E235" s="72"/>
      <c r="F235" s="72"/>
      <c r="G235" s="72"/>
      <c r="H235" s="72"/>
      <c r="I235" s="72"/>
      <c r="J235" s="72"/>
      <c r="K235" s="179"/>
      <c r="L235" s="179"/>
      <c r="M235" s="73"/>
      <c r="N235" s="2"/>
      <c r="O235" s="2"/>
      <c r="P235" s="2"/>
      <c r="Q235" s="2"/>
      <c r="R235" s="2"/>
    </row>
    <row r="236" spans="1:18" x14ac:dyDescent="0.4">
      <c r="A236" s="2"/>
      <c r="B236" s="2"/>
      <c r="C236" s="72"/>
      <c r="D236" s="72"/>
      <c r="E236" s="72"/>
      <c r="F236" s="72"/>
      <c r="G236" s="72"/>
      <c r="H236" s="72"/>
      <c r="I236" s="72"/>
      <c r="J236" s="72"/>
      <c r="K236" s="179"/>
      <c r="L236" s="179"/>
      <c r="M236" s="73"/>
      <c r="N236" s="2"/>
      <c r="O236" s="2"/>
      <c r="P236" s="2"/>
      <c r="Q236" s="2"/>
      <c r="R236" s="2"/>
    </row>
    <row r="237" spans="1:18" x14ac:dyDescent="0.4">
      <c r="A237" s="2"/>
      <c r="B237" s="2"/>
      <c r="C237" s="72"/>
      <c r="D237" s="72"/>
      <c r="E237" s="72"/>
      <c r="F237" s="72"/>
      <c r="G237" s="72"/>
      <c r="H237" s="72"/>
      <c r="I237" s="72"/>
      <c r="J237" s="72"/>
      <c r="K237" s="179"/>
      <c r="L237" s="179"/>
      <c r="M237" s="73"/>
      <c r="N237" s="2"/>
      <c r="O237" s="2"/>
      <c r="P237" s="2"/>
      <c r="Q237" s="2"/>
      <c r="R237" s="2"/>
    </row>
    <row r="238" spans="1:18" x14ac:dyDescent="0.4">
      <c r="A238" s="2"/>
      <c r="B238" s="2"/>
      <c r="C238" s="72"/>
      <c r="D238" s="72"/>
      <c r="E238" s="72"/>
      <c r="F238" s="72"/>
      <c r="G238" s="72"/>
      <c r="H238" s="72"/>
      <c r="I238" s="72"/>
      <c r="J238" s="72"/>
      <c r="K238" s="179"/>
      <c r="L238" s="179"/>
      <c r="M238" s="73"/>
      <c r="N238" s="2"/>
      <c r="O238" s="2"/>
      <c r="P238" s="2"/>
      <c r="Q238" s="2"/>
      <c r="R238" s="2"/>
    </row>
    <row r="239" spans="1:18" x14ac:dyDescent="0.4">
      <c r="A239" s="2"/>
      <c r="B239" s="2"/>
      <c r="C239" s="72"/>
      <c r="D239" s="72"/>
      <c r="E239" s="72"/>
      <c r="F239" s="72"/>
      <c r="G239" s="72"/>
      <c r="H239" s="72"/>
      <c r="I239" s="72"/>
      <c r="J239" s="72"/>
      <c r="K239" s="179"/>
      <c r="L239" s="179"/>
      <c r="M239" s="73"/>
      <c r="N239" s="2"/>
      <c r="O239" s="2"/>
      <c r="P239" s="2"/>
      <c r="Q239" s="2"/>
      <c r="R239" s="2"/>
    </row>
    <row r="240" spans="1:18" x14ac:dyDescent="0.4">
      <c r="A240" s="2"/>
      <c r="B240" s="2"/>
      <c r="C240" s="72"/>
      <c r="D240" s="72"/>
      <c r="E240" s="72"/>
      <c r="F240" s="72"/>
      <c r="G240" s="72"/>
      <c r="H240" s="72"/>
      <c r="I240" s="72"/>
      <c r="J240" s="72"/>
      <c r="K240" s="179"/>
      <c r="L240" s="179"/>
      <c r="M240" s="73"/>
      <c r="N240" s="2"/>
      <c r="O240" s="2"/>
      <c r="P240" s="2"/>
      <c r="Q240" s="2"/>
      <c r="R240" s="2"/>
    </row>
    <row r="241" spans="1:18" x14ac:dyDescent="0.4">
      <c r="A241" s="2"/>
      <c r="B241" s="2"/>
      <c r="C241" s="72"/>
      <c r="D241" s="72"/>
      <c r="E241" s="72"/>
      <c r="F241" s="72"/>
      <c r="G241" s="72"/>
      <c r="H241" s="72"/>
      <c r="I241" s="72"/>
      <c r="J241" s="72"/>
      <c r="K241" s="179"/>
      <c r="L241" s="179"/>
      <c r="M241" s="73"/>
      <c r="N241" s="2"/>
      <c r="O241" s="2"/>
      <c r="P241" s="2"/>
      <c r="Q241" s="2"/>
      <c r="R241" s="2"/>
    </row>
    <row r="242" spans="1:18" x14ac:dyDescent="0.4">
      <c r="A242" s="2"/>
      <c r="B242" s="2"/>
      <c r="C242" s="72"/>
      <c r="D242" s="72"/>
      <c r="E242" s="72"/>
      <c r="F242" s="72"/>
      <c r="G242" s="72"/>
      <c r="H242" s="72"/>
      <c r="I242" s="72"/>
      <c r="J242" s="72"/>
      <c r="K242" s="179"/>
      <c r="L242" s="179"/>
      <c r="M242" s="73"/>
      <c r="N242" s="2"/>
      <c r="O242" s="2"/>
      <c r="P242" s="2"/>
      <c r="Q242" s="2"/>
      <c r="R242" s="2"/>
    </row>
    <row r="243" spans="1:18" x14ac:dyDescent="0.4">
      <c r="A243" s="2"/>
      <c r="B243" s="2"/>
      <c r="C243" s="72"/>
      <c r="D243" s="72"/>
      <c r="E243" s="72"/>
      <c r="F243" s="72"/>
      <c r="G243" s="72"/>
      <c r="H243" s="72"/>
      <c r="I243" s="72"/>
      <c r="J243" s="72"/>
      <c r="K243" s="179"/>
      <c r="L243" s="179"/>
      <c r="M243" s="73"/>
      <c r="N243" s="2"/>
      <c r="O243" s="2"/>
      <c r="P243" s="2"/>
      <c r="Q243" s="2"/>
      <c r="R243" s="2"/>
    </row>
    <row r="244" spans="1:18" x14ac:dyDescent="0.4">
      <c r="A244" s="2"/>
      <c r="B244" s="2"/>
      <c r="C244" s="72"/>
      <c r="D244" s="72"/>
      <c r="E244" s="72"/>
      <c r="F244" s="72"/>
      <c r="G244" s="72"/>
      <c r="H244" s="72"/>
      <c r="I244" s="72"/>
      <c r="J244" s="72"/>
      <c r="K244" s="179"/>
      <c r="L244" s="179"/>
      <c r="M244" s="73"/>
      <c r="N244" s="2"/>
      <c r="O244" s="2"/>
      <c r="P244" s="2"/>
      <c r="Q244" s="2"/>
      <c r="R244" s="2"/>
    </row>
    <row r="245" spans="1:18" x14ac:dyDescent="0.4">
      <c r="A245" s="2"/>
      <c r="B245" s="2"/>
      <c r="C245" s="72"/>
      <c r="D245" s="72"/>
      <c r="E245" s="72"/>
      <c r="F245" s="72"/>
      <c r="G245" s="72"/>
      <c r="H245" s="72"/>
      <c r="I245" s="72"/>
      <c r="J245" s="72"/>
      <c r="K245" s="179"/>
      <c r="L245" s="179"/>
      <c r="M245" s="73"/>
      <c r="N245" s="2"/>
      <c r="O245" s="2"/>
      <c r="P245" s="2"/>
      <c r="Q245" s="2"/>
      <c r="R245" s="2"/>
    </row>
    <row r="246" spans="1:18" x14ac:dyDescent="0.4">
      <c r="A246" s="2"/>
      <c r="B246" s="2"/>
      <c r="C246" s="72"/>
      <c r="D246" s="72"/>
      <c r="E246" s="72"/>
      <c r="F246" s="72"/>
      <c r="G246" s="72"/>
      <c r="H246" s="72"/>
      <c r="I246" s="72"/>
      <c r="J246" s="72"/>
      <c r="K246" s="179"/>
      <c r="L246" s="179"/>
      <c r="M246" s="73"/>
      <c r="N246" s="2"/>
      <c r="O246" s="2"/>
      <c r="P246" s="2"/>
      <c r="Q246" s="2"/>
      <c r="R246" s="2"/>
    </row>
    <row r="247" spans="1:18" x14ac:dyDescent="0.4">
      <c r="A247" s="2"/>
      <c r="B247" s="2"/>
      <c r="C247" s="72"/>
      <c r="D247" s="72"/>
      <c r="E247" s="72"/>
      <c r="F247" s="72"/>
      <c r="G247" s="72"/>
      <c r="H247" s="72"/>
      <c r="I247" s="72"/>
      <c r="J247" s="72"/>
      <c r="K247" s="179"/>
      <c r="L247" s="179"/>
      <c r="M247" s="73"/>
      <c r="N247" s="2"/>
      <c r="O247" s="2"/>
      <c r="P247" s="2"/>
      <c r="Q247" s="2"/>
      <c r="R247" s="2"/>
    </row>
    <row r="248" spans="1:18" x14ac:dyDescent="0.4">
      <c r="A248" s="2"/>
      <c r="B248" s="2"/>
      <c r="C248" s="72"/>
      <c r="D248" s="72"/>
      <c r="E248" s="72"/>
      <c r="F248" s="72"/>
      <c r="G248" s="72"/>
      <c r="H248" s="72"/>
      <c r="I248" s="72"/>
      <c r="J248" s="72"/>
      <c r="K248" s="179"/>
      <c r="L248" s="179"/>
      <c r="M248" s="73"/>
      <c r="N248" s="2"/>
      <c r="O248" s="2"/>
      <c r="P248" s="2"/>
      <c r="Q248" s="2"/>
      <c r="R248" s="2"/>
    </row>
    <row r="249" spans="1:18" x14ac:dyDescent="0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179"/>
      <c r="L249" s="179"/>
      <c r="M249" s="73"/>
      <c r="N249" s="2"/>
      <c r="O249" s="2"/>
      <c r="P249" s="2"/>
      <c r="Q249" s="2"/>
      <c r="R249" s="2"/>
    </row>
    <row r="250" spans="1:18" x14ac:dyDescent="0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179"/>
      <c r="L250" s="179"/>
      <c r="M250" s="73"/>
      <c r="N250" s="2"/>
      <c r="O250" s="2"/>
      <c r="P250" s="2"/>
      <c r="Q250" s="2"/>
      <c r="R250" s="2"/>
    </row>
    <row r="251" spans="1:18" x14ac:dyDescent="0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179"/>
      <c r="L251" s="179"/>
      <c r="M251" s="73"/>
      <c r="N251" s="2"/>
      <c r="O251" s="2"/>
      <c r="P251" s="2"/>
      <c r="Q251" s="2"/>
      <c r="R251" s="2"/>
    </row>
    <row r="252" spans="1:18" x14ac:dyDescent="0.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179"/>
      <c r="L252" s="179"/>
      <c r="M252" s="73"/>
      <c r="N252" s="2"/>
      <c r="O252" s="2"/>
      <c r="P252" s="2"/>
      <c r="Q252" s="2"/>
      <c r="R252" s="2"/>
    </row>
    <row r="253" spans="1:18" x14ac:dyDescent="0.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179"/>
      <c r="L253" s="179"/>
      <c r="M253" s="73"/>
      <c r="N253" s="2"/>
      <c r="O253" s="2"/>
      <c r="P253" s="2"/>
      <c r="Q253" s="2"/>
      <c r="R253" s="2"/>
    </row>
    <row r="254" spans="1:18" x14ac:dyDescent="0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179"/>
      <c r="L254" s="179"/>
      <c r="M254" s="73"/>
      <c r="N254" s="2"/>
      <c r="O254" s="2"/>
      <c r="P254" s="2"/>
      <c r="Q254" s="2"/>
      <c r="R254" s="2"/>
    </row>
    <row r="255" spans="1:18" x14ac:dyDescent="0.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179"/>
      <c r="L255" s="179"/>
      <c r="M255" s="73"/>
      <c r="N255" s="2"/>
      <c r="O255" s="2"/>
      <c r="P255" s="2"/>
      <c r="Q255" s="2"/>
      <c r="R255" s="2"/>
    </row>
    <row r="256" spans="1:18" x14ac:dyDescent="0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179"/>
      <c r="L256" s="179"/>
      <c r="M256" s="73"/>
      <c r="N256" s="2"/>
      <c r="O256" s="2"/>
      <c r="P256" s="2"/>
      <c r="Q256" s="2"/>
      <c r="R256" s="2"/>
    </row>
    <row r="257" spans="1:18" x14ac:dyDescent="0.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179"/>
      <c r="L257" s="179"/>
      <c r="M257" s="73"/>
      <c r="N257" s="2"/>
      <c r="O257" s="2"/>
      <c r="P257" s="2"/>
      <c r="Q257" s="2"/>
      <c r="R257" s="2"/>
    </row>
    <row r="258" spans="1:18" x14ac:dyDescent="0.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179"/>
      <c r="L258" s="179"/>
      <c r="M258" s="73"/>
      <c r="N258" s="2"/>
      <c r="O258" s="2"/>
      <c r="P258" s="2"/>
      <c r="Q258" s="2"/>
      <c r="R258" s="2"/>
    </row>
    <row r="259" spans="1:18" x14ac:dyDescent="0.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179"/>
      <c r="L259" s="179"/>
      <c r="M259" s="73"/>
      <c r="N259" s="2"/>
      <c r="O259" s="2"/>
      <c r="P259" s="2"/>
      <c r="Q259" s="2"/>
      <c r="R259" s="2"/>
    </row>
    <row r="260" spans="1:18" x14ac:dyDescent="0.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179"/>
      <c r="L260" s="179"/>
      <c r="M260" s="73"/>
      <c r="N260" s="2"/>
      <c r="O260" s="2"/>
      <c r="P260" s="2"/>
      <c r="Q260" s="2"/>
      <c r="R260" s="2"/>
    </row>
    <row r="261" spans="1:18" x14ac:dyDescent="0.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179"/>
      <c r="L261" s="179"/>
      <c r="M261" s="73"/>
      <c r="N261" s="2"/>
      <c r="O261" s="2"/>
      <c r="P261" s="2"/>
      <c r="Q261" s="2"/>
      <c r="R261" s="2"/>
    </row>
    <row r="262" spans="1:18" x14ac:dyDescent="0.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179"/>
      <c r="L262" s="179"/>
      <c r="M262" s="73"/>
      <c r="N262" s="2"/>
      <c r="O262" s="2"/>
      <c r="P262" s="2"/>
      <c r="Q262" s="2"/>
      <c r="R262" s="2"/>
    </row>
    <row r="263" spans="1:18" x14ac:dyDescent="0.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179"/>
      <c r="L263" s="179"/>
      <c r="M263" s="73"/>
      <c r="N263" s="2"/>
      <c r="O263" s="2"/>
      <c r="P263" s="2"/>
      <c r="Q263" s="2"/>
      <c r="R263" s="2"/>
    </row>
    <row r="264" spans="1:18" x14ac:dyDescent="0.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179"/>
      <c r="L264" s="179"/>
      <c r="M264" s="73"/>
      <c r="N264" s="2"/>
      <c r="O264" s="2"/>
      <c r="P264" s="2"/>
      <c r="Q264" s="2"/>
      <c r="R264" s="2"/>
    </row>
    <row r="265" spans="1:18" x14ac:dyDescent="0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179"/>
      <c r="L265" s="179"/>
      <c r="M265" s="73"/>
      <c r="N265" s="2"/>
      <c r="O265" s="2"/>
      <c r="P265" s="2"/>
      <c r="Q265" s="2"/>
      <c r="R265" s="2"/>
    </row>
    <row r="266" spans="1:18" x14ac:dyDescent="0.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179"/>
      <c r="L266" s="179"/>
      <c r="M266" s="73"/>
      <c r="N266" s="2"/>
      <c r="O266" s="2"/>
      <c r="P266" s="2"/>
      <c r="Q266" s="2"/>
      <c r="R266" s="2"/>
    </row>
    <row r="267" spans="1:18" x14ac:dyDescent="0.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179"/>
      <c r="L267" s="179"/>
      <c r="M267" s="73"/>
      <c r="N267" s="2"/>
      <c r="O267" s="2"/>
      <c r="P267" s="2"/>
      <c r="Q267" s="2"/>
      <c r="R267" s="2"/>
    </row>
    <row r="268" spans="1:18" x14ac:dyDescent="0.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179"/>
      <c r="L268" s="179"/>
      <c r="M268" s="73"/>
      <c r="N268" s="2"/>
      <c r="O268" s="2"/>
      <c r="P268" s="2"/>
      <c r="Q268" s="2"/>
      <c r="R268" s="2"/>
    </row>
    <row r="269" spans="1:18" x14ac:dyDescent="0.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179"/>
      <c r="L269" s="179"/>
      <c r="M269" s="73"/>
      <c r="N269" s="2"/>
      <c r="O269" s="2"/>
      <c r="P269" s="2"/>
      <c r="Q269" s="2"/>
      <c r="R269" s="2"/>
    </row>
    <row r="270" spans="1:18" x14ac:dyDescent="0.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179"/>
      <c r="L270" s="179"/>
      <c r="M270" s="73"/>
      <c r="N270" s="2"/>
      <c r="O270" s="2"/>
      <c r="P270" s="2"/>
      <c r="Q270" s="2"/>
      <c r="R270" s="2"/>
    </row>
    <row r="271" spans="1:18" x14ac:dyDescent="0.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179"/>
      <c r="L271" s="179"/>
      <c r="M271" s="73"/>
      <c r="N271" s="2"/>
      <c r="O271" s="2"/>
      <c r="P271" s="2"/>
      <c r="Q271" s="2"/>
      <c r="R271" s="2"/>
    </row>
    <row r="272" spans="1:18" x14ac:dyDescent="0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179"/>
      <c r="L272" s="179"/>
      <c r="M272" s="73"/>
      <c r="N272" s="2"/>
      <c r="O272" s="2"/>
      <c r="P272" s="2"/>
      <c r="Q272" s="2"/>
      <c r="R272" s="2"/>
    </row>
    <row r="273" spans="1:18" x14ac:dyDescent="0.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179"/>
      <c r="L273" s="179"/>
      <c r="M273" s="73"/>
      <c r="N273" s="2"/>
      <c r="O273" s="2"/>
      <c r="P273" s="2"/>
      <c r="Q273" s="2"/>
      <c r="R273" s="2"/>
    </row>
    <row r="274" spans="1:18" x14ac:dyDescent="0.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179"/>
      <c r="L274" s="179"/>
      <c r="M274" s="73"/>
      <c r="N274" s="2"/>
      <c r="O274" s="2"/>
      <c r="P274" s="2"/>
      <c r="Q274" s="2"/>
      <c r="R274" s="2"/>
    </row>
    <row r="275" spans="1:18" x14ac:dyDescent="0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179"/>
      <c r="L275" s="179"/>
      <c r="M275" s="73"/>
      <c r="N275" s="2"/>
      <c r="O275" s="2"/>
      <c r="P275" s="2"/>
      <c r="Q275" s="2"/>
      <c r="R275" s="2"/>
    </row>
    <row r="276" spans="1:18" x14ac:dyDescent="0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179"/>
      <c r="L276" s="179"/>
      <c r="M276" s="73"/>
      <c r="N276" s="2"/>
      <c r="O276" s="2"/>
      <c r="P276" s="2"/>
      <c r="Q276" s="2"/>
      <c r="R276" s="2"/>
    </row>
    <row r="277" spans="1:18" x14ac:dyDescent="0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179"/>
      <c r="L277" s="179"/>
      <c r="M277" s="73"/>
      <c r="N277" s="2"/>
      <c r="O277" s="2"/>
      <c r="P277" s="2"/>
      <c r="Q277" s="2"/>
      <c r="R277" s="2"/>
    </row>
    <row r="278" spans="1:18" x14ac:dyDescent="0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179"/>
      <c r="L278" s="179"/>
      <c r="M278" s="73"/>
      <c r="N278" s="2"/>
      <c r="O278" s="2"/>
      <c r="P278" s="2"/>
      <c r="Q278" s="2"/>
      <c r="R278" s="2"/>
    </row>
    <row r="279" spans="1:18" x14ac:dyDescent="0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179"/>
      <c r="L279" s="179"/>
      <c r="M279" s="73"/>
      <c r="N279" s="2"/>
      <c r="O279" s="2"/>
      <c r="P279" s="2"/>
      <c r="Q279" s="2"/>
      <c r="R279" s="2"/>
    </row>
    <row r="280" spans="1:18" x14ac:dyDescent="0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179"/>
      <c r="L280" s="179"/>
      <c r="M280" s="73"/>
      <c r="N280" s="2"/>
      <c r="O280" s="2"/>
      <c r="P280" s="2"/>
      <c r="Q280" s="2"/>
      <c r="R280" s="2"/>
    </row>
    <row r="281" spans="1:18" x14ac:dyDescent="0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179"/>
      <c r="L281" s="179"/>
      <c r="M281" s="73"/>
      <c r="N281" s="2"/>
      <c r="O281" s="2"/>
      <c r="P281" s="2"/>
      <c r="Q281" s="2"/>
      <c r="R281" s="2"/>
    </row>
    <row r="282" spans="1:18" x14ac:dyDescent="0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179"/>
      <c r="L282" s="179"/>
      <c r="M282" s="73"/>
      <c r="N282" s="2"/>
      <c r="O282" s="2"/>
      <c r="P282" s="2"/>
      <c r="Q282" s="2"/>
      <c r="R282" s="2"/>
    </row>
    <row r="283" spans="1:18" x14ac:dyDescent="0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179"/>
      <c r="L283" s="179"/>
      <c r="M283" s="73"/>
      <c r="N283" s="2"/>
      <c r="O283" s="2"/>
      <c r="P283" s="2"/>
      <c r="Q283" s="2"/>
      <c r="R283" s="2"/>
    </row>
    <row r="284" spans="1:18" x14ac:dyDescent="0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179"/>
      <c r="L284" s="179"/>
      <c r="M284" s="73"/>
      <c r="N284" s="2"/>
      <c r="O284" s="2"/>
      <c r="P284" s="2"/>
      <c r="Q284" s="2"/>
      <c r="R284" s="2"/>
    </row>
    <row r="285" spans="1:18" x14ac:dyDescent="0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179"/>
      <c r="L285" s="179"/>
      <c r="M285" s="73"/>
      <c r="N285" s="2"/>
      <c r="O285" s="2"/>
      <c r="P285" s="2"/>
      <c r="Q285" s="2"/>
      <c r="R285" s="2"/>
    </row>
    <row r="286" spans="1:18" x14ac:dyDescent="0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179"/>
      <c r="L286" s="179"/>
      <c r="M286" s="73"/>
      <c r="N286" s="2"/>
      <c r="O286" s="2"/>
      <c r="P286" s="2"/>
      <c r="Q286" s="2"/>
      <c r="R286" s="2"/>
    </row>
    <row r="287" spans="1:18" x14ac:dyDescent="0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179"/>
      <c r="L287" s="179"/>
      <c r="M287" s="73"/>
      <c r="N287" s="2"/>
      <c r="O287" s="2"/>
      <c r="P287" s="2"/>
      <c r="Q287" s="2"/>
      <c r="R287" s="2"/>
    </row>
    <row r="288" spans="1:18" x14ac:dyDescent="0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179"/>
      <c r="L288" s="179"/>
      <c r="M288" s="73"/>
      <c r="N288" s="2"/>
      <c r="O288" s="2"/>
      <c r="P288" s="2"/>
      <c r="Q288" s="2"/>
      <c r="R288" s="2"/>
    </row>
    <row r="289" spans="1:18" x14ac:dyDescent="0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179"/>
      <c r="L289" s="179"/>
      <c r="M289" s="73"/>
      <c r="N289" s="2"/>
      <c r="O289" s="2"/>
      <c r="P289" s="2"/>
      <c r="Q289" s="2"/>
      <c r="R289" s="2"/>
    </row>
    <row r="290" spans="1:18" x14ac:dyDescent="0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179"/>
      <c r="L290" s="179"/>
      <c r="M290" s="73"/>
      <c r="N290" s="2"/>
      <c r="O290" s="2"/>
      <c r="P290" s="2"/>
      <c r="Q290" s="2"/>
      <c r="R290" s="2"/>
    </row>
    <row r="291" spans="1:18" x14ac:dyDescent="0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179"/>
      <c r="L291" s="179"/>
      <c r="M291" s="73"/>
      <c r="N291" s="2"/>
      <c r="O291" s="2"/>
      <c r="P291" s="2"/>
      <c r="Q291" s="2"/>
      <c r="R291" s="2"/>
    </row>
    <row r="292" spans="1:18" x14ac:dyDescent="0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179"/>
      <c r="L292" s="179"/>
      <c r="M292" s="73"/>
      <c r="N292" s="2"/>
      <c r="O292" s="2"/>
      <c r="P292" s="2"/>
      <c r="Q292" s="2"/>
      <c r="R292" s="2"/>
    </row>
    <row r="293" spans="1:18" x14ac:dyDescent="0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179"/>
      <c r="L293" s="179"/>
      <c r="M293" s="73"/>
      <c r="N293" s="2"/>
      <c r="O293" s="2"/>
      <c r="P293" s="2"/>
      <c r="Q293" s="2"/>
      <c r="R293" s="2"/>
    </row>
    <row r="294" spans="1:18" x14ac:dyDescent="0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79"/>
      <c r="L294" s="179"/>
      <c r="M294" s="73"/>
      <c r="N294" s="2"/>
      <c r="O294" s="2"/>
      <c r="P294" s="2"/>
      <c r="Q294" s="2"/>
      <c r="R294" s="2"/>
    </row>
    <row r="295" spans="1:18" x14ac:dyDescent="0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79"/>
      <c r="L295" s="179"/>
      <c r="M295" s="73"/>
      <c r="N295" s="2"/>
      <c r="O295" s="2"/>
      <c r="P295" s="2"/>
      <c r="Q295" s="2"/>
      <c r="R295" s="2"/>
    </row>
    <row r="296" spans="1:18" x14ac:dyDescent="0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179"/>
      <c r="L296" s="179"/>
      <c r="M296" s="73"/>
      <c r="N296" s="2"/>
      <c r="O296" s="2"/>
      <c r="P296" s="2"/>
      <c r="Q296" s="2"/>
      <c r="R296" s="2"/>
    </row>
    <row r="297" spans="1:18" x14ac:dyDescent="0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79"/>
      <c r="L297" s="179"/>
      <c r="M297" s="73"/>
      <c r="N297" s="2"/>
      <c r="O297" s="2"/>
      <c r="P297" s="2"/>
      <c r="Q297" s="2"/>
      <c r="R297" s="2"/>
    </row>
    <row r="298" spans="1:18" x14ac:dyDescent="0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79"/>
      <c r="L298" s="179"/>
      <c r="M298" s="73"/>
      <c r="N298" s="2"/>
      <c r="O298" s="2"/>
      <c r="P298" s="2"/>
      <c r="Q298" s="2"/>
      <c r="R298" s="2"/>
    </row>
    <row r="299" spans="1:18" x14ac:dyDescent="0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179"/>
      <c r="L299" s="179"/>
      <c r="M299" s="73"/>
      <c r="N299" s="2"/>
      <c r="O299" s="2"/>
      <c r="P299" s="2"/>
      <c r="Q299" s="2"/>
      <c r="R299" s="2"/>
    </row>
    <row r="300" spans="1:18" x14ac:dyDescent="0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179"/>
      <c r="L300" s="179"/>
      <c r="M300" s="73"/>
      <c r="N300" s="2"/>
      <c r="O300" s="2"/>
      <c r="P300" s="2"/>
      <c r="Q300" s="2"/>
      <c r="R300" s="2"/>
    </row>
    <row r="301" spans="1:18" x14ac:dyDescent="0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79"/>
      <c r="L301" s="179"/>
      <c r="M301" s="73"/>
      <c r="N301" s="2"/>
      <c r="O301" s="2"/>
      <c r="P301" s="2"/>
      <c r="Q301" s="2"/>
      <c r="R301" s="2"/>
    </row>
    <row r="302" spans="1:18" x14ac:dyDescent="0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79"/>
      <c r="L302" s="179"/>
      <c r="M302" s="73"/>
      <c r="N302" s="2"/>
      <c r="O302" s="2"/>
      <c r="P302" s="2"/>
      <c r="Q302" s="2"/>
      <c r="R302" s="2"/>
    </row>
    <row r="303" spans="1:18" x14ac:dyDescent="0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79"/>
      <c r="L303" s="179"/>
      <c r="M303" s="73"/>
      <c r="N303" s="2"/>
      <c r="O303" s="2"/>
      <c r="P303" s="2"/>
      <c r="Q303" s="2"/>
      <c r="R303" s="2"/>
    </row>
    <row r="304" spans="1:18" x14ac:dyDescent="0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79"/>
      <c r="L304" s="179"/>
      <c r="M304" s="73"/>
      <c r="N304" s="2"/>
      <c r="O304" s="2"/>
      <c r="P304" s="2"/>
      <c r="Q304" s="2"/>
      <c r="R304" s="2"/>
    </row>
    <row r="305" spans="1:18" x14ac:dyDescent="0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79"/>
      <c r="L305" s="179"/>
      <c r="M305" s="73"/>
      <c r="N305" s="2"/>
      <c r="O305" s="2"/>
      <c r="P305" s="2"/>
      <c r="Q305" s="2"/>
      <c r="R305" s="2"/>
    </row>
    <row r="306" spans="1:18" x14ac:dyDescent="0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79"/>
      <c r="L306" s="179"/>
      <c r="M306" s="73"/>
      <c r="N306" s="2"/>
      <c r="O306" s="2"/>
      <c r="P306" s="2"/>
      <c r="Q306" s="2"/>
      <c r="R306" s="2"/>
    </row>
    <row r="307" spans="1:18" x14ac:dyDescent="0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79"/>
      <c r="L307" s="179"/>
      <c r="M307" s="73"/>
      <c r="N307" s="2"/>
      <c r="O307" s="2"/>
      <c r="P307" s="2"/>
      <c r="Q307" s="2"/>
      <c r="R307" s="2"/>
    </row>
    <row r="308" spans="1:18" x14ac:dyDescent="0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79"/>
      <c r="L308" s="179"/>
      <c r="M308" s="73"/>
      <c r="N308" s="2"/>
      <c r="O308" s="2"/>
      <c r="P308" s="2"/>
      <c r="Q308" s="2"/>
      <c r="R308" s="2"/>
    </row>
    <row r="309" spans="1:18" x14ac:dyDescent="0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79"/>
      <c r="L309" s="179"/>
      <c r="M309" s="73"/>
      <c r="N309" s="2"/>
      <c r="O309" s="2"/>
      <c r="P309" s="2"/>
      <c r="Q309" s="2"/>
      <c r="R309" s="2"/>
    </row>
    <row r="310" spans="1:18" x14ac:dyDescent="0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79"/>
      <c r="L310" s="179"/>
      <c r="M310" s="73"/>
      <c r="N310" s="2"/>
      <c r="O310" s="2"/>
      <c r="P310" s="2"/>
      <c r="Q310" s="2"/>
      <c r="R310" s="2"/>
    </row>
    <row r="311" spans="1:18" x14ac:dyDescent="0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79"/>
      <c r="L311" s="179"/>
      <c r="M311" s="73"/>
      <c r="N311" s="2"/>
      <c r="O311" s="2"/>
      <c r="P311" s="2"/>
      <c r="Q311" s="2"/>
      <c r="R311" s="2"/>
    </row>
    <row r="312" spans="1:18" x14ac:dyDescent="0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79"/>
      <c r="L312" s="179"/>
      <c r="M312" s="73"/>
      <c r="N312" s="2"/>
      <c r="O312" s="2"/>
      <c r="P312" s="2"/>
      <c r="Q312" s="2"/>
      <c r="R312" s="2"/>
    </row>
    <row r="313" spans="1:18" x14ac:dyDescent="0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79"/>
      <c r="L313" s="179"/>
      <c r="M313" s="73"/>
      <c r="N313" s="2"/>
      <c r="O313" s="2"/>
      <c r="P313" s="2"/>
      <c r="Q313" s="2"/>
      <c r="R313" s="2"/>
    </row>
    <row r="314" spans="1:18" x14ac:dyDescent="0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79"/>
      <c r="L314" s="179"/>
      <c r="M314" s="73"/>
      <c r="N314" s="2"/>
      <c r="O314" s="2"/>
      <c r="P314" s="2"/>
      <c r="Q314" s="2"/>
      <c r="R314" s="2"/>
    </row>
    <row r="315" spans="1:18" x14ac:dyDescent="0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79"/>
      <c r="L315" s="179"/>
      <c r="M315" s="73"/>
      <c r="N315" s="2"/>
      <c r="O315" s="2"/>
      <c r="P315" s="2"/>
      <c r="Q315" s="2"/>
      <c r="R315" s="2"/>
    </row>
    <row r="316" spans="1:18" x14ac:dyDescent="0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79"/>
      <c r="L316" s="179"/>
      <c r="M316" s="73"/>
      <c r="N316" s="2"/>
      <c r="O316" s="2"/>
      <c r="P316" s="2"/>
      <c r="Q316" s="2"/>
      <c r="R316" s="2"/>
    </row>
    <row r="317" spans="1:18" x14ac:dyDescent="0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79"/>
      <c r="L317" s="179"/>
      <c r="M317" s="73"/>
      <c r="N317" s="2"/>
      <c r="O317" s="2"/>
      <c r="P317" s="2"/>
      <c r="Q317" s="2"/>
      <c r="R317" s="2"/>
    </row>
    <row r="318" spans="1:18" x14ac:dyDescent="0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79"/>
      <c r="L318" s="179"/>
      <c r="M318" s="73"/>
      <c r="N318" s="2"/>
      <c r="O318" s="2"/>
      <c r="P318" s="2"/>
      <c r="Q318" s="2"/>
      <c r="R318" s="2"/>
    </row>
    <row r="319" spans="1:18" x14ac:dyDescent="0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79"/>
      <c r="L319" s="179"/>
      <c r="M319" s="73"/>
      <c r="N319" s="2"/>
      <c r="O319" s="2"/>
      <c r="P319" s="2"/>
      <c r="Q319" s="2"/>
      <c r="R319" s="2"/>
    </row>
    <row r="320" spans="1:18" x14ac:dyDescent="0.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79"/>
      <c r="L320" s="179"/>
      <c r="M320" s="73"/>
      <c r="N320" s="2"/>
      <c r="O320" s="2"/>
      <c r="P320" s="2"/>
      <c r="Q320" s="2"/>
      <c r="R320" s="2"/>
    </row>
    <row r="321" spans="1:18" x14ac:dyDescent="0.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79"/>
      <c r="L321" s="179"/>
      <c r="M321" s="73"/>
      <c r="N321" s="2"/>
      <c r="O321" s="2"/>
      <c r="P321" s="2"/>
      <c r="Q321" s="2"/>
      <c r="R321" s="2"/>
    </row>
    <row r="322" spans="1:18" x14ac:dyDescent="0.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79"/>
      <c r="L322" s="179"/>
      <c r="M322" s="73"/>
      <c r="N322" s="2"/>
      <c r="O322" s="2"/>
      <c r="P322" s="2"/>
      <c r="Q322" s="2"/>
      <c r="R322" s="2"/>
    </row>
    <row r="323" spans="1:18" x14ac:dyDescent="0.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79"/>
      <c r="L323" s="179"/>
      <c r="M323" s="73"/>
      <c r="N323" s="2"/>
      <c r="O323" s="2"/>
      <c r="P323" s="2"/>
      <c r="Q323" s="2"/>
      <c r="R323" s="2"/>
    </row>
    <row r="324" spans="1:18" x14ac:dyDescent="0.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79"/>
      <c r="L324" s="179"/>
      <c r="M324" s="73"/>
      <c r="N324" s="2"/>
      <c r="O324" s="2"/>
      <c r="P324" s="2"/>
      <c r="Q324" s="2"/>
      <c r="R324" s="2"/>
    </row>
    <row r="325" spans="1:18" x14ac:dyDescent="0.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79"/>
      <c r="L325" s="179"/>
      <c r="M325" s="73"/>
      <c r="N325" s="2"/>
      <c r="O325" s="2"/>
      <c r="P325" s="2"/>
      <c r="Q325" s="2"/>
      <c r="R325" s="2"/>
    </row>
    <row r="326" spans="1:18" x14ac:dyDescent="0.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79"/>
      <c r="L326" s="179"/>
      <c r="M326" s="73"/>
      <c r="N326" s="2"/>
      <c r="O326" s="2"/>
      <c r="P326" s="2"/>
      <c r="Q326" s="2"/>
      <c r="R326" s="2"/>
    </row>
    <row r="327" spans="1:18" x14ac:dyDescent="0.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79"/>
      <c r="L327" s="179"/>
      <c r="M327" s="73"/>
      <c r="N327" s="2"/>
      <c r="O327" s="2"/>
      <c r="P327" s="2"/>
      <c r="Q327" s="2"/>
      <c r="R327" s="2"/>
    </row>
    <row r="328" spans="1:18" x14ac:dyDescent="0.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79"/>
      <c r="L328" s="179"/>
      <c r="M328" s="73"/>
      <c r="N328" s="2"/>
      <c r="O328" s="2"/>
      <c r="P328" s="2"/>
      <c r="Q328" s="2"/>
      <c r="R328" s="2"/>
    </row>
    <row r="329" spans="1:18" x14ac:dyDescent="0.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79"/>
      <c r="L329" s="179"/>
      <c r="M329" s="73"/>
      <c r="N329" s="2"/>
      <c r="O329" s="2"/>
      <c r="P329" s="2"/>
      <c r="Q329" s="2"/>
      <c r="R329" s="2"/>
    </row>
    <row r="330" spans="1:18" x14ac:dyDescent="0.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79"/>
      <c r="L330" s="179"/>
      <c r="M330" s="73"/>
      <c r="N330" s="2"/>
      <c r="O330" s="2"/>
      <c r="P330" s="2"/>
      <c r="Q330" s="2"/>
      <c r="R330" s="2"/>
    </row>
    <row r="331" spans="1:18" x14ac:dyDescent="0.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79"/>
      <c r="L331" s="179"/>
      <c r="M331" s="73"/>
      <c r="N331" s="2"/>
      <c r="O331" s="2"/>
      <c r="P331" s="2"/>
      <c r="Q331" s="2"/>
      <c r="R331" s="2"/>
    </row>
    <row r="332" spans="1:18" x14ac:dyDescent="0.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79"/>
      <c r="L332" s="179"/>
      <c r="M332" s="73"/>
      <c r="N332" s="2"/>
      <c r="O332" s="2"/>
      <c r="P332" s="2"/>
      <c r="Q332" s="2"/>
      <c r="R332" s="2"/>
    </row>
    <row r="333" spans="1:18" x14ac:dyDescent="0.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79"/>
      <c r="L333" s="179"/>
      <c r="M333" s="73"/>
      <c r="N333" s="2"/>
      <c r="O333" s="2"/>
      <c r="P333" s="2"/>
      <c r="Q333" s="2"/>
      <c r="R333" s="2"/>
    </row>
    <row r="334" spans="1:18" x14ac:dyDescent="0.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79"/>
      <c r="L334" s="179"/>
      <c r="M334" s="73"/>
      <c r="N334" s="2"/>
      <c r="O334" s="2"/>
      <c r="P334" s="2"/>
      <c r="Q334" s="2"/>
      <c r="R334" s="2"/>
    </row>
    <row r="335" spans="1:18" x14ac:dyDescent="0.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79"/>
      <c r="L335" s="179"/>
      <c r="M335" s="73"/>
      <c r="N335" s="2"/>
      <c r="O335" s="2"/>
      <c r="P335" s="2"/>
      <c r="Q335" s="2"/>
      <c r="R335" s="2"/>
    </row>
    <row r="336" spans="1:18" x14ac:dyDescent="0.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79"/>
      <c r="L336" s="179"/>
      <c r="M336" s="73"/>
      <c r="N336" s="2"/>
      <c r="O336" s="2"/>
      <c r="P336" s="2"/>
      <c r="Q336" s="2"/>
      <c r="R336" s="2"/>
    </row>
    <row r="337" spans="1:18" x14ac:dyDescent="0.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79"/>
      <c r="L337" s="179"/>
      <c r="M337" s="73"/>
      <c r="N337" s="2"/>
      <c r="O337" s="2"/>
      <c r="P337" s="2"/>
      <c r="Q337" s="2"/>
      <c r="R337" s="2"/>
    </row>
    <row r="338" spans="1:18" x14ac:dyDescent="0.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79"/>
      <c r="L338" s="179"/>
      <c r="M338" s="73"/>
      <c r="N338" s="2"/>
      <c r="O338" s="2"/>
      <c r="P338" s="2"/>
      <c r="Q338" s="2"/>
      <c r="R338" s="2"/>
    </row>
    <row r="339" spans="1:18" x14ac:dyDescent="0.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79"/>
      <c r="L339" s="179"/>
      <c r="M339" s="73"/>
      <c r="N339" s="2"/>
      <c r="O339" s="2"/>
      <c r="P339" s="2"/>
      <c r="Q339" s="2"/>
      <c r="R339" s="2"/>
    </row>
    <row r="340" spans="1:18" x14ac:dyDescent="0.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79"/>
      <c r="L340" s="179"/>
      <c r="M340" s="73"/>
      <c r="N340" s="2"/>
      <c r="O340" s="2"/>
      <c r="P340" s="2"/>
      <c r="Q340" s="2"/>
      <c r="R340" s="2"/>
    </row>
    <row r="341" spans="1:18" x14ac:dyDescent="0.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79"/>
      <c r="L341" s="179"/>
      <c r="M341" s="73"/>
      <c r="N341" s="2"/>
      <c r="O341" s="2"/>
      <c r="P341" s="2"/>
      <c r="Q341" s="2"/>
      <c r="R341" s="2"/>
    </row>
    <row r="342" spans="1:18" x14ac:dyDescent="0.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79"/>
      <c r="L342" s="179"/>
      <c r="M342" s="73"/>
      <c r="N342" s="2"/>
      <c r="O342" s="2"/>
      <c r="P342" s="2"/>
      <c r="Q342" s="2"/>
      <c r="R342" s="2"/>
    </row>
    <row r="343" spans="1:18" x14ac:dyDescent="0.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79"/>
      <c r="L343" s="179"/>
      <c r="M343" s="73"/>
      <c r="N343" s="2"/>
      <c r="O343" s="2"/>
      <c r="P343" s="2"/>
      <c r="Q343" s="2"/>
      <c r="R343" s="2"/>
    </row>
    <row r="344" spans="1:18" x14ac:dyDescent="0.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79"/>
      <c r="L344" s="179"/>
      <c r="M344" s="73"/>
      <c r="N344" s="2"/>
      <c r="O344" s="2"/>
      <c r="P344" s="2"/>
      <c r="Q344" s="2"/>
      <c r="R344" s="2"/>
    </row>
    <row r="345" spans="1:18" x14ac:dyDescent="0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79"/>
      <c r="L345" s="179"/>
      <c r="M345" s="73"/>
      <c r="N345" s="2"/>
      <c r="O345" s="2"/>
      <c r="P345" s="2"/>
      <c r="Q345" s="2"/>
      <c r="R345" s="2"/>
    </row>
    <row r="346" spans="1:18" x14ac:dyDescent="0.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79"/>
      <c r="L346" s="179"/>
      <c r="M346" s="73"/>
      <c r="N346" s="2"/>
      <c r="O346" s="2"/>
      <c r="P346" s="2"/>
      <c r="Q346" s="2"/>
      <c r="R346" s="2"/>
    </row>
    <row r="347" spans="1:18" x14ac:dyDescent="0.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79"/>
      <c r="L347" s="179"/>
      <c r="M347" s="73"/>
      <c r="N347" s="2"/>
      <c r="O347" s="2"/>
      <c r="P347" s="2"/>
      <c r="Q347" s="2"/>
      <c r="R347" s="2"/>
    </row>
    <row r="348" spans="1:18" x14ac:dyDescent="0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79"/>
      <c r="L348" s="179"/>
      <c r="M348" s="73"/>
      <c r="N348" s="2"/>
      <c r="O348" s="2"/>
      <c r="P348" s="2"/>
      <c r="Q348" s="2"/>
      <c r="R348" s="2"/>
    </row>
    <row r="349" spans="1:18" x14ac:dyDescent="0.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79"/>
      <c r="L349" s="179"/>
      <c r="M349" s="73"/>
      <c r="N349" s="2"/>
      <c r="O349" s="2"/>
      <c r="P349" s="2"/>
      <c r="Q349" s="2"/>
      <c r="R349" s="2"/>
    </row>
    <row r="350" spans="1:18" x14ac:dyDescent="0.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79"/>
      <c r="L350" s="179"/>
      <c r="M350" s="73"/>
      <c r="N350" s="2"/>
      <c r="O350" s="2"/>
      <c r="P350" s="2"/>
      <c r="Q350" s="2"/>
      <c r="R350" s="2"/>
    </row>
    <row r="351" spans="1:18" x14ac:dyDescent="0.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79"/>
      <c r="L351" s="179"/>
      <c r="M351" s="73"/>
      <c r="N351" s="2"/>
      <c r="O351" s="2"/>
      <c r="P351" s="2"/>
      <c r="Q351" s="2"/>
      <c r="R351" s="2"/>
    </row>
    <row r="352" spans="1:18" x14ac:dyDescent="0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79"/>
      <c r="L352" s="179"/>
      <c r="M352" s="73"/>
      <c r="N352" s="2"/>
      <c r="O352" s="2"/>
      <c r="P352" s="2"/>
      <c r="Q352" s="2"/>
      <c r="R352" s="2"/>
    </row>
    <row r="353" spans="1:18" x14ac:dyDescent="0.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79"/>
      <c r="L353" s="179"/>
      <c r="M353" s="73"/>
      <c r="N353" s="2"/>
      <c r="O353" s="2"/>
      <c r="P353" s="2"/>
      <c r="Q353" s="2"/>
      <c r="R353" s="2"/>
    </row>
    <row r="354" spans="1:18" x14ac:dyDescent="0.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79"/>
      <c r="L354" s="179"/>
      <c r="M354" s="73"/>
      <c r="N354" s="2"/>
      <c r="O354" s="2"/>
      <c r="P354" s="2"/>
      <c r="Q354" s="2"/>
      <c r="R354" s="2"/>
    </row>
    <row r="355" spans="1:18" x14ac:dyDescent="0.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79"/>
      <c r="L355" s="179"/>
      <c r="M355" s="73"/>
      <c r="N355" s="2"/>
      <c r="O355" s="2"/>
      <c r="P355" s="2"/>
      <c r="Q355" s="2"/>
      <c r="R355" s="2"/>
    </row>
    <row r="356" spans="1:18" x14ac:dyDescent="0.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79"/>
      <c r="L356" s="179"/>
      <c r="M356" s="73"/>
      <c r="N356" s="2"/>
      <c r="O356" s="2"/>
      <c r="P356" s="2"/>
      <c r="Q356" s="2"/>
      <c r="R356" s="2"/>
    </row>
    <row r="357" spans="1:18" x14ac:dyDescent="0.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79"/>
      <c r="L357" s="179"/>
      <c r="M357" s="73"/>
      <c r="N357" s="2"/>
      <c r="O357" s="2"/>
      <c r="P357" s="2"/>
      <c r="Q357" s="2"/>
      <c r="R357" s="2"/>
    </row>
    <row r="358" spans="1:18" x14ac:dyDescent="0.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79"/>
      <c r="L358" s="179"/>
      <c r="M358" s="73"/>
      <c r="N358" s="2"/>
      <c r="O358" s="2"/>
      <c r="P358" s="2"/>
      <c r="Q358" s="2"/>
      <c r="R358" s="2"/>
    </row>
    <row r="359" spans="1:18" x14ac:dyDescent="0.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79"/>
      <c r="L359" s="179"/>
      <c r="M359" s="73"/>
      <c r="N359" s="2"/>
      <c r="O359" s="2"/>
      <c r="P359" s="2"/>
      <c r="Q359" s="2"/>
      <c r="R359" s="2"/>
    </row>
    <row r="360" spans="1:18" x14ac:dyDescent="0.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79"/>
      <c r="L360" s="179"/>
      <c r="M360" s="73"/>
      <c r="N360" s="2"/>
      <c r="O360" s="2"/>
      <c r="P360" s="2"/>
      <c r="Q360" s="2"/>
      <c r="R360" s="2"/>
    </row>
    <row r="361" spans="1:18" x14ac:dyDescent="0.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79"/>
      <c r="L361" s="179"/>
      <c r="M361" s="73"/>
      <c r="N361" s="2"/>
      <c r="O361" s="2"/>
      <c r="P361" s="2"/>
      <c r="Q361" s="2"/>
      <c r="R361" s="2"/>
    </row>
    <row r="362" spans="1:18" x14ac:dyDescent="0.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79"/>
      <c r="L362" s="179"/>
      <c r="M362" s="73"/>
      <c r="N362" s="2"/>
      <c r="O362" s="2"/>
      <c r="P362" s="2"/>
      <c r="Q362" s="2"/>
      <c r="R362" s="2"/>
    </row>
    <row r="363" spans="1:18" x14ac:dyDescent="0.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79"/>
      <c r="L363" s="179"/>
      <c r="M363" s="73"/>
      <c r="N363" s="2"/>
      <c r="O363" s="2"/>
      <c r="P363" s="2"/>
      <c r="Q363" s="2"/>
      <c r="R363" s="2"/>
    </row>
    <row r="364" spans="1:18" x14ac:dyDescent="0.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79"/>
      <c r="L364" s="179"/>
      <c r="M364" s="73"/>
      <c r="N364" s="2"/>
      <c r="O364" s="2"/>
      <c r="P364" s="2"/>
      <c r="Q364" s="2"/>
      <c r="R364" s="2"/>
    </row>
    <row r="365" spans="1:18" x14ac:dyDescent="0.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79"/>
      <c r="L365" s="179"/>
      <c r="M365" s="73"/>
      <c r="N365" s="2"/>
      <c r="O365" s="2"/>
      <c r="P365" s="2"/>
      <c r="Q365" s="2"/>
      <c r="R365" s="2"/>
    </row>
    <row r="366" spans="1:18" x14ac:dyDescent="0.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79"/>
      <c r="L366" s="179"/>
      <c r="M366" s="73"/>
      <c r="N366" s="2"/>
      <c r="O366" s="2"/>
      <c r="P366" s="2"/>
      <c r="Q366" s="2"/>
      <c r="R366" s="2"/>
    </row>
    <row r="367" spans="1:18" x14ac:dyDescent="0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79"/>
      <c r="L367" s="179"/>
      <c r="M367" s="73"/>
      <c r="N367" s="2"/>
      <c r="O367" s="2"/>
      <c r="P367" s="2"/>
      <c r="Q367" s="2"/>
      <c r="R367" s="2"/>
    </row>
    <row r="368" spans="1:18" x14ac:dyDescent="0.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79"/>
      <c r="L368" s="179"/>
      <c r="M368" s="73"/>
      <c r="N368" s="2"/>
      <c r="O368" s="2"/>
      <c r="P368" s="2"/>
      <c r="Q368" s="2"/>
      <c r="R368" s="2"/>
    </row>
    <row r="369" spans="1:18" x14ac:dyDescent="0.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79"/>
      <c r="L369" s="179"/>
      <c r="M369" s="73"/>
      <c r="N369" s="2"/>
      <c r="O369" s="2"/>
      <c r="P369" s="2"/>
      <c r="Q369" s="2"/>
      <c r="R369" s="2"/>
    </row>
    <row r="370" spans="1:18" x14ac:dyDescent="0.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79"/>
      <c r="L370" s="179"/>
      <c r="M370" s="73"/>
      <c r="N370" s="2"/>
      <c r="O370" s="2"/>
      <c r="P370" s="2"/>
      <c r="Q370" s="2"/>
      <c r="R370" s="2"/>
    </row>
    <row r="371" spans="1:18" x14ac:dyDescent="0.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79"/>
      <c r="L371" s="179"/>
      <c r="M371" s="73"/>
      <c r="N371" s="2"/>
      <c r="O371" s="2"/>
      <c r="P371" s="2"/>
      <c r="Q371" s="2"/>
      <c r="R371" s="2"/>
    </row>
    <row r="372" spans="1:18" x14ac:dyDescent="0.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79"/>
      <c r="L372" s="179"/>
      <c r="M372" s="73"/>
      <c r="N372" s="2"/>
      <c r="O372" s="2"/>
      <c r="P372" s="2"/>
      <c r="Q372" s="2"/>
      <c r="R372" s="2"/>
    </row>
    <row r="373" spans="1:18" x14ac:dyDescent="0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79"/>
      <c r="L373" s="179"/>
      <c r="M373" s="73"/>
      <c r="N373" s="2"/>
      <c r="O373" s="2"/>
      <c r="P373" s="2"/>
      <c r="Q373" s="2"/>
      <c r="R373" s="2"/>
    </row>
    <row r="374" spans="1:18" x14ac:dyDescent="0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79"/>
      <c r="L374" s="179"/>
      <c r="M374" s="73"/>
      <c r="N374" s="2"/>
      <c r="O374" s="2"/>
      <c r="P374" s="2"/>
      <c r="Q374" s="2"/>
      <c r="R374" s="2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2" manualBreakCount="2">
    <brk id="49" max="12" man="1"/>
    <brk id="9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18FEF-C5B4-4085-BFB6-7EFBDE2D98DE}">
  <sheetPr>
    <pageSetUpPr autoPageBreaks="0"/>
  </sheetPr>
  <dimension ref="A1:P50"/>
  <sheetViews>
    <sheetView showOutlineSymbols="0" zoomScaleNormal="100" workbookViewId="0">
      <selection activeCell="A4" sqref="A4"/>
    </sheetView>
  </sheetViews>
  <sheetFormatPr defaultColWidth="9.6640625" defaultRowHeight="15" x14ac:dyDescent="0.4"/>
  <cols>
    <col min="1" max="1" width="10.21875" style="78" customWidth="1"/>
    <col min="2" max="2" width="9.77734375" style="78" customWidth="1"/>
    <col min="3" max="3" width="16.109375" style="78" customWidth="1"/>
    <col min="4" max="4" width="26.21875" style="78" customWidth="1"/>
    <col min="5" max="6" width="13.6640625" style="78" customWidth="1"/>
    <col min="7" max="7" width="16" style="78" customWidth="1"/>
    <col min="8" max="8" width="12.44140625" style="78" customWidth="1"/>
    <col min="9" max="9" width="15.88671875" style="78" customWidth="1"/>
    <col min="10" max="10" width="14.6640625" style="78" customWidth="1"/>
    <col min="11" max="11" width="11.5546875" style="78" customWidth="1"/>
    <col min="12" max="12" width="12.77734375" style="78" customWidth="1"/>
    <col min="13" max="13" width="14.5546875" style="78" customWidth="1"/>
    <col min="14" max="14" width="10.109375" style="78" customWidth="1"/>
    <col min="15" max="15" width="13.44140625" style="78" customWidth="1"/>
    <col min="16" max="16" width="3.77734375" style="78" customWidth="1"/>
    <col min="17" max="16384" width="9.6640625" style="78"/>
  </cols>
  <sheetData>
    <row r="1" spans="1:16" ht="22.5" x14ac:dyDescent="0.6">
      <c r="A1" s="76" t="s">
        <v>0</v>
      </c>
      <c r="B1" s="76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6" ht="22.5" x14ac:dyDescent="0.6">
      <c r="A2" s="76" t="s">
        <v>21</v>
      </c>
      <c r="B2" s="76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6" ht="22.5" x14ac:dyDescent="0.6">
      <c r="A3" s="262" t="s">
        <v>74</v>
      </c>
      <c r="B3" s="76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6" ht="22.5" x14ac:dyDescent="0.6">
      <c r="A4" s="76"/>
      <c r="B4" s="76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</row>
    <row r="5" spans="1:16" ht="22.9" thickBot="1" x14ac:dyDescent="0.65">
      <c r="A5" s="76" t="s">
        <v>22</v>
      </c>
      <c r="B5" s="7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</row>
    <row r="6" spans="1:16" ht="15.4" thickTop="1" x14ac:dyDescent="0.4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80" t="s">
        <v>23</v>
      </c>
      <c r="P6" s="81"/>
    </row>
    <row r="7" spans="1:16" x14ac:dyDescent="0.4">
      <c r="A7" s="99" t="s">
        <v>24</v>
      </c>
      <c r="B7" s="82" t="s">
        <v>13</v>
      </c>
      <c r="C7" s="82" t="s">
        <v>15</v>
      </c>
      <c r="D7" s="82" t="s">
        <v>62</v>
      </c>
      <c r="E7" s="255" t="s">
        <v>55</v>
      </c>
      <c r="F7" s="82" t="s">
        <v>60</v>
      </c>
      <c r="G7" s="82" t="s">
        <v>63</v>
      </c>
      <c r="H7" s="82" t="s">
        <v>68</v>
      </c>
      <c r="I7" s="82" t="s">
        <v>70</v>
      </c>
      <c r="J7" s="82" t="s">
        <v>25</v>
      </c>
      <c r="K7" s="82" t="s">
        <v>52</v>
      </c>
      <c r="L7" s="82" t="s">
        <v>50</v>
      </c>
      <c r="M7" s="82" t="s">
        <v>17</v>
      </c>
      <c r="N7" s="82" t="s">
        <v>51</v>
      </c>
      <c r="O7" s="82" t="s">
        <v>26</v>
      </c>
      <c r="P7" s="81"/>
    </row>
    <row r="8" spans="1:16" ht="15.4" thickBot="1" x14ac:dyDescent="0.45">
      <c r="A8" s="83"/>
      <c r="B8" s="83"/>
      <c r="C8" s="83"/>
      <c r="D8" s="83"/>
      <c r="E8" s="256"/>
      <c r="F8" s="83"/>
      <c r="G8" s="83"/>
      <c r="H8" s="83"/>
      <c r="I8" s="83"/>
      <c r="J8" s="83"/>
      <c r="K8" s="83"/>
      <c r="L8" s="83"/>
      <c r="M8" s="83"/>
      <c r="N8" s="83"/>
      <c r="O8" s="83"/>
      <c r="P8" s="81"/>
    </row>
    <row r="9" spans="1:16" ht="15.4" thickTop="1" x14ac:dyDescent="0.4">
      <c r="A9" s="84"/>
      <c r="B9" s="84"/>
      <c r="C9" s="84"/>
      <c r="D9" s="84"/>
      <c r="E9" s="85"/>
      <c r="F9" s="85"/>
      <c r="G9" s="85"/>
      <c r="H9" s="85"/>
      <c r="I9" s="85"/>
      <c r="J9" s="84"/>
      <c r="K9" s="84"/>
      <c r="L9" s="84"/>
      <c r="M9" s="84"/>
      <c r="N9" s="84"/>
      <c r="O9" s="84"/>
      <c r="P9" s="81"/>
    </row>
    <row r="10" spans="1:16" x14ac:dyDescent="0.4">
      <c r="A10" s="86">
        <f>DATE(2025,7,1)</f>
        <v>45839</v>
      </c>
      <c r="B10" s="87">
        <f>'MONTHLY STATS'!$C$9*2</f>
        <v>360560</v>
      </c>
      <c r="C10" s="87">
        <f>'MONTHLY STATS'!$C$16*2</f>
        <v>214610</v>
      </c>
      <c r="D10" s="87">
        <f>'MONTHLY STATS'!$C$23*2</f>
        <v>145072</v>
      </c>
      <c r="E10" s="87">
        <f>'MONTHLY STATS'!$C$30*2</f>
        <v>626512</v>
      </c>
      <c r="F10" s="87">
        <f>'MONTHLY STATS'!$C$37*2</f>
        <v>378056</v>
      </c>
      <c r="G10" s="87">
        <f>'MONTHLY STATS'!$C$44*2</f>
        <v>189756</v>
      </c>
      <c r="H10" s="87">
        <f>'MONTHLY STATS'!$C$51*2</f>
        <v>408904</v>
      </c>
      <c r="I10" s="87">
        <f>'MONTHLY STATS'!$C$58*2</f>
        <v>432796</v>
      </c>
      <c r="J10" s="87">
        <f>'MONTHLY STATS'!$C$65*2</f>
        <v>512784</v>
      </c>
      <c r="K10" s="87">
        <f>'MONTHLY STATS'!$C$72*2</f>
        <v>669154</v>
      </c>
      <c r="L10" s="87">
        <f>'MONTHLY STATS'!$C$79*2</f>
        <v>85610</v>
      </c>
      <c r="M10" s="87">
        <f>'MONTHLY STATS'!$C$86*2</f>
        <v>665520</v>
      </c>
      <c r="N10" s="87">
        <f>'MONTHLY STATS'!$C$93*2</f>
        <v>125062</v>
      </c>
      <c r="O10" s="88">
        <f>SUM(B10:N10)</f>
        <v>4814396</v>
      </c>
      <c r="P10" s="81"/>
    </row>
    <row r="11" spans="1:16" x14ac:dyDescent="0.4">
      <c r="A11" s="86">
        <f>DATE(2025,8,1)</f>
        <v>45870</v>
      </c>
      <c r="B11" s="87">
        <f>'MONTHLY STATS'!$C$10*2</f>
        <v>379164</v>
      </c>
      <c r="C11" s="87">
        <f>'MONTHLY STATS'!$C$17*2</f>
        <v>220074</v>
      </c>
      <c r="D11" s="87">
        <f>'MONTHLY STATS'!$C$24*2</f>
        <v>154922</v>
      </c>
      <c r="E11" s="87">
        <f>'MONTHLY STATS'!$C$31*2</f>
        <v>669634</v>
      </c>
      <c r="F11" s="87">
        <f>'MONTHLY STATS'!$C$38*2</f>
        <v>388106</v>
      </c>
      <c r="G11" s="87">
        <f>'MONTHLY STATS'!$C$45*2</f>
        <v>194500</v>
      </c>
      <c r="H11" s="87">
        <f>'MONTHLY STATS'!$C$52*2</f>
        <v>413246</v>
      </c>
      <c r="I11" s="87">
        <f>'MONTHLY STATS'!$C$59*2</f>
        <v>461220</v>
      </c>
      <c r="J11" s="87">
        <f>'MONTHLY STATS'!$C$66*2</f>
        <v>529360</v>
      </c>
      <c r="K11" s="87">
        <f>'MONTHLY STATS'!$C$73*2</f>
        <v>688408</v>
      </c>
      <c r="L11" s="87">
        <f>'MONTHLY STATS'!$C$80*2</f>
        <v>86952</v>
      </c>
      <c r="M11" s="87">
        <f>'MONTHLY STATS'!$C$87*2</f>
        <v>675830</v>
      </c>
      <c r="N11" s="87">
        <f>'MONTHLY STATS'!$C$94*2</f>
        <v>130530</v>
      </c>
      <c r="O11" s="88">
        <f>SUM(B11:N11)</f>
        <v>4991946</v>
      </c>
      <c r="P11" s="81"/>
    </row>
    <row r="12" spans="1:16" x14ac:dyDescent="0.4">
      <c r="A12" s="86">
        <f>DATE(2025,9,1)</f>
        <v>45901</v>
      </c>
      <c r="B12" s="87">
        <f>'MONTHLY STATS'!$C$11*2</f>
        <v>320658</v>
      </c>
      <c r="C12" s="87">
        <f>'MONTHLY STATS'!$C$18*2</f>
        <v>200200</v>
      </c>
      <c r="D12" s="87">
        <f>'MONTHLY STATS'!$C$25*2</f>
        <v>135600</v>
      </c>
      <c r="E12" s="87">
        <f>'MONTHLY STATS'!$C$32*2</f>
        <v>591474</v>
      </c>
      <c r="F12" s="87">
        <f>'MONTHLY STATS'!$C$39*2</f>
        <v>348858</v>
      </c>
      <c r="G12" s="87">
        <f>'MONTHLY STATS'!$C$46*2</f>
        <v>179536</v>
      </c>
      <c r="H12" s="87">
        <f>'MONTHLY STATS'!$C$53*2</f>
        <v>389766</v>
      </c>
      <c r="I12" s="87">
        <f>'MONTHLY STATS'!$C$60*2</f>
        <v>408932</v>
      </c>
      <c r="J12" s="87">
        <f>'MONTHLY STATS'!$C$67*2</f>
        <v>458130</v>
      </c>
      <c r="K12" s="87">
        <f>'MONTHLY STATS'!$C$74*2</f>
        <v>615346</v>
      </c>
      <c r="L12" s="87">
        <f>'MONTHLY STATS'!$C$81*2</f>
        <v>77986</v>
      </c>
      <c r="M12" s="87">
        <f>'MONTHLY STATS'!$C$88*2</f>
        <v>599366</v>
      </c>
      <c r="N12" s="87">
        <f>'MONTHLY STATS'!$C$95*2</f>
        <v>117132</v>
      </c>
      <c r="O12" s="88">
        <f>SUM(B12:N12)</f>
        <v>4442984</v>
      </c>
      <c r="P12" s="81"/>
    </row>
    <row r="13" spans="1:16" x14ac:dyDescent="0.4">
      <c r="A13" s="86">
        <f>DATE(2025,10,1)</f>
        <v>45931</v>
      </c>
      <c r="B13" s="87">
        <f>'MONTHLY STATS'!$C$12*2</f>
        <v>341912</v>
      </c>
      <c r="C13" s="87">
        <f>'MONTHLY STATS'!$C$19*2</f>
        <v>208384</v>
      </c>
      <c r="D13" s="87">
        <f>'MONTHLY STATS'!$C$26*2</f>
        <v>140086</v>
      </c>
      <c r="E13" s="87">
        <f>'MONTHLY STATS'!$C$33*2</f>
        <v>616594</v>
      </c>
      <c r="F13" s="87">
        <f>'MONTHLY STATS'!$C$40*2</f>
        <v>362112</v>
      </c>
      <c r="G13" s="87">
        <f>'MONTHLY STATS'!$C$47*2</f>
        <v>173322</v>
      </c>
      <c r="H13" s="87">
        <f>'MONTHLY STATS'!$C$54*2</f>
        <v>447232</v>
      </c>
      <c r="I13" s="87">
        <f>'MONTHLY STATS'!$C$61*2</f>
        <v>404242</v>
      </c>
      <c r="J13" s="87">
        <f>'MONTHLY STATS'!$C$68*2</f>
        <v>485310</v>
      </c>
      <c r="K13" s="87">
        <f>'MONTHLY STATS'!$C$75*2</f>
        <v>655208</v>
      </c>
      <c r="L13" s="87">
        <f>'MONTHLY STATS'!$C$82*2</f>
        <v>81178</v>
      </c>
      <c r="M13" s="87">
        <f>'MONTHLY STATS'!$C$89*2</f>
        <v>620254</v>
      </c>
      <c r="N13" s="87">
        <f>'MONTHLY STATS'!$C$96*2</f>
        <v>120820</v>
      </c>
      <c r="O13" s="88">
        <f>SUM(B13:N13)</f>
        <v>4656654</v>
      </c>
      <c r="P13" s="81"/>
    </row>
    <row r="14" spans="1:16" x14ac:dyDescent="0.4">
      <c r="A14" s="86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8"/>
      <c r="P14" s="81"/>
    </row>
    <row r="15" spans="1:16" x14ac:dyDescent="0.4">
      <c r="A15" s="86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8"/>
      <c r="P15" s="81"/>
    </row>
    <row r="16" spans="1:16" x14ac:dyDescent="0.4">
      <c r="A16" s="86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8"/>
      <c r="P16" s="81"/>
    </row>
    <row r="17" spans="1:16" x14ac:dyDescent="0.4">
      <c r="A17" s="86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8"/>
      <c r="P17" s="81"/>
    </row>
    <row r="18" spans="1:16" x14ac:dyDescent="0.4">
      <c r="A18" s="86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8"/>
      <c r="P18" s="81"/>
    </row>
    <row r="19" spans="1:16" x14ac:dyDescent="0.4">
      <c r="A19" s="86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8"/>
      <c r="P19" s="81"/>
    </row>
    <row r="20" spans="1:16" x14ac:dyDescent="0.4">
      <c r="A20" s="86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8"/>
      <c r="P20" s="81"/>
    </row>
    <row r="21" spans="1:16" x14ac:dyDescent="0.4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8"/>
      <c r="P21" s="81"/>
    </row>
    <row r="22" spans="1:16" x14ac:dyDescent="0.4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8"/>
      <c r="P22" s="81"/>
    </row>
    <row r="23" spans="1:16" x14ac:dyDescent="0.4">
      <c r="A23" s="89" t="s">
        <v>27</v>
      </c>
      <c r="B23" s="88">
        <f t="shared" ref="B23:O23" si="0">SUM(B10:B21)</f>
        <v>1402294</v>
      </c>
      <c r="C23" s="88">
        <f t="shared" si="0"/>
        <v>843268</v>
      </c>
      <c r="D23" s="88">
        <f t="shared" si="0"/>
        <v>575680</v>
      </c>
      <c r="E23" s="88">
        <f t="shared" si="0"/>
        <v>2504214</v>
      </c>
      <c r="F23" s="88">
        <f t="shared" si="0"/>
        <v>1477132</v>
      </c>
      <c r="G23" s="88">
        <f>SUM(G10:G21)</f>
        <v>737114</v>
      </c>
      <c r="H23" s="88">
        <f t="shared" si="0"/>
        <v>1659148</v>
      </c>
      <c r="I23" s="88">
        <f>SUM(I10:I21)</f>
        <v>1707190</v>
      </c>
      <c r="J23" s="88">
        <f t="shared" si="0"/>
        <v>1985584</v>
      </c>
      <c r="K23" s="88">
        <f>SUM(K10:K21)</f>
        <v>2628116</v>
      </c>
      <c r="L23" s="88">
        <f t="shared" si="0"/>
        <v>331726</v>
      </c>
      <c r="M23" s="88">
        <f t="shared" si="0"/>
        <v>2560970</v>
      </c>
      <c r="N23" s="88">
        <f t="shared" si="0"/>
        <v>493544</v>
      </c>
      <c r="O23" s="88">
        <f t="shared" si="0"/>
        <v>18905980</v>
      </c>
      <c r="P23" s="81"/>
    </row>
    <row r="24" spans="1:16" ht="15.4" thickBot="1" x14ac:dyDescent="0.45">
      <c r="A24" s="90"/>
      <c r="B24" s="88"/>
      <c r="C24" s="88"/>
      <c r="D24" s="88"/>
      <c r="E24" s="87"/>
      <c r="F24" s="87"/>
      <c r="G24" s="87"/>
      <c r="H24" s="87"/>
      <c r="I24" s="87"/>
      <c r="J24" s="88"/>
      <c r="K24" s="88"/>
      <c r="L24" s="88"/>
      <c r="M24" s="88"/>
      <c r="N24" s="88"/>
      <c r="O24" s="88"/>
      <c r="P24" s="81"/>
    </row>
    <row r="25" spans="1:16" ht="15.4" thickTop="1" x14ac:dyDescent="0.4">
      <c r="A25" s="91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</row>
    <row r="26" spans="1:16" ht="22.9" thickBot="1" x14ac:dyDescent="0.65">
      <c r="A26" s="93" t="s">
        <v>28</v>
      </c>
      <c r="B26" s="94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</row>
    <row r="27" spans="1:16" ht="15.4" thickTop="1" x14ac:dyDescent="0.4">
      <c r="A27" s="96"/>
      <c r="B27" s="97"/>
      <c r="C27" s="97"/>
      <c r="D27" s="97"/>
      <c r="E27" s="98"/>
      <c r="F27" s="98"/>
      <c r="G27" s="98"/>
      <c r="H27" s="98"/>
      <c r="I27" s="98"/>
      <c r="J27" s="97"/>
      <c r="K27" s="97"/>
      <c r="L27" s="97"/>
      <c r="M27" s="97"/>
      <c r="N27" s="97"/>
      <c r="O27" s="80" t="s">
        <v>23</v>
      </c>
      <c r="P27" s="81"/>
    </row>
    <row r="28" spans="1:16" x14ac:dyDescent="0.4">
      <c r="A28" s="99" t="s">
        <v>24</v>
      </c>
      <c r="B28" s="82" t="s">
        <v>13</v>
      </c>
      <c r="C28" s="82" t="s">
        <v>15</v>
      </c>
      <c r="D28" s="82" t="s">
        <v>62</v>
      </c>
      <c r="E28" s="255" t="s">
        <v>55</v>
      </c>
      <c r="F28" s="82" t="s">
        <v>60</v>
      </c>
      <c r="G28" s="82" t="s">
        <v>63</v>
      </c>
      <c r="H28" s="82" t="s">
        <v>68</v>
      </c>
      <c r="I28" s="82" t="s">
        <v>70</v>
      </c>
      <c r="J28" s="82" t="s">
        <v>25</v>
      </c>
      <c r="K28" s="82" t="s">
        <v>52</v>
      </c>
      <c r="L28" s="82" t="s">
        <v>50</v>
      </c>
      <c r="M28" s="82" t="s">
        <v>17</v>
      </c>
      <c r="N28" s="82" t="s">
        <v>51</v>
      </c>
      <c r="O28" s="82" t="s">
        <v>26</v>
      </c>
      <c r="P28" s="81"/>
    </row>
    <row r="29" spans="1:16" ht="15.4" thickBot="1" x14ac:dyDescent="0.45">
      <c r="A29" s="100"/>
      <c r="B29" s="101"/>
      <c r="C29" s="101"/>
      <c r="D29" s="101"/>
      <c r="E29" s="256"/>
      <c r="F29" s="82"/>
      <c r="G29" s="82"/>
      <c r="H29" s="82"/>
      <c r="I29" s="82"/>
      <c r="J29" s="101"/>
      <c r="K29" s="101"/>
      <c r="L29" s="101"/>
      <c r="M29" s="101"/>
      <c r="N29" s="101"/>
      <c r="O29" s="101"/>
      <c r="P29" s="81"/>
    </row>
    <row r="30" spans="1:16" ht="15.4" thickTop="1" x14ac:dyDescent="0.4">
      <c r="A30" s="102"/>
      <c r="B30" s="103"/>
      <c r="C30" s="103"/>
      <c r="D30" s="103"/>
      <c r="E30" s="104"/>
      <c r="F30" s="104"/>
      <c r="G30" s="104"/>
      <c r="H30" s="104"/>
      <c r="I30" s="104"/>
      <c r="J30" s="103"/>
      <c r="K30" s="103"/>
      <c r="L30" s="103"/>
      <c r="M30" s="103"/>
      <c r="N30" s="103"/>
      <c r="O30" s="103"/>
      <c r="P30" s="81"/>
    </row>
    <row r="31" spans="1:16" x14ac:dyDescent="0.4">
      <c r="A31" s="86">
        <f>DATE(2025,7,1)</f>
        <v>45839</v>
      </c>
      <c r="B31" s="87">
        <f>'MONTHLY STATS'!$K$9*0.21</f>
        <v>2868662.3742</v>
      </c>
      <c r="C31" s="87">
        <f>'MONTHLY STATS'!$K$16*0.21</f>
        <v>1755725.4372</v>
      </c>
      <c r="D31" s="87">
        <f>'MONTHLY STATS'!$K$23*0.21</f>
        <v>1071613.5759000001</v>
      </c>
      <c r="E31" s="87">
        <f>'MONTHLY STATS'!$K$30*0.21</f>
        <v>4632434.1272999998</v>
      </c>
      <c r="F31" s="87">
        <f>'MONTHLY STATS'!$K$37*0.21</f>
        <v>3046383.8201999995</v>
      </c>
      <c r="G31" s="87">
        <f>'MONTHLY STATS'!$K$44*0.21</f>
        <v>1232192.7890999999</v>
      </c>
      <c r="H31" s="87">
        <f>'MONTHLY STATS'!$K$51*0.21</f>
        <v>2324377.5155999996</v>
      </c>
      <c r="I31" s="87">
        <f>'MONTHLY STATS'!$K$58*0.21</f>
        <v>3036431.0718</v>
      </c>
      <c r="J31" s="87">
        <f>'MONTHLY STATS'!$K$65*0.21</f>
        <v>3669881.8905000002</v>
      </c>
      <c r="K31" s="87">
        <f>'MONTHLY STATS'!$K$72*0.21</f>
        <v>4675936.7675999999</v>
      </c>
      <c r="L31" s="87">
        <f>'MONTHLY STATS'!$K$79*0.21</f>
        <v>618653.44169999997</v>
      </c>
      <c r="M31" s="87">
        <f>'MONTHLY STATS'!$K$86*0.21</f>
        <v>5378563.3292999994</v>
      </c>
      <c r="N31" s="87">
        <f>'MONTHLY STATS'!$K$93*0.21</f>
        <v>908066.38439999986</v>
      </c>
      <c r="O31" s="88">
        <f>SUM(B31:N31)</f>
        <v>35218922.524800003</v>
      </c>
      <c r="P31" s="81"/>
    </row>
    <row r="32" spans="1:16" x14ac:dyDescent="0.4">
      <c r="A32" s="86">
        <f>DATE(2025,8,1)</f>
        <v>45870</v>
      </c>
      <c r="B32" s="87">
        <f>'MONTHLY STATS'!$K$10*0.21</f>
        <v>3109937.1596999997</v>
      </c>
      <c r="C32" s="87">
        <f>'MONTHLY STATS'!$K$17*0.21</f>
        <v>1755120.5027999999</v>
      </c>
      <c r="D32" s="87">
        <f>'MONTHLY STATS'!$K$24*0.21</f>
        <v>1127483.3870999999</v>
      </c>
      <c r="E32" s="87">
        <f>'MONTHLY STATS'!$K$31*0.21</f>
        <v>4983170.1402000003</v>
      </c>
      <c r="F32" s="87">
        <f>'MONTHLY STATS'!$K$38*0.21</f>
        <v>3390595.3514999999</v>
      </c>
      <c r="G32" s="87">
        <f>'MONTHLY STATS'!$K$45*0.21</f>
        <v>1278646.3158</v>
      </c>
      <c r="H32" s="87">
        <f>'MONTHLY STATS'!$K$52*0.21</f>
        <v>2370996.7658999995</v>
      </c>
      <c r="I32" s="87">
        <f>'MONTHLY STATS'!$K$59*0.21</f>
        <v>3222736.7528999997</v>
      </c>
      <c r="J32" s="87">
        <f>'MONTHLY STATS'!$K$66*0.21</f>
        <v>3735813.1733999997</v>
      </c>
      <c r="K32" s="87">
        <f>'MONTHLY STATS'!$K$73*0.21</f>
        <v>5049494.1441000002</v>
      </c>
      <c r="L32" s="87">
        <f>'MONTHLY STATS'!$K$80*0.21</f>
        <v>634301.99699999997</v>
      </c>
      <c r="M32" s="87">
        <f>'MONTHLY STATS'!$K$87*0.21</f>
        <v>5731629.0339000002</v>
      </c>
      <c r="N32" s="87">
        <f>'MONTHLY STATS'!$K$94*0.21</f>
        <v>881846.07630000007</v>
      </c>
      <c r="O32" s="88">
        <f>SUM(B32:N32)</f>
        <v>37271770.8006</v>
      </c>
      <c r="P32" s="81"/>
    </row>
    <row r="33" spans="1:16" x14ac:dyDescent="0.4">
      <c r="A33" s="86">
        <f>DATE(2025,9,1)</f>
        <v>45901</v>
      </c>
      <c r="B33" s="87">
        <f>'MONTHLY STATS'!$K$11*0.21</f>
        <v>2539965.5882999999</v>
      </c>
      <c r="C33" s="87">
        <f>'MONTHLY STATS'!$K$18*0.21</f>
        <v>1663269.1697999998</v>
      </c>
      <c r="D33" s="87">
        <f>'MONTHLY STATS'!$K$25*0.21</f>
        <v>970767.66150000005</v>
      </c>
      <c r="E33" s="87">
        <f>'MONTHLY STATS'!$K$32*0.21</f>
        <v>4418000.9600999998</v>
      </c>
      <c r="F33" s="87">
        <f>'MONTHLY STATS'!$K$39*0.21</f>
        <v>3151143.3764999998</v>
      </c>
      <c r="G33" s="87">
        <f>'MONTHLY STATS'!$K$46*0.21</f>
        <v>1174943.8637999999</v>
      </c>
      <c r="H33" s="87">
        <f>'MONTHLY STATS'!$K$53*0.21</f>
        <v>2136883.2765000002</v>
      </c>
      <c r="I33" s="87">
        <f>'MONTHLY STATS'!$K$60*0.21</f>
        <v>2788465.3041000003</v>
      </c>
      <c r="J33" s="87">
        <f>'MONTHLY STATS'!$K$67*0.21</f>
        <v>3308929.2999</v>
      </c>
      <c r="K33" s="87">
        <f>'MONTHLY STATS'!$K$74*0.21</f>
        <v>4515897.9264000002</v>
      </c>
      <c r="L33" s="87">
        <f>'MONTHLY STATS'!$K$81*0.21</f>
        <v>582705.3456</v>
      </c>
      <c r="M33" s="87">
        <f>'MONTHLY STATS'!$K$88*0.21</f>
        <v>4887908.2560000001</v>
      </c>
      <c r="N33" s="87">
        <f>'MONTHLY STATS'!$K$95*0.21</f>
        <v>729219.46019999997</v>
      </c>
      <c r="O33" s="88">
        <f>SUM(B33:N33)</f>
        <v>32868099.488700002</v>
      </c>
      <c r="P33" s="81"/>
    </row>
    <row r="34" spans="1:16" x14ac:dyDescent="0.4">
      <c r="A34" s="86">
        <f>DATE(2025,10,1)</f>
        <v>45931</v>
      </c>
      <c r="B34" s="87">
        <f>'MONTHLY STATS'!$K$12*0.21</f>
        <v>2790013.0460999999</v>
      </c>
      <c r="C34" s="87">
        <f>'MONTHLY STATS'!$K$19*0.21</f>
        <v>1661041.7879999999</v>
      </c>
      <c r="D34" s="87">
        <f>'MONTHLY STATS'!$K$26*0.21</f>
        <v>1023968.7842999999</v>
      </c>
      <c r="E34" s="87">
        <f>'MONTHLY STATS'!$K$33*0.21</f>
        <v>4836059.0921999998</v>
      </c>
      <c r="F34" s="87">
        <f>'MONTHLY STATS'!$K$40*0.21</f>
        <v>2914948.8227999997</v>
      </c>
      <c r="G34" s="87">
        <f>'MONTHLY STATS'!$K$47*0.21</f>
        <v>1127128.9616999999</v>
      </c>
      <c r="H34" s="87">
        <f>'MONTHLY STATS'!$K$54*0.21</f>
        <v>2463282.0575999999</v>
      </c>
      <c r="I34" s="87">
        <f>'MONTHLY STATS'!$K$61*0.21</f>
        <v>2741067.4724999997</v>
      </c>
      <c r="J34" s="87">
        <f>'MONTHLY STATS'!$K$68*0.21</f>
        <v>3530379.7577999998</v>
      </c>
      <c r="K34" s="87">
        <f>'MONTHLY STATS'!$K$75*0.21</f>
        <v>4759469.9607000006</v>
      </c>
      <c r="L34" s="87">
        <f>'MONTHLY STATS'!$K$82*0.21</f>
        <v>612080.67059999995</v>
      </c>
      <c r="M34" s="87">
        <f>'MONTHLY STATS'!$K$89*0.21</f>
        <v>5301386.5674000001</v>
      </c>
      <c r="N34" s="87">
        <f>'MONTHLY STATS'!$K$96*0.21</f>
        <v>861859.36829999997</v>
      </c>
      <c r="O34" s="88">
        <f>SUM(B34:N34)</f>
        <v>34622686.350000001</v>
      </c>
      <c r="P34" s="81"/>
    </row>
    <row r="35" spans="1:16" x14ac:dyDescent="0.4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8"/>
      <c r="P35" s="81"/>
    </row>
    <row r="36" spans="1:16" x14ac:dyDescent="0.4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8"/>
      <c r="P36" s="81"/>
    </row>
    <row r="37" spans="1:16" x14ac:dyDescent="0.4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8"/>
      <c r="P37" s="81"/>
    </row>
    <row r="38" spans="1:16" x14ac:dyDescent="0.4">
      <c r="A38" s="86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8"/>
      <c r="P38" s="81"/>
    </row>
    <row r="39" spans="1:16" x14ac:dyDescent="0.4">
      <c r="A39" s="86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8"/>
      <c r="P39" s="81"/>
    </row>
    <row r="40" spans="1:16" x14ac:dyDescent="0.4">
      <c r="A40" s="86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8"/>
      <c r="P40" s="81"/>
    </row>
    <row r="41" spans="1:16" x14ac:dyDescent="0.4">
      <c r="A41" s="86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8"/>
      <c r="P41" s="81"/>
    </row>
    <row r="42" spans="1:16" x14ac:dyDescent="0.4">
      <c r="A42" s="86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8"/>
      <c r="P42" s="81"/>
    </row>
    <row r="43" spans="1:16" x14ac:dyDescent="0.4">
      <c r="A43" s="86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8"/>
      <c r="P43" s="81"/>
    </row>
    <row r="44" spans="1:16" x14ac:dyDescent="0.4">
      <c r="A44" s="89" t="s">
        <v>27</v>
      </c>
      <c r="B44" s="88">
        <f t="shared" ref="B44:O44" si="1">SUM(B31:B42)</f>
        <v>11308578.168300001</v>
      </c>
      <c r="C44" s="88">
        <f t="shared" si="1"/>
        <v>6835156.8977999995</v>
      </c>
      <c r="D44" s="88">
        <f t="shared" si="1"/>
        <v>4193833.4087999999</v>
      </c>
      <c r="E44" s="88">
        <f t="shared" si="1"/>
        <v>18869664.319800001</v>
      </c>
      <c r="F44" s="88">
        <f t="shared" si="1"/>
        <v>12503071.370999997</v>
      </c>
      <c r="G44" s="88">
        <f t="shared" si="1"/>
        <v>4812911.930399999</v>
      </c>
      <c r="H44" s="88">
        <f t="shared" si="1"/>
        <v>9295539.6155999973</v>
      </c>
      <c r="I44" s="88">
        <f>SUM(I31:I42)</f>
        <v>11788700.601300001</v>
      </c>
      <c r="J44" s="88">
        <f t="shared" si="1"/>
        <v>14245004.1216</v>
      </c>
      <c r="K44" s="88">
        <f>SUM(K31:K42)</f>
        <v>19000798.798799999</v>
      </c>
      <c r="L44" s="88">
        <f t="shared" si="1"/>
        <v>2447741.4548999998</v>
      </c>
      <c r="M44" s="88">
        <f t="shared" si="1"/>
        <v>21299487.1866</v>
      </c>
      <c r="N44" s="88">
        <f t="shared" si="1"/>
        <v>3380991.2891999995</v>
      </c>
      <c r="O44" s="88">
        <f t="shared" si="1"/>
        <v>139981479.16409999</v>
      </c>
      <c r="P44" s="81"/>
    </row>
    <row r="45" spans="1:16" ht="15.4" thickBot="1" x14ac:dyDescent="0.45">
      <c r="A45" s="90"/>
      <c r="B45" s="88"/>
      <c r="C45" s="88"/>
      <c r="D45" s="88"/>
      <c r="E45" s="87"/>
      <c r="F45" s="87"/>
      <c r="G45" s="87"/>
      <c r="H45" s="87"/>
      <c r="I45" s="87"/>
      <c r="J45" s="88"/>
      <c r="K45" s="88"/>
      <c r="L45" s="88"/>
      <c r="M45" s="88"/>
      <c r="N45" s="88"/>
      <c r="O45" s="88"/>
      <c r="P45" s="81"/>
    </row>
    <row r="46" spans="1:16" ht="15.4" thickTop="1" x14ac:dyDescent="0.4">
      <c r="A46" s="105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</row>
    <row r="47" spans="1:16" ht="15.4" x14ac:dyDescent="0.45">
      <c r="A47" s="268"/>
      <c r="B47" s="267"/>
      <c r="C47" s="267"/>
      <c r="D47" s="267"/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267"/>
    </row>
    <row r="48" spans="1:16" x14ac:dyDescent="0.4">
      <c r="A48" s="106" t="s">
        <v>29</v>
      </c>
      <c r="B48" s="95"/>
      <c r="C48" s="95"/>
      <c r="D48" s="95"/>
      <c r="E48" s="95"/>
      <c r="F48" s="95"/>
      <c r="G48" s="95"/>
      <c r="H48" s="95"/>
      <c r="I48" s="95"/>
    </row>
    <row r="49" spans="1:9" x14ac:dyDescent="0.4">
      <c r="A49" s="106"/>
      <c r="B49" s="95"/>
      <c r="C49" s="95"/>
      <c r="D49" s="95"/>
      <c r="E49" s="95"/>
      <c r="F49" s="95"/>
      <c r="G49" s="95"/>
      <c r="H49" s="95"/>
      <c r="I49" s="95"/>
    </row>
    <row r="50" spans="1:9" x14ac:dyDescent="0.4">
      <c r="A50" s="70"/>
    </row>
  </sheetData>
  <phoneticPr fontId="0" type="noConversion"/>
  <printOptions horizontalCentered="1"/>
  <pageMargins left="0.3" right="0.05" top="0.31944444444444398" bottom="0.25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BA69C-C75E-4AE4-9A52-A119375C69AE}">
  <sheetPr>
    <pageSetUpPr autoPageBreaks="0"/>
  </sheetPr>
  <dimension ref="A1:H105"/>
  <sheetViews>
    <sheetView showOutlineSymbols="0" zoomScaleNormal="100" workbookViewId="0">
      <selection activeCell="A5" sqref="A5"/>
    </sheetView>
  </sheetViews>
  <sheetFormatPr defaultColWidth="9.6640625" defaultRowHeight="15" x14ac:dyDescent="0.4"/>
  <cols>
    <col min="1" max="1" width="27.6640625" style="108" customWidth="1"/>
    <col min="2" max="2" width="9.6640625" style="108" customWidth="1"/>
    <col min="3" max="3" width="16.6640625" style="187" customWidth="1"/>
    <col min="4" max="5" width="15.6640625" style="187" customWidth="1"/>
    <col min="6" max="6" width="9.6640625" style="108" customWidth="1"/>
    <col min="7" max="7" width="10.5546875" style="196" customWidth="1"/>
    <col min="8" max="16384" width="9.6640625" style="108"/>
  </cols>
  <sheetData>
    <row r="1" spans="1:8" ht="17.649999999999999" x14ac:dyDescent="0.5">
      <c r="A1" s="107" t="s">
        <v>0</v>
      </c>
    </row>
    <row r="2" spans="1:8" ht="18" customHeight="1" x14ac:dyDescent="0.45">
      <c r="A2" s="109" t="s">
        <v>30</v>
      </c>
    </row>
    <row r="3" spans="1:8" ht="18" customHeight="1" x14ac:dyDescent="0.5">
      <c r="A3" s="263" t="s">
        <v>75</v>
      </c>
    </row>
    <row r="4" spans="1:8" x14ac:dyDescent="0.4">
      <c r="A4" s="264" t="s">
        <v>76</v>
      </c>
    </row>
    <row r="5" spans="1:8" x14ac:dyDescent="0.4">
      <c r="G5" s="197" t="s">
        <v>1</v>
      </c>
    </row>
    <row r="6" spans="1:8" ht="15.4" thickTop="1" x14ac:dyDescent="0.4">
      <c r="A6" s="110"/>
      <c r="B6" s="111" t="s">
        <v>2</v>
      </c>
      <c r="C6" s="188" t="s">
        <v>31</v>
      </c>
      <c r="D6" s="188" t="s">
        <v>31</v>
      </c>
      <c r="E6" s="188" t="s">
        <v>3</v>
      </c>
      <c r="F6" s="112"/>
      <c r="G6" s="198" t="s">
        <v>32</v>
      </c>
      <c r="H6" s="113"/>
    </row>
    <row r="7" spans="1:8" ht="15.4" thickBot="1" x14ac:dyDescent="0.45">
      <c r="A7" s="114" t="s">
        <v>5</v>
      </c>
      <c r="B7" s="115" t="s">
        <v>6</v>
      </c>
      <c r="C7" s="242" t="s">
        <v>33</v>
      </c>
      <c r="D7" s="189" t="s">
        <v>34</v>
      </c>
      <c r="E7" s="189" t="s">
        <v>34</v>
      </c>
      <c r="F7" s="116" t="s">
        <v>8</v>
      </c>
      <c r="G7" s="199" t="s">
        <v>35</v>
      </c>
      <c r="H7" s="113"/>
    </row>
    <row r="8" spans="1:8" ht="15.75" customHeight="1" thickTop="1" x14ac:dyDescent="0.4">
      <c r="A8" s="117"/>
      <c r="B8" s="118"/>
      <c r="C8" s="190"/>
      <c r="D8" s="190"/>
      <c r="E8" s="190"/>
      <c r="F8" s="119"/>
      <c r="G8" s="200"/>
      <c r="H8" s="113"/>
    </row>
    <row r="9" spans="1:8" x14ac:dyDescent="0.4">
      <c r="A9" s="120" t="s">
        <v>36</v>
      </c>
      <c r="B9" s="121">
        <f>DATE(2025,7,1)</f>
        <v>45839</v>
      </c>
      <c r="C9" s="191">
        <v>15157408</v>
      </c>
      <c r="D9" s="191">
        <v>2471172.5</v>
      </c>
      <c r="E9" s="191">
        <v>2142172</v>
      </c>
      <c r="F9" s="122">
        <f>(+D9-E9)/E9</f>
        <v>0.15358267216638066</v>
      </c>
      <c r="G9" s="201">
        <f>D9/C9</f>
        <v>0.16303397652157942</v>
      </c>
      <c r="H9" s="113"/>
    </row>
    <row r="10" spans="1:8" x14ac:dyDescent="0.4">
      <c r="A10" s="120"/>
      <c r="B10" s="121">
        <f>DATE(2025,8,1)</f>
        <v>45870</v>
      </c>
      <c r="C10" s="191">
        <v>15784114</v>
      </c>
      <c r="D10" s="191">
        <v>2783309</v>
      </c>
      <c r="E10" s="191">
        <v>2238159.9</v>
      </c>
      <c r="F10" s="122">
        <f>(+D10-E10)/E10</f>
        <v>0.24357022034037878</v>
      </c>
      <c r="G10" s="201">
        <f>D10/C10</f>
        <v>0.17633609336577269</v>
      </c>
      <c r="H10" s="113"/>
    </row>
    <row r="11" spans="1:8" x14ac:dyDescent="0.4">
      <c r="A11" s="120"/>
      <c r="B11" s="121">
        <f>DATE(2025,9,1)</f>
        <v>45901</v>
      </c>
      <c r="C11" s="191">
        <v>14041863</v>
      </c>
      <c r="D11" s="191">
        <v>2434170</v>
      </c>
      <c r="E11" s="191">
        <v>1892412</v>
      </c>
      <c r="F11" s="122">
        <f>(+D11-E11)/E11</f>
        <v>0.28627909778631716</v>
      </c>
      <c r="G11" s="201">
        <f>D11/C11</f>
        <v>0.17335092928908366</v>
      </c>
      <c r="H11" s="113"/>
    </row>
    <row r="12" spans="1:8" x14ac:dyDescent="0.4">
      <c r="A12" s="120"/>
      <c r="B12" s="121">
        <f>DATE(2025,10,1)</f>
        <v>45931</v>
      </c>
      <c r="C12" s="191">
        <v>14624061</v>
      </c>
      <c r="D12" s="191">
        <v>2183432.5</v>
      </c>
      <c r="E12" s="191">
        <v>1986740.5</v>
      </c>
      <c r="F12" s="122">
        <f>(+D12-E12)/E12</f>
        <v>9.9002360902191305E-2</v>
      </c>
      <c r="G12" s="201">
        <f>D12/C12</f>
        <v>0.14930411600443955</v>
      </c>
      <c r="H12" s="113"/>
    </row>
    <row r="13" spans="1:8" ht="15.4" thickBot="1" x14ac:dyDescent="0.45">
      <c r="A13" s="123"/>
      <c r="B13" s="124"/>
      <c r="C13" s="191"/>
      <c r="D13" s="191"/>
      <c r="E13" s="191"/>
      <c r="F13" s="122"/>
      <c r="G13" s="201"/>
      <c r="H13" s="113"/>
    </row>
    <row r="14" spans="1:8" ht="15.75" thickTop="1" thickBot="1" x14ac:dyDescent="0.45">
      <c r="A14" s="125" t="s">
        <v>14</v>
      </c>
      <c r="B14" s="126"/>
      <c r="C14" s="188">
        <f>SUM(C9:C13)</f>
        <v>59607446</v>
      </c>
      <c r="D14" s="188">
        <f>SUM(D9:D13)</f>
        <v>9872084</v>
      </c>
      <c r="E14" s="188">
        <f>SUM(E9:E13)</f>
        <v>8259484.4000000004</v>
      </c>
      <c r="F14" s="127">
        <f>(+D14-E14)/E14</f>
        <v>0.19524216305802328</v>
      </c>
      <c r="G14" s="198">
        <f>D14/C14</f>
        <v>0.16561830211614836</v>
      </c>
      <c r="H14" s="113"/>
    </row>
    <row r="15" spans="1:8" ht="15.75" customHeight="1" thickTop="1" x14ac:dyDescent="0.4">
      <c r="A15" s="128"/>
      <c r="B15" s="129"/>
      <c r="C15" s="192"/>
      <c r="D15" s="192"/>
      <c r="E15" s="192"/>
      <c r="F15" s="130"/>
      <c r="G15" s="202"/>
      <c r="H15" s="113"/>
    </row>
    <row r="16" spans="1:8" x14ac:dyDescent="0.4">
      <c r="A16" s="18" t="s">
        <v>15</v>
      </c>
      <c r="B16" s="121">
        <f>DATE(2025,7,1)</f>
        <v>45839</v>
      </c>
      <c r="C16" s="191">
        <v>2659383</v>
      </c>
      <c r="D16" s="191">
        <v>660688.5</v>
      </c>
      <c r="E16" s="191">
        <v>481789</v>
      </c>
      <c r="F16" s="122">
        <f>(+D16-E16)/E16</f>
        <v>0.37132333863994404</v>
      </c>
      <c r="G16" s="201">
        <f>D16/C16</f>
        <v>0.24843676145933097</v>
      </c>
      <c r="H16" s="113"/>
    </row>
    <row r="17" spans="1:8" x14ac:dyDescent="0.4">
      <c r="A17" s="18"/>
      <c r="B17" s="121">
        <f>DATE(2025,8,1)</f>
        <v>45870</v>
      </c>
      <c r="C17" s="191">
        <v>2981006</v>
      </c>
      <c r="D17" s="191">
        <v>701335</v>
      </c>
      <c r="E17" s="191">
        <v>713769.5</v>
      </c>
      <c r="F17" s="122">
        <f>(+D17-E17)/E17</f>
        <v>-1.7420890077258836E-2</v>
      </c>
      <c r="G17" s="201">
        <f>D17/C17</f>
        <v>0.23526789278518728</v>
      </c>
      <c r="H17" s="113"/>
    </row>
    <row r="18" spans="1:8" x14ac:dyDescent="0.4">
      <c r="A18" s="18"/>
      <c r="B18" s="121">
        <f>DATE(2025,9,1)</f>
        <v>45901</v>
      </c>
      <c r="C18" s="191">
        <v>2576166</v>
      </c>
      <c r="D18" s="191">
        <v>579552.5</v>
      </c>
      <c r="E18" s="191">
        <v>548040</v>
      </c>
      <c r="F18" s="122">
        <f>(+D18-E18)/E18</f>
        <v>5.7500364936865923E-2</v>
      </c>
      <c r="G18" s="201">
        <f>D18/C18</f>
        <v>0.22496706345786724</v>
      </c>
      <c r="H18" s="113"/>
    </row>
    <row r="19" spans="1:8" x14ac:dyDescent="0.4">
      <c r="A19" s="18"/>
      <c r="B19" s="121">
        <f>DATE(2025,10,1)</f>
        <v>45931</v>
      </c>
      <c r="C19" s="191">
        <v>2742922</v>
      </c>
      <c r="D19" s="191">
        <v>741986.5</v>
      </c>
      <c r="E19" s="191">
        <v>525427.5</v>
      </c>
      <c r="F19" s="122">
        <f>(+D19-E19)/E19</f>
        <v>0.41215771919056388</v>
      </c>
      <c r="G19" s="201">
        <f>D19/C19</f>
        <v>0.27050951503542575</v>
      </c>
      <c r="H19" s="113"/>
    </row>
    <row r="20" spans="1:8" ht="15.4" thickBot="1" x14ac:dyDescent="0.45">
      <c r="A20" s="123"/>
      <c r="B20" s="121"/>
      <c r="C20" s="191"/>
      <c r="D20" s="191"/>
      <c r="E20" s="191"/>
      <c r="F20" s="122"/>
      <c r="G20" s="201"/>
      <c r="H20" s="113"/>
    </row>
    <row r="21" spans="1:8" ht="15.75" thickTop="1" thickBot="1" x14ac:dyDescent="0.45">
      <c r="A21" s="125" t="s">
        <v>14</v>
      </c>
      <c r="B21" s="126"/>
      <c r="C21" s="188">
        <f>SUM(C16:C20)</f>
        <v>10959477</v>
      </c>
      <c r="D21" s="188">
        <f>SUM(D16:D20)</f>
        <v>2683562.5</v>
      </c>
      <c r="E21" s="188">
        <f>SUM(E16:E20)</f>
        <v>2269026</v>
      </c>
      <c r="F21" s="127">
        <f>(+D21-E21)/E21</f>
        <v>0.18269358746880821</v>
      </c>
      <c r="G21" s="198">
        <f>D21/C21</f>
        <v>0.24486227764335836</v>
      </c>
      <c r="H21" s="113"/>
    </row>
    <row r="22" spans="1:8" ht="15.75" customHeight="1" thickTop="1" x14ac:dyDescent="0.4">
      <c r="A22" s="238"/>
      <c r="B22" s="129"/>
      <c r="C22" s="192"/>
      <c r="D22" s="192"/>
      <c r="E22" s="192"/>
      <c r="F22" s="130"/>
      <c r="G22" s="205"/>
      <c r="H22" s="113"/>
    </row>
    <row r="23" spans="1:8" x14ac:dyDescent="0.4">
      <c r="A23" s="18" t="s">
        <v>62</v>
      </c>
      <c r="B23" s="121">
        <f>DATE(2025,7,1)</f>
        <v>45839</v>
      </c>
      <c r="C23" s="191">
        <v>1369130</v>
      </c>
      <c r="D23" s="191">
        <v>348272</v>
      </c>
      <c r="E23" s="191">
        <v>281475</v>
      </c>
      <c r="F23" s="122">
        <f>(+D23-E23)/E23</f>
        <v>0.23731059596767032</v>
      </c>
      <c r="G23" s="201">
        <f>D23/C23</f>
        <v>0.25437467588906826</v>
      </c>
      <c r="H23" s="113"/>
    </row>
    <row r="24" spans="1:8" x14ac:dyDescent="0.4">
      <c r="A24" s="18"/>
      <c r="B24" s="121">
        <f>DATE(2025,8,1)</f>
        <v>45870</v>
      </c>
      <c r="C24" s="191">
        <v>1473657</v>
      </c>
      <c r="D24" s="191">
        <v>338220.5</v>
      </c>
      <c r="E24" s="191">
        <v>304278.5</v>
      </c>
      <c r="F24" s="122">
        <f>(+D24-E24)/E24</f>
        <v>0.11154912358250747</v>
      </c>
      <c r="G24" s="201">
        <f>D24/C24</f>
        <v>0.2295110056139251</v>
      </c>
      <c r="H24" s="113"/>
    </row>
    <row r="25" spans="1:8" x14ac:dyDescent="0.4">
      <c r="A25" s="18"/>
      <c r="B25" s="121">
        <f>DATE(2025,9,1)</f>
        <v>45901</v>
      </c>
      <c r="C25" s="191">
        <v>1169185</v>
      </c>
      <c r="D25" s="191">
        <v>224864</v>
      </c>
      <c r="E25" s="191">
        <v>260316</v>
      </c>
      <c r="F25" s="122">
        <f>(+D25-E25)/E25</f>
        <v>-0.1361883249588961</v>
      </c>
      <c r="G25" s="201">
        <f>D25/C25</f>
        <v>0.19232542326492386</v>
      </c>
      <c r="H25" s="113"/>
    </row>
    <row r="26" spans="1:8" x14ac:dyDescent="0.4">
      <c r="A26" s="18"/>
      <c r="B26" s="121">
        <f>DATE(2025,10,1)</f>
        <v>45931</v>
      </c>
      <c r="C26" s="191">
        <v>1255924</v>
      </c>
      <c r="D26" s="191">
        <v>281184</v>
      </c>
      <c r="E26" s="191">
        <v>198689</v>
      </c>
      <c r="F26" s="122">
        <f>(+D26-E26)/E26</f>
        <v>0.41519661380348183</v>
      </c>
      <c r="G26" s="201">
        <f>D26/C26</f>
        <v>0.22388615871661025</v>
      </c>
      <c r="H26" s="113"/>
    </row>
    <row r="27" spans="1:8" ht="15.4" thickBot="1" x14ac:dyDescent="0.45">
      <c r="A27" s="123"/>
      <c r="B27" s="121"/>
      <c r="C27" s="191"/>
      <c r="D27" s="191"/>
      <c r="E27" s="191"/>
      <c r="F27" s="122"/>
      <c r="G27" s="201"/>
      <c r="H27" s="113"/>
    </row>
    <row r="28" spans="1:8" ht="15.75" thickTop="1" thickBot="1" x14ac:dyDescent="0.45">
      <c r="A28" s="131" t="s">
        <v>14</v>
      </c>
      <c r="B28" s="132"/>
      <c r="C28" s="193">
        <f>SUM(C23:C27)</f>
        <v>5267896</v>
      </c>
      <c r="D28" s="193">
        <f>SUM(D23:D27)</f>
        <v>1192540.5</v>
      </c>
      <c r="E28" s="193">
        <f>SUM(E23:E27)</f>
        <v>1044758.5</v>
      </c>
      <c r="F28" s="133">
        <f>(+D28-E28)/E28</f>
        <v>0.14145087118219188</v>
      </c>
      <c r="G28" s="203">
        <f>D28/C28</f>
        <v>0.22637889965937064</v>
      </c>
      <c r="H28" s="113"/>
    </row>
    <row r="29" spans="1:8" ht="15.4" thickTop="1" x14ac:dyDescent="0.4">
      <c r="A29" s="123"/>
      <c r="B29" s="124"/>
      <c r="C29" s="191"/>
      <c r="D29" s="191"/>
      <c r="E29" s="191"/>
      <c r="F29" s="122"/>
      <c r="G29" s="204"/>
      <c r="H29" s="113"/>
    </row>
    <row r="30" spans="1:8" x14ac:dyDescent="0.4">
      <c r="A30" s="164" t="s">
        <v>58</v>
      </c>
      <c r="B30" s="121">
        <f>DATE(2025,7,1)</f>
        <v>45839</v>
      </c>
      <c r="C30" s="191">
        <v>16216115</v>
      </c>
      <c r="D30" s="191">
        <v>2993259</v>
      </c>
      <c r="E30" s="191">
        <v>2924457.34</v>
      </c>
      <c r="F30" s="122">
        <f>(+D30-E30)/E30</f>
        <v>2.3526299754470056E-2</v>
      </c>
      <c r="G30" s="201">
        <f>D30/C30</f>
        <v>0.18458545712089486</v>
      </c>
      <c r="H30" s="113"/>
    </row>
    <row r="31" spans="1:8" x14ac:dyDescent="0.4">
      <c r="A31" s="164"/>
      <c r="B31" s="121">
        <f>DATE(2025,8,1)</f>
        <v>45870</v>
      </c>
      <c r="C31" s="191">
        <v>18602092</v>
      </c>
      <c r="D31" s="191">
        <v>4103671.65</v>
      </c>
      <c r="E31" s="191">
        <v>4174786.65</v>
      </c>
      <c r="F31" s="122">
        <f>(+D31-E31)/E31</f>
        <v>-1.7034403422747365E-2</v>
      </c>
      <c r="G31" s="201">
        <f>D31/C31</f>
        <v>0.2206026961913746</v>
      </c>
      <c r="H31" s="113"/>
    </row>
    <row r="32" spans="1:8" x14ac:dyDescent="0.4">
      <c r="A32" s="164"/>
      <c r="B32" s="121">
        <f>DATE(2025,9,1)</f>
        <v>45901</v>
      </c>
      <c r="C32" s="191">
        <v>14563965</v>
      </c>
      <c r="D32" s="191">
        <v>3602227.39</v>
      </c>
      <c r="E32" s="191">
        <v>3153365.16</v>
      </c>
      <c r="F32" s="122">
        <f>(+D32-E32)/E32</f>
        <v>0.14234387938756829</v>
      </c>
      <c r="G32" s="201">
        <f>D32/C32</f>
        <v>0.24733837179641671</v>
      </c>
      <c r="H32" s="113"/>
    </row>
    <row r="33" spans="1:8" x14ac:dyDescent="0.4">
      <c r="A33" s="164"/>
      <c r="B33" s="121">
        <f>DATE(2025,10,1)</f>
        <v>45931</v>
      </c>
      <c r="C33" s="191">
        <v>16207851</v>
      </c>
      <c r="D33" s="191">
        <v>3268929.1</v>
      </c>
      <c r="E33" s="191">
        <v>3337567.1</v>
      </c>
      <c r="F33" s="122">
        <f>(+D33-E33)/E33</f>
        <v>-2.056527942164818E-2</v>
      </c>
      <c r="G33" s="201">
        <f>D33/C33</f>
        <v>0.20168800293141886</v>
      </c>
      <c r="H33" s="113"/>
    </row>
    <row r="34" spans="1:8" ht="15.75" customHeight="1" thickBot="1" x14ac:dyDescent="0.45">
      <c r="A34" s="123"/>
      <c r="B34" s="124"/>
      <c r="C34" s="191"/>
      <c r="D34" s="191"/>
      <c r="E34" s="191"/>
      <c r="F34" s="122"/>
      <c r="G34" s="201"/>
      <c r="H34" s="113"/>
    </row>
    <row r="35" spans="1:8" ht="17.25" customHeight="1" thickTop="1" thickBot="1" x14ac:dyDescent="0.45">
      <c r="A35" s="131" t="s">
        <v>14</v>
      </c>
      <c r="B35" s="132"/>
      <c r="C35" s="193">
        <f>SUM(C30:C34)</f>
        <v>65590023</v>
      </c>
      <c r="D35" s="193">
        <f>SUM(D30:D34)</f>
        <v>13968087.140000001</v>
      </c>
      <c r="E35" s="193">
        <f>SUM(E30:E34)</f>
        <v>13590176.25</v>
      </c>
      <c r="F35" s="133">
        <f>(+D35-E35)/E35</f>
        <v>2.7807651869121316E-2</v>
      </c>
      <c r="G35" s="203">
        <f>D35/C35</f>
        <v>0.21296054645384102</v>
      </c>
      <c r="H35" s="113"/>
    </row>
    <row r="36" spans="1:8" ht="15.75" customHeight="1" thickTop="1" x14ac:dyDescent="0.4">
      <c r="A36" s="123"/>
      <c r="B36" s="124"/>
      <c r="C36" s="191"/>
      <c r="D36" s="191"/>
      <c r="E36" s="191"/>
      <c r="F36" s="122"/>
      <c r="G36" s="204"/>
      <c r="H36" s="113"/>
    </row>
    <row r="37" spans="1:8" ht="15" customHeight="1" x14ac:dyDescent="0.4">
      <c r="A37" s="120" t="s">
        <v>60</v>
      </c>
      <c r="B37" s="121">
        <f>DATE(2025,7,1)</f>
        <v>45839</v>
      </c>
      <c r="C37" s="191">
        <v>14883360</v>
      </c>
      <c r="D37" s="191">
        <v>3222320.5</v>
      </c>
      <c r="E37" s="191">
        <v>2983132</v>
      </c>
      <c r="F37" s="122">
        <f>(+D37-E37)/E37</f>
        <v>8.0180327253369946E-2</v>
      </c>
      <c r="G37" s="201">
        <f>D37/C37</f>
        <v>0.21650490883778931</v>
      </c>
      <c r="H37" s="113"/>
    </row>
    <row r="38" spans="1:8" ht="15" customHeight="1" x14ac:dyDescent="0.4">
      <c r="A38" s="120"/>
      <c r="B38" s="121">
        <f>DATE(2025,8,1)</f>
        <v>45870</v>
      </c>
      <c r="C38" s="191">
        <v>16264831</v>
      </c>
      <c r="D38" s="191">
        <v>3938155</v>
      </c>
      <c r="E38" s="191">
        <v>3594985</v>
      </c>
      <c r="F38" s="122">
        <f>(+D38-E38)/E38</f>
        <v>9.5457978266946866E-2</v>
      </c>
      <c r="G38" s="201">
        <f>D38/C38</f>
        <v>0.2421270162598062</v>
      </c>
      <c r="H38" s="113"/>
    </row>
    <row r="39" spans="1:8" ht="15" customHeight="1" x14ac:dyDescent="0.4">
      <c r="A39" s="120"/>
      <c r="B39" s="121">
        <f>DATE(2025,9,1)</f>
        <v>45901</v>
      </c>
      <c r="C39" s="191">
        <v>14529351</v>
      </c>
      <c r="D39" s="191">
        <v>4156517.5</v>
      </c>
      <c r="E39" s="191">
        <v>3439229.31</v>
      </c>
      <c r="F39" s="122">
        <f>(+D39-E39)/E39</f>
        <v>0.20856073420704824</v>
      </c>
      <c r="G39" s="201">
        <f>D39/C39</f>
        <v>0.28607729966741113</v>
      </c>
      <c r="H39" s="113"/>
    </row>
    <row r="40" spans="1:8" ht="15" customHeight="1" x14ac:dyDescent="0.4">
      <c r="A40" s="120"/>
      <c r="B40" s="121">
        <f>DATE(2025,10,1)</f>
        <v>45931</v>
      </c>
      <c r="C40" s="191">
        <v>16497311</v>
      </c>
      <c r="D40" s="191">
        <v>2284188.5</v>
      </c>
      <c r="E40" s="191">
        <v>3362463</v>
      </c>
      <c r="F40" s="122">
        <f>(+D40-E40)/E40</f>
        <v>-0.3206799598984435</v>
      </c>
      <c r="G40" s="201">
        <f>D40/C40</f>
        <v>0.13845823116264219</v>
      </c>
      <c r="H40" s="113"/>
    </row>
    <row r="41" spans="1:8" ht="15.4" thickBot="1" x14ac:dyDescent="0.45">
      <c r="A41" s="123"/>
      <c r="B41" s="121"/>
      <c r="C41" s="191"/>
      <c r="D41" s="191"/>
      <c r="E41" s="191"/>
      <c r="F41" s="122"/>
      <c r="G41" s="201"/>
      <c r="H41" s="113"/>
    </row>
    <row r="42" spans="1:8" ht="17.25" customHeight="1" thickTop="1" thickBot="1" x14ac:dyDescent="0.45">
      <c r="A42" s="131" t="s">
        <v>14</v>
      </c>
      <c r="B42" s="132"/>
      <c r="C42" s="194">
        <f>SUM(C37:C41)</f>
        <v>62174853</v>
      </c>
      <c r="D42" s="241">
        <f>SUM(D37:D41)</f>
        <v>13601181.5</v>
      </c>
      <c r="E42" s="193">
        <f>SUM(E37:E41)</f>
        <v>13379809.310000001</v>
      </c>
      <c r="F42" s="248">
        <f>(+D42-E42)/E42</f>
        <v>1.6545242527077501E-2</v>
      </c>
      <c r="G42" s="247">
        <f>D42/C42</f>
        <v>0.21875695468069703</v>
      </c>
      <c r="H42" s="113"/>
    </row>
    <row r="43" spans="1:8" ht="15.75" customHeight="1" thickTop="1" x14ac:dyDescent="0.4">
      <c r="A43" s="120"/>
      <c r="B43" s="124"/>
      <c r="C43" s="191"/>
      <c r="D43" s="191"/>
      <c r="E43" s="191"/>
      <c r="F43" s="122"/>
      <c r="G43" s="204"/>
      <c r="H43" s="113"/>
    </row>
    <row r="44" spans="1:8" x14ac:dyDescent="0.4">
      <c r="A44" s="120" t="s">
        <v>64</v>
      </c>
      <c r="B44" s="121">
        <f>DATE(2025,7,1)</f>
        <v>45839</v>
      </c>
      <c r="C44" s="191">
        <v>3331757</v>
      </c>
      <c r="D44" s="191">
        <v>734009.5</v>
      </c>
      <c r="E44" s="191">
        <v>749499</v>
      </c>
      <c r="F44" s="122">
        <f>(+D44-E44)/E44</f>
        <v>-2.0666471869875743E-2</v>
      </c>
      <c r="G44" s="201">
        <f>D44/C44</f>
        <v>0.2203070331959984</v>
      </c>
      <c r="H44" s="113"/>
    </row>
    <row r="45" spans="1:8" x14ac:dyDescent="0.4">
      <c r="A45" s="120"/>
      <c r="B45" s="121">
        <f>DATE(2025,8,1)</f>
        <v>45870</v>
      </c>
      <c r="C45" s="191">
        <v>3602540</v>
      </c>
      <c r="D45" s="191">
        <v>626879.5</v>
      </c>
      <c r="E45" s="191">
        <v>714655.5</v>
      </c>
      <c r="F45" s="122">
        <f>(+D45-E45)/E45</f>
        <v>-0.12282281462886664</v>
      </c>
      <c r="G45" s="201">
        <f>D45/C45</f>
        <v>0.17401042042558862</v>
      </c>
      <c r="H45" s="113"/>
    </row>
    <row r="46" spans="1:8" x14ac:dyDescent="0.4">
      <c r="A46" s="120"/>
      <c r="B46" s="121">
        <f>DATE(2025,9,1)</f>
        <v>45901</v>
      </c>
      <c r="C46" s="191">
        <v>3228814</v>
      </c>
      <c r="D46" s="191">
        <v>822920.5</v>
      </c>
      <c r="E46" s="191">
        <v>930975</v>
      </c>
      <c r="F46" s="122">
        <f>(+D46-E46)/E46</f>
        <v>-0.11606595236177127</v>
      </c>
      <c r="G46" s="201">
        <f>D46/C46</f>
        <v>0.25486773161910226</v>
      </c>
      <c r="H46" s="113"/>
    </row>
    <row r="47" spans="1:8" x14ac:dyDescent="0.4">
      <c r="A47" s="120"/>
      <c r="B47" s="121">
        <f>DATE(2025,10,1)</f>
        <v>45931</v>
      </c>
      <c r="C47" s="191">
        <v>2806028</v>
      </c>
      <c r="D47" s="191">
        <v>608944.5</v>
      </c>
      <c r="E47" s="191">
        <v>723018.5</v>
      </c>
      <c r="F47" s="122">
        <f>(+D47-E47)/E47</f>
        <v>-0.1577746627506765</v>
      </c>
      <c r="G47" s="201">
        <f>D47/C47</f>
        <v>0.21701298062599517</v>
      </c>
      <c r="H47" s="113"/>
    </row>
    <row r="48" spans="1:8" ht="15.75" customHeight="1" thickBot="1" x14ac:dyDescent="0.45">
      <c r="A48" s="120"/>
      <c r="B48" s="121"/>
      <c r="C48" s="191"/>
      <c r="D48" s="191"/>
      <c r="E48" s="191"/>
      <c r="F48" s="122"/>
      <c r="G48" s="201"/>
      <c r="H48" s="113"/>
    </row>
    <row r="49" spans="1:8" ht="15.75" thickTop="1" thickBot="1" x14ac:dyDescent="0.45">
      <c r="A49" s="131" t="s">
        <v>14</v>
      </c>
      <c r="B49" s="132"/>
      <c r="C49" s="194">
        <f>SUM(C44:C48)</f>
        <v>12969139</v>
      </c>
      <c r="D49" s="241">
        <f>SUM(D44:D48)</f>
        <v>2792754</v>
      </c>
      <c r="E49" s="194">
        <f>SUM(E44:E48)</f>
        <v>3118148</v>
      </c>
      <c r="F49" s="248">
        <f>(+D49-E49)/E49</f>
        <v>-0.10435489271195594</v>
      </c>
      <c r="G49" s="247">
        <f>D49/C49</f>
        <v>0.21533842763193456</v>
      </c>
      <c r="H49" s="113"/>
    </row>
    <row r="50" spans="1:8" ht="15.75" customHeight="1" thickTop="1" x14ac:dyDescent="0.4">
      <c r="A50" s="120"/>
      <c r="B50" s="124"/>
      <c r="C50" s="191"/>
      <c r="D50" s="191"/>
      <c r="E50" s="191"/>
      <c r="F50" s="122"/>
      <c r="G50" s="204"/>
      <c r="H50" s="113"/>
    </row>
    <row r="51" spans="1:8" x14ac:dyDescent="0.4">
      <c r="A51" s="120" t="s">
        <v>67</v>
      </c>
      <c r="B51" s="121">
        <f>DATE(2025,7,1)</f>
        <v>45839</v>
      </c>
      <c r="C51" s="191">
        <v>3744976</v>
      </c>
      <c r="D51" s="191">
        <v>651025.5</v>
      </c>
      <c r="E51" s="191">
        <v>1112358.5</v>
      </c>
      <c r="F51" s="122">
        <f>(+D51-E51)/E51</f>
        <v>-0.41473409876402256</v>
      </c>
      <c r="G51" s="201">
        <f>D51/C51</f>
        <v>0.17383969883919148</v>
      </c>
      <c r="H51" s="113"/>
    </row>
    <row r="52" spans="1:8" x14ac:dyDescent="0.4">
      <c r="A52" s="120"/>
      <c r="B52" s="121">
        <f>DATE(2025,8,1)</f>
        <v>45870</v>
      </c>
      <c r="C52" s="191">
        <v>4062461</v>
      </c>
      <c r="D52" s="191">
        <v>722686</v>
      </c>
      <c r="E52" s="191">
        <v>743956</v>
      </c>
      <c r="F52" s="122">
        <f>(+D52-E52)/E52</f>
        <v>-2.8590400507556898E-2</v>
      </c>
      <c r="G52" s="201">
        <f>D52/C52</f>
        <v>0.17789364624054238</v>
      </c>
      <c r="H52" s="113"/>
    </row>
    <row r="53" spans="1:8" x14ac:dyDescent="0.4">
      <c r="A53" s="120"/>
      <c r="B53" s="121">
        <f>DATE(2025,9,1)</f>
        <v>45901</v>
      </c>
      <c r="C53" s="191">
        <v>3460423</v>
      </c>
      <c r="D53" s="191">
        <v>651690.5</v>
      </c>
      <c r="E53" s="191">
        <v>865028.5</v>
      </c>
      <c r="F53" s="122">
        <f>(+D53-E53)/E53</f>
        <v>-0.24662540020357709</v>
      </c>
      <c r="G53" s="201">
        <f>D53/C53</f>
        <v>0.18832683171970593</v>
      </c>
      <c r="H53" s="113"/>
    </row>
    <row r="54" spans="1:8" x14ac:dyDescent="0.4">
      <c r="A54" s="120"/>
      <c r="B54" s="121">
        <f>DATE(2025,10,1)</f>
        <v>45931</v>
      </c>
      <c r="C54" s="191">
        <v>3680288</v>
      </c>
      <c r="D54" s="191">
        <v>602434</v>
      </c>
      <c r="E54" s="191">
        <v>1107084</v>
      </c>
      <c r="F54" s="122">
        <f>(+D54-E54)/E54</f>
        <v>-0.45583713611613935</v>
      </c>
      <c r="G54" s="201">
        <f>D54/C54</f>
        <v>0.16369208061977758</v>
      </c>
      <c r="H54" s="113"/>
    </row>
    <row r="55" spans="1:8" ht="15.75" customHeight="1" thickBot="1" x14ac:dyDescent="0.45">
      <c r="A55" s="120"/>
      <c r="B55" s="121"/>
      <c r="C55" s="191"/>
      <c r="D55" s="191"/>
      <c r="E55" s="191"/>
      <c r="F55" s="122"/>
      <c r="G55" s="201"/>
      <c r="H55" s="113"/>
    </row>
    <row r="56" spans="1:8" ht="15.75" thickTop="1" thickBot="1" x14ac:dyDescent="0.45">
      <c r="A56" s="131" t="s">
        <v>14</v>
      </c>
      <c r="B56" s="132"/>
      <c r="C56" s="194">
        <f>SUM(C51:C55)</f>
        <v>14948148</v>
      </c>
      <c r="D56" s="241">
        <f>SUM(D51:D55)</f>
        <v>2627836</v>
      </c>
      <c r="E56" s="194">
        <f>SUM(E51:E55)</f>
        <v>3828427</v>
      </c>
      <c r="F56" s="249">
        <f>(+D56-E56)/E56</f>
        <v>-0.31359903166496317</v>
      </c>
      <c r="G56" s="247">
        <f>D56/C56</f>
        <v>0.17579676090977958</v>
      </c>
      <c r="H56" s="113"/>
    </row>
    <row r="57" spans="1:8" ht="15.75" customHeight="1" thickTop="1" x14ac:dyDescent="0.4">
      <c r="A57" s="120"/>
      <c r="B57" s="129"/>
      <c r="C57" s="192"/>
      <c r="D57" s="192"/>
      <c r="E57" s="192"/>
      <c r="F57" s="130"/>
      <c r="G57" s="202"/>
      <c r="H57" s="113"/>
    </row>
    <row r="58" spans="1:8" x14ac:dyDescent="0.4">
      <c r="A58" s="120" t="s">
        <v>69</v>
      </c>
      <c r="B58" s="121">
        <f>DATE(2025,7,1)</f>
        <v>45839</v>
      </c>
      <c r="C58" s="191">
        <v>7856217</v>
      </c>
      <c r="D58" s="191">
        <v>1689752.84</v>
      </c>
      <c r="E58" s="191">
        <v>1491620.4</v>
      </c>
      <c r="F58" s="122">
        <f>(+D58-E58)/E58</f>
        <v>0.13283033672642194</v>
      </c>
      <c r="G58" s="201">
        <f>D58/C58</f>
        <v>0.21508479717400883</v>
      </c>
      <c r="H58" s="113"/>
    </row>
    <row r="59" spans="1:8" x14ac:dyDescent="0.4">
      <c r="A59" s="120"/>
      <c r="B59" s="121">
        <f>DATE(2025,8,1)</f>
        <v>45870</v>
      </c>
      <c r="C59" s="191">
        <v>8255461</v>
      </c>
      <c r="D59" s="191">
        <v>2210201.46</v>
      </c>
      <c r="E59" s="191">
        <v>1342748.66</v>
      </c>
      <c r="F59" s="122">
        <f>(+D59-E59)/E59</f>
        <v>0.6460276787764585</v>
      </c>
      <c r="G59" s="201">
        <f>D59/C59</f>
        <v>0.26772598889389704</v>
      </c>
      <c r="H59" s="113"/>
    </row>
    <row r="60" spans="1:8" x14ac:dyDescent="0.4">
      <c r="A60" s="120"/>
      <c r="B60" s="121">
        <f>DATE(2025,9,1)</f>
        <v>45901</v>
      </c>
      <c r="C60" s="191">
        <v>7703181.5</v>
      </c>
      <c r="D60" s="191">
        <v>1784251.36</v>
      </c>
      <c r="E60" s="191">
        <v>1469217.16</v>
      </c>
      <c r="F60" s="122">
        <f>(+D60-E60)/E60</f>
        <v>0.21442316941084474</v>
      </c>
      <c r="G60" s="201">
        <f>D60/C60</f>
        <v>0.23162525250119059</v>
      </c>
      <c r="H60" s="113"/>
    </row>
    <row r="61" spans="1:8" x14ac:dyDescent="0.4">
      <c r="A61" s="120"/>
      <c r="B61" s="121">
        <f>DATE(2025,10,1)</f>
        <v>45931</v>
      </c>
      <c r="C61" s="191">
        <v>7807817</v>
      </c>
      <c r="D61" s="191">
        <v>1573125</v>
      </c>
      <c r="E61" s="191">
        <v>1142918.93</v>
      </c>
      <c r="F61" s="122">
        <f>(+D61-E61)/E61</f>
        <v>0.37640996111596481</v>
      </c>
      <c r="G61" s="201">
        <f>D61/C61</f>
        <v>0.2014807724105214</v>
      </c>
      <c r="H61" s="113"/>
    </row>
    <row r="62" spans="1:8" ht="15.75" customHeight="1" thickBot="1" x14ac:dyDescent="0.45">
      <c r="A62" s="120"/>
      <c r="B62" s="121"/>
      <c r="C62" s="191"/>
      <c r="D62" s="191"/>
      <c r="E62" s="191"/>
      <c r="F62" s="122"/>
      <c r="G62" s="201"/>
      <c r="H62" s="113"/>
    </row>
    <row r="63" spans="1:8" ht="15.75" thickTop="1" thickBot="1" x14ac:dyDescent="0.45">
      <c r="A63" s="131" t="s">
        <v>14</v>
      </c>
      <c r="B63" s="132"/>
      <c r="C63" s="193">
        <f>SUM(C58:C62)</f>
        <v>31622676.5</v>
      </c>
      <c r="D63" s="193">
        <f>SUM(D58:D62)</f>
        <v>7257330.6600000001</v>
      </c>
      <c r="E63" s="193">
        <f>SUM(E58:E62)</f>
        <v>5446505.1499999994</v>
      </c>
      <c r="F63" s="133">
        <f>(+D63-E63)/E63</f>
        <v>0.33247476319746083</v>
      </c>
      <c r="G63" s="203">
        <f>D63/C63</f>
        <v>0.22949767265904897</v>
      </c>
      <c r="H63" s="113"/>
    </row>
    <row r="64" spans="1:8" ht="15.75" customHeight="1" thickTop="1" x14ac:dyDescent="0.4">
      <c r="A64" s="128"/>
      <c r="B64" s="129"/>
      <c r="C64" s="192"/>
      <c r="D64" s="192"/>
      <c r="E64" s="192"/>
      <c r="F64" s="130"/>
      <c r="G64" s="202"/>
      <c r="H64" s="113"/>
    </row>
    <row r="65" spans="1:8" x14ac:dyDescent="0.4">
      <c r="A65" s="120" t="s">
        <v>16</v>
      </c>
      <c r="B65" s="121">
        <f>DATE(2025,7,1)</f>
        <v>45839</v>
      </c>
      <c r="C65" s="191">
        <v>9457573</v>
      </c>
      <c r="D65" s="191">
        <v>2213338.5</v>
      </c>
      <c r="E65" s="191">
        <v>2089350</v>
      </c>
      <c r="F65" s="122">
        <f>(+D65-E65)/E65</f>
        <v>5.9343097135472755E-2</v>
      </c>
      <c r="G65" s="201">
        <f>D65/C65</f>
        <v>0.23402816980635519</v>
      </c>
      <c r="H65" s="113"/>
    </row>
    <row r="66" spans="1:8" x14ac:dyDescent="0.4">
      <c r="A66" s="120"/>
      <c r="B66" s="121">
        <f>DATE(2025,8,1)</f>
        <v>45870</v>
      </c>
      <c r="C66" s="191">
        <v>9990142</v>
      </c>
      <c r="D66" s="191">
        <v>1935718.5</v>
      </c>
      <c r="E66" s="191">
        <v>2032596</v>
      </c>
      <c r="F66" s="122">
        <f>(+D66-E66)/E66</f>
        <v>-4.7661955450074685E-2</v>
      </c>
      <c r="G66" s="201">
        <f>D66/C66</f>
        <v>0.19376286142879651</v>
      </c>
      <c r="H66" s="113"/>
    </row>
    <row r="67" spans="1:8" x14ac:dyDescent="0.4">
      <c r="A67" s="120"/>
      <c r="B67" s="121">
        <f>DATE(2025,9,1)</f>
        <v>45901</v>
      </c>
      <c r="C67" s="191">
        <v>9229587</v>
      </c>
      <c r="D67" s="191">
        <v>1857060</v>
      </c>
      <c r="E67" s="191">
        <v>2006849.5</v>
      </c>
      <c r="F67" s="122">
        <f>(+D67-E67)/E67</f>
        <v>-7.4639129640762802E-2</v>
      </c>
      <c r="G67" s="201">
        <f>D67/C67</f>
        <v>0.20120726962105673</v>
      </c>
      <c r="H67" s="113"/>
    </row>
    <row r="68" spans="1:8" x14ac:dyDescent="0.4">
      <c r="A68" s="120"/>
      <c r="B68" s="121">
        <f>DATE(2025,10,1)</f>
        <v>45931</v>
      </c>
      <c r="C68" s="191">
        <v>10041578</v>
      </c>
      <c r="D68" s="191">
        <v>1785644</v>
      </c>
      <c r="E68" s="191">
        <v>1749191</v>
      </c>
      <c r="F68" s="122">
        <f>(+D68-E68)/E68</f>
        <v>2.0839919711455181E-2</v>
      </c>
      <c r="G68" s="201">
        <f>D68/C68</f>
        <v>0.17782503905262698</v>
      </c>
      <c r="H68" s="113"/>
    </row>
    <row r="69" spans="1:8" ht="15.75" customHeight="1" thickBot="1" x14ac:dyDescent="0.45">
      <c r="A69" s="120"/>
      <c r="B69" s="121"/>
      <c r="C69" s="191"/>
      <c r="D69" s="191"/>
      <c r="E69" s="191"/>
      <c r="F69" s="122"/>
      <c r="G69" s="201"/>
      <c r="H69" s="113"/>
    </row>
    <row r="70" spans="1:8" ht="15.75" thickTop="1" thickBot="1" x14ac:dyDescent="0.45">
      <c r="A70" s="131" t="s">
        <v>14</v>
      </c>
      <c r="B70" s="132"/>
      <c r="C70" s="193">
        <f>SUM(C65:C69)</f>
        <v>38718880</v>
      </c>
      <c r="D70" s="193">
        <f>SUM(D65:D69)</f>
        <v>7791761</v>
      </c>
      <c r="E70" s="193">
        <f>SUM(E65:E69)</f>
        <v>7877986.5</v>
      </c>
      <c r="F70" s="133">
        <f>(+D70-E70)/E70</f>
        <v>-1.0945119035174788E-2</v>
      </c>
      <c r="G70" s="203">
        <f>D70/C70</f>
        <v>0.20123931787283103</v>
      </c>
      <c r="H70" s="113"/>
    </row>
    <row r="71" spans="1:8" ht="15.75" customHeight="1" thickTop="1" x14ac:dyDescent="0.4">
      <c r="A71" s="128"/>
      <c r="B71" s="129"/>
      <c r="C71" s="192"/>
      <c r="D71" s="192"/>
      <c r="E71" s="192"/>
      <c r="F71" s="130"/>
      <c r="G71" s="202"/>
      <c r="H71" s="113"/>
    </row>
    <row r="72" spans="1:8" x14ac:dyDescent="0.4">
      <c r="A72" s="120" t="s">
        <v>53</v>
      </c>
      <c r="B72" s="121">
        <f>DATE(2025,7,1)</f>
        <v>45839</v>
      </c>
      <c r="C72" s="191">
        <v>15237163</v>
      </c>
      <c r="D72" s="191">
        <v>2238507.35</v>
      </c>
      <c r="E72" s="191">
        <v>2603604.12</v>
      </c>
      <c r="F72" s="122">
        <f>(+D72-E72)/E72</f>
        <v>-0.14022745132236156</v>
      </c>
      <c r="G72" s="201">
        <f>D72/C72</f>
        <v>0.14691103258526539</v>
      </c>
      <c r="H72" s="113"/>
    </row>
    <row r="73" spans="1:8" x14ac:dyDescent="0.4">
      <c r="A73" s="120"/>
      <c r="B73" s="121">
        <f>DATE(2025,8,1)</f>
        <v>45870</v>
      </c>
      <c r="C73" s="191">
        <v>15717335</v>
      </c>
      <c r="D73" s="191">
        <v>3124514.38</v>
      </c>
      <c r="E73" s="191">
        <v>2949818.5</v>
      </c>
      <c r="F73" s="122">
        <f>(+D73-E73)/E73</f>
        <v>5.922258606758344E-2</v>
      </c>
      <c r="G73" s="201">
        <f>D73/C73</f>
        <v>0.1987941581699442</v>
      </c>
      <c r="H73" s="113"/>
    </row>
    <row r="74" spans="1:8" x14ac:dyDescent="0.4">
      <c r="A74" s="120"/>
      <c r="B74" s="121">
        <f>DATE(2025,9,1)</f>
        <v>45901</v>
      </c>
      <c r="C74" s="191">
        <v>13914068</v>
      </c>
      <c r="D74" s="191">
        <v>2710984.71</v>
      </c>
      <c r="E74" s="191">
        <v>2558580.2400000002</v>
      </c>
      <c r="F74" s="122">
        <f>(+D74-E74)/E74</f>
        <v>5.9566031042278249E-2</v>
      </c>
      <c r="G74" s="201">
        <f>D74/C74</f>
        <v>0.1948376786716868</v>
      </c>
      <c r="H74" s="113"/>
    </row>
    <row r="75" spans="1:8" x14ac:dyDescent="0.4">
      <c r="A75" s="120"/>
      <c r="B75" s="121">
        <f>DATE(2025,10,1)</f>
        <v>45931</v>
      </c>
      <c r="C75" s="191">
        <v>13536511</v>
      </c>
      <c r="D75" s="191">
        <v>2921217.18</v>
      </c>
      <c r="E75" s="191">
        <v>2936056.53</v>
      </c>
      <c r="F75" s="122">
        <f>(+D75-E75)/E75</f>
        <v>-5.0541772095919514E-3</v>
      </c>
      <c r="G75" s="201">
        <f>D75/C75</f>
        <v>0.21580281506807775</v>
      </c>
      <c r="H75" s="113"/>
    </row>
    <row r="76" spans="1:8" ht="15.4" thickBot="1" x14ac:dyDescent="0.45">
      <c r="A76" s="123"/>
      <c r="B76" s="121"/>
      <c r="C76" s="191"/>
      <c r="D76" s="191"/>
      <c r="E76" s="191"/>
      <c r="F76" s="122"/>
      <c r="G76" s="201"/>
      <c r="H76" s="113"/>
    </row>
    <row r="77" spans="1:8" ht="15.75" thickTop="1" thickBot="1" x14ac:dyDescent="0.45">
      <c r="A77" s="131" t="s">
        <v>14</v>
      </c>
      <c r="B77" s="132"/>
      <c r="C77" s="194">
        <f>SUM(C72:C76)</f>
        <v>58405077</v>
      </c>
      <c r="D77" s="194">
        <f>SUM(D72:D76)</f>
        <v>10995223.620000001</v>
      </c>
      <c r="E77" s="194">
        <f>SUM(E72:E76)</f>
        <v>11048059.390000001</v>
      </c>
      <c r="F77" s="133">
        <f>(+D77-E77)/E77</f>
        <v>-4.7823575285830854E-3</v>
      </c>
      <c r="G77" s="247">
        <f>D77/C77</f>
        <v>0.18825801085751503</v>
      </c>
      <c r="H77" s="113"/>
    </row>
    <row r="78" spans="1:8" ht="15.75" customHeight="1" thickTop="1" x14ac:dyDescent="0.4">
      <c r="A78" s="128"/>
      <c r="B78" s="129"/>
      <c r="C78" s="192"/>
      <c r="D78" s="192"/>
      <c r="E78" s="192"/>
      <c r="F78" s="130"/>
      <c r="G78" s="205"/>
      <c r="H78" s="113"/>
    </row>
    <row r="79" spans="1:8" x14ac:dyDescent="0.4">
      <c r="A79" s="120" t="s">
        <v>54</v>
      </c>
      <c r="B79" s="121">
        <f>DATE(2025,7,1)</f>
        <v>45839</v>
      </c>
      <c r="C79" s="191">
        <v>0</v>
      </c>
      <c r="D79" s="191">
        <v>0</v>
      </c>
      <c r="E79" s="191">
        <v>0</v>
      </c>
      <c r="F79" s="122">
        <v>0</v>
      </c>
      <c r="G79" s="201">
        <v>0</v>
      </c>
      <c r="H79" s="113"/>
    </row>
    <row r="80" spans="1:8" x14ac:dyDescent="0.4">
      <c r="A80" s="120"/>
      <c r="B80" s="121">
        <f>DATE(2025,8,1)</f>
        <v>45870</v>
      </c>
      <c r="C80" s="191">
        <v>0</v>
      </c>
      <c r="D80" s="191">
        <v>0</v>
      </c>
      <c r="E80" s="191">
        <v>0</v>
      </c>
      <c r="F80" s="122">
        <v>0</v>
      </c>
      <c r="G80" s="201">
        <v>0</v>
      </c>
      <c r="H80" s="113"/>
    </row>
    <row r="81" spans="1:8" x14ac:dyDescent="0.4">
      <c r="A81" s="120"/>
      <c r="B81" s="121">
        <f>DATE(2025,9,1)</f>
        <v>45901</v>
      </c>
      <c r="C81" s="191">
        <v>0</v>
      </c>
      <c r="D81" s="191">
        <v>0</v>
      </c>
      <c r="E81" s="191">
        <v>0</v>
      </c>
      <c r="F81" s="122">
        <v>0</v>
      </c>
      <c r="G81" s="201">
        <v>0</v>
      </c>
      <c r="H81" s="113"/>
    </row>
    <row r="82" spans="1:8" x14ac:dyDescent="0.4">
      <c r="A82" s="120"/>
      <c r="B82" s="121">
        <f>DATE(2025,10,1)</f>
        <v>45931</v>
      </c>
      <c r="C82" s="191">
        <v>0</v>
      </c>
      <c r="D82" s="191">
        <v>0</v>
      </c>
      <c r="E82" s="191">
        <v>0</v>
      </c>
      <c r="F82" s="122">
        <v>0</v>
      </c>
      <c r="G82" s="201">
        <v>0</v>
      </c>
      <c r="H82" s="113"/>
    </row>
    <row r="83" spans="1:8" ht="15.4" thickBot="1" x14ac:dyDescent="0.45">
      <c r="A83" s="123"/>
      <c r="B83" s="124"/>
      <c r="C83" s="191"/>
      <c r="D83" s="191"/>
      <c r="E83" s="191"/>
      <c r="F83" s="122"/>
      <c r="G83" s="201"/>
      <c r="H83" s="113"/>
    </row>
    <row r="84" spans="1:8" ht="15.75" thickTop="1" thickBot="1" x14ac:dyDescent="0.45">
      <c r="A84" s="134" t="s">
        <v>14</v>
      </c>
      <c r="B84" s="135"/>
      <c r="C84" s="194">
        <f>SUM(C79:C83)</f>
        <v>0</v>
      </c>
      <c r="D84" s="194">
        <f>SUM(D79:D83)</f>
        <v>0</v>
      </c>
      <c r="E84" s="194">
        <f>SUM(E79:E83)</f>
        <v>0</v>
      </c>
      <c r="F84" s="133">
        <v>0</v>
      </c>
      <c r="G84" s="203">
        <v>0</v>
      </c>
      <c r="H84" s="113"/>
    </row>
    <row r="85" spans="1:8" ht="15.75" customHeight="1" thickTop="1" x14ac:dyDescent="0.4">
      <c r="A85" s="120"/>
      <c r="B85" s="124"/>
      <c r="C85" s="191"/>
      <c r="D85" s="191"/>
      <c r="E85" s="191"/>
      <c r="F85" s="122"/>
      <c r="G85" s="204"/>
      <c r="H85" s="113"/>
    </row>
    <row r="86" spans="1:8" x14ac:dyDescent="0.4">
      <c r="A86" s="120" t="s">
        <v>37</v>
      </c>
      <c r="B86" s="121">
        <f>DATE(2025,7,1)</f>
        <v>45839</v>
      </c>
      <c r="C86" s="191">
        <v>22987346</v>
      </c>
      <c r="D86" s="191">
        <v>4388523.87</v>
      </c>
      <c r="E86" s="191">
        <v>4532513.72</v>
      </c>
      <c r="F86" s="122">
        <f>(+D86-E86)/E86</f>
        <v>-3.1768210510789062E-2</v>
      </c>
      <c r="G86" s="201">
        <f>D86/C86</f>
        <v>0.19091041958475763</v>
      </c>
      <c r="H86" s="113"/>
    </row>
    <row r="87" spans="1:8" x14ac:dyDescent="0.4">
      <c r="A87" s="120"/>
      <c r="B87" s="121">
        <f>DATE(2025,8,1)</f>
        <v>45870</v>
      </c>
      <c r="C87" s="191">
        <v>22289536</v>
      </c>
      <c r="D87" s="191">
        <v>4972073.57</v>
      </c>
      <c r="E87" s="191">
        <v>4951353.17</v>
      </c>
      <c r="F87" s="122">
        <f>(+D87-E87)/E87</f>
        <v>4.1847954061415447E-3</v>
      </c>
      <c r="G87" s="201">
        <f>D87/C87</f>
        <v>0.22306761208488146</v>
      </c>
      <c r="H87" s="113"/>
    </row>
    <row r="88" spans="1:8" x14ac:dyDescent="0.4">
      <c r="A88" s="120"/>
      <c r="B88" s="121">
        <f>DATE(2025,9,1)</f>
        <v>45901</v>
      </c>
      <c r="C88" s="191">
        <v>19909806</v>
      </c>
      <c r="D88" s="191">
        <v>4174161.5</v>
      </c>
      <c r="E88" s="191">
        <v>4582987.34</v>
      </c>
      <c r="F88" s="122">
        <f>(+D88-E88)/E88</f>
        <v>-8.9205099135185456E-2</v>
      </c>
      <c r="G88" s="201">
        <f>D88/C88</f>
        <v>0.20965354961268834</v>
      </c>
      <c r="H88" s="113"/>
    </row>
    <row r="89" spans="1:8" x14ac:dyDescent="0.4">
      <c r="A89" s="120"/>
      <c r="B89" s="121">
        <f>DATE(2025,10,1)</f>
        <v>45931</v>
      </c>
      <c r="C89" s="191">
        <v>20889933</v>
      </c>
      <c r="D89" s="191">
        <v>4997786.5999999996</v>
      </c>
      <c r="E89" s="191">
        <v>4731206.4800000004</v>
      </c>
      <c r="F89" s="122">
        <f>(+D89-E89)/E89</f>
        <v>5.6345061482076589E-2</v>
      </c>
      <c r="G89" s="201">
        <f>D89/C89</f>
        <v>0.23924378311792574</v>
      </c>
      <c r="H89" s="113"/>
    </row>
    <row r="90" spans="1:8" ht="15.4" thickBot="1" x14ac:dyDescent="0.45">
      <c r="A90" s="123"/>
      <c r="B90" s="124"/>
      <c r="C90" s="191"/>
      <c r="D90" s="191"/>
      <c r="E90" s="191"/>
      <c r="F90" s="122"/>
      <c r="G90" s="201"/>
      <c r="H90" s="113"/>
    </row>
    <row r="91" spans="1:8" ht="15.75" thickTop="1" thickBot="1" x14ac:dyDescent="0.45">
      <c r="A91" s="131" t="s">
        <v>14</v>
      </c>
      <c r="B91" s="132"/>
      <c r="C91" s="193">
        <f>SUM(C86:C90)</f>
        <v>86076621</v>
      </c>
      <c r="D91" s="194">
        <f>SUM(D86:D90)</f>
        <v>18532545.539999999</v>
      </c>
      <c r="E91" s="193">
        <f>SUM(E86:E90)</f>
        <v>18798060.710000001</v>
      </c>
      <c r="F91" s="133">
        <f>(+D91-E91)/E91</f>
        <v>-1.4124604345955524E-2</v>
      </c>
      <c r="G91" s="203">
        <f>D91/C91</f>
        <v>0.21530289322114537</v>
      </c>
      <c r="H91" s="113"/>
    </row>
    <row r="92" spans="1:8" ht="15.75" customHeight="1" thickTop="1" x14ac:dyDescent="0.4">
      <c r="A92" s="120"/>
      <c r="B92" s="124"/>
      <c r="C92" s="191"/>
      <c r="D92" s="191"/>
      <c r="E92" s="191"/>
      <c r="F92" s="122"/>
      <c r="G92" s="204"/>
      <c r="H92" s="113"/>
    </row>
    <row r="93" spans="1:8" x14ac:dyDescent="0.4">
      <c r="A93" s="120" t="s">
        <v>57</v>
      </c>
      <c r="B93" s="121">
        <f>DATE(2025,7,1)</f>
        <v>45839</v>
      </c>
      <c r="C93" s="191">
        <v>603284</v>
      </c>
      <c r="D93" s="191">
        <v>176713.5</v>
      </c>
      <c r="E93" s="191">
        <v>133926.5</v>
      </c>
      <c r="F93" s="122">
        <f>(+D93-E93)/E93</f>
        <v>0.3194812079760167</v>
      </c>
      <c r="G93" s="201">
        <f>D93/C93</f>
        <v>0.292919255276122</v>
      </c>
      <c r="H93" s="113"/>
    </row>
    <row r="94" spans="1:8" x14ac:dyDescent="0.4">
      <c r="A94" s="120"/>
      <c r="B94" s="121">
        <f>DATE(2025,8,1)</f>
        <v>45870</v>
      </c>
      <c r="C94" s="191">
        <v>600824</v>
      </c>
      <c r="D94" s="191">
        <v>225401</v>
      </c>
      <c r="E94" s="191">
        <v>188568.5</v>
      </c>
      <c r="F94" s="122">
        <f>(+D94-E94)/E94</f>
        <v>0.19532689712226592</v>
      </c>
      <c r="G94" s="201">
        <f>D94/C94</f>
        <v>0.37515312304435244</v>
      </c>
      <c r="H94" s="113"/>
    </row>
    <row r="95" spans="1:8" x14ac:dyDescent="0.4">
      <c r="A95" s="120"/>
      <c r="B95" s="121">
        <f>DATE(2025,9,1)</f>
        <v>45901</v>
      </c>
      <c r="C95" s="191">
        <v>478325</v>
      </c>
      <c r="D95" s="191">
        <v>-59552.65</v>
      </c>
      <c r="E95" s="191">
        <v>118770</v>
      </c>
      <c r="F95" s="122">
        <f>(+D95-E95)/E95</f>
        <v>-1.5014115517386546</v>
      </c>
      <c r="G95" s="201">
        <f>D95/C95</f>
        <v>-0.12450248262164847</v>
      </c>
      <c r="H95" s="113"/>
    </row>
    <row r="96" spans="1:8" x14ac:dyDescent="0.4">
      <c r="A96" s="120"/>
      <c r="B96" s="121">
        <f>DATE(2025,10,1)</f>
        <v>45931</v>
      </c>
      <c r="C96" s="191">
        <v>480228</v>
      </c>
      <c r="D96" s="191">
        <v>116653.5</v>
      </c>
      <c r="E96" s="191">
        <v>142953</v>
      </c>
      <c r="F96" s="122">
        <f>(+D96-E96)/E96</f>
        <v>-0.18397305408071185</v>
      </c>
      <c r="G96" s="201">
        <f>D96/C96</f>
        <v>0.2429127414478123</v>
      </c>
      <c r="H96" s="113"/>
    </row>
    <row r="97" spans="1:8" ht="15.4" thickBot="1" x14ac:dyDescent="0.45">
      <c r="A97" s="123"/>
      <c r="B97" s="124"/>
      <c r="C97" s="191"/>
      <c r="D97" s="191"/>
      <c r="E97" s="191"/>
      <c r="F97" s="122"/>
      <c r="G97" s="201"/>
      <c r="H97" s="113"/>
    </row>
    <row r="98" spans="1:8" ht="15.75" thickTop="1" thickBot="1" x14ac:dyDescent="0.45">
      <c r="A98" s="125" t="s">
        <v>14</v>
      </c>
      <c r="B98" s="126"/>
      <c r="C98" s="188">
        <f>SUM(C93:C97)</f>
        <v>2162661</v>
      </c>
      <c r="D98" s="194">
        <f>SUM(D93:D97)</f>
        <v>459215.35</v>
      </c>
      <c r="E98" s="194">
        <f>SUM(E93:E97)</f>
        <v>584218</v>
      </c>
      <c r="F98" s="133">
        <f>(+D98-E98)/E98</f>
        <v>-0.21396576278033205</v>
      </c>
      <c r="G98" s="203">
        <f>D98/C98</f>
        <v>0.21233811031872307</v>
      </c>
      <c r="H98" s="113"/>
    </row>
    <row r="99" spans="1:8" ht="15.75" thickTop="1" thickBot="1" x14ac:dyDescent="0.45">
      <c r="A99" s="136"/>
      <c r="B99" s="129"/>
      <c r="C99" s="192"/>
      <c r="D99" s="192"/>
      <c r="E99" s="192"/>
      <c r="F99" s="130"/>
      <c r="G99" s="202"/>
      <c r="H99" s="113"/>
    </row>
    <row r="100" spans="1:8" ht="15.75" thickTop="1" thickBot="1" x14ac:dyDescent="0.45">
      <c r="A100" s="137" t="s">
        <v>38</v>
      </c>
      <c r="B100" s="111"/>
      <c r="C100" s="188">
        <f>C98+C91+C70+C56+C42+C28+C14+C35+C84+C21+C63+C77+C49</f>
        <v>448502897.5</v>
      </c>
      <c r="D100" s="188">
        <f>D98+D91+D70+D56+D42+D28+D14+D35+D84+D21+D63+D77+D49</f>
        <v>91774121.810000002</v>
      </c>
      <c r="E100" s="188">
        <f>E98+E91+E70+E56+E42+E28+E14+E35+E84+E21+E63+E77+E49</f>
        <v>89244659.210000008</v>
      </c>
      <c r="F100" s="127">
        <f>(+D100-E100)/E100</f>
        <v>2.8343013715229289E-2</v>
      </c>
      <c r="G100" s="198">
        <f>D100/C100</f>
        <v>0.20462325287430277</v>
      </c>
      <c r="H100" s="113"/>
    </row>
    <row r="101" spans="1:8" ht="15.75" thickTop="1" thickBot="1" x14ac:dyDescent="0.45">
      <c r="A101" s="137"/>
      <c r="B101" s="111"/>
      <c r="C101" s="188"/>
      <c r="D101" s="188"/>
      <c r="E101" s="188"/>
      <c r="F101" s="127"/>
      <c r="G101" s="198"/>
      <c r="H101" s="113"/>
    </row>
    <row r="102" spans="1:8" ht="15.75" thickTop="1" thickBot="1" x14ac:dyDescent="0.45">
      <c r="A102" s="245" t="s">
        <v>39</v>
      </c>
      <c r="B102" s="246"/>
      <c r="C102" s="193">
        <f>+C12+C19+C26+C33+C40+C47+C54+C61+C68+C75+C82+C89+C96</f>
        <v>110570452</v>
      </c>
      <c r="D102" s="193">
        <f>+D12+D19+D26+D33+D40+D47+D54+D61+D68+D75+D82+D89+D96</f>
        <v>21365525.379999999</v>
      </c>
      <c r="E102" s="193">
        <f>+E12+E19+E26+E33+E40+E47+E54+E61+E68+E75+E82+E89+E96</f>
        <v>21943315.539999999</v>
      </c>
      <c r="F102" s="248">
        <f>(+D102-E102)/E102</f>
        <v>-2.6331032744197607E-2</v>
      </c>
      <c r="G102" s="203">
        <f>D102/C102</f>
        <v>0.19322997232569872</v>
      </c>
      <c r="H102" s="113"/>
    </row>
    <row r="103" spans="1:8" ht="15.4" thickTop="1" x14ac:dyDescent="0.4">
      <c r="A103" s="239"/>
      <c r="B103" s="240"/>
      <c r="C103" s="217"/>
      <c r="D103" s="217"/>
      <c r="E103" s="217"/>
      <c r="F103" s="177"/>
      <c r="G103" s="235"/>
      <c r="H103" s="235"/>
    </row>
    <row r="104" spans="1:8" ht="17.25" x14ac:dyDescent="0.45">
      <c r="A104" s="243" t="s">
        <v>40</v>
      </c>
      <c r="C104" s="195"/>
      <c r="D104" s="195"/>
      <c r="E104" s="195"/>
      <c r="F104" s="138"/>
      <c r="G104" s="206"/>
    </row>
    <row r="105" spans="1:8" x14ac:dyDescent="0.4">
      <c r="A105" s="70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2" manualBreakCount="2">
    <brk id="49" max="7" man="1"/>
    <brk id="9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316B6-7F37-4A96-817E-39C5BAAD8CF2}">
  <dimension ref="A1:H106"/>
  <sheetViews>
    <sheetView zoomScaleNormal="100" workbookViewId="0">
      <selection activeCell="A6" sqref="A6"/>
    </sheetView>
  </sheetViews>
  <sheetFormatPr defaultRowHeight="15" x14ac:dyDescent="0.4"/>
  <cols>
    <col min="1" max="1" width="27.6640625" customWidth="1"/>
    <col min="2" max="2" width="9.6640625" customWidth="1"/>
    <col min="3" max="3" width="18.33203125" customWidth="1"/>
    <col min="4" max="4" width="15.77734375" customWidth="1"/>
    <col min="5" max="5" width="15.6640625" customWidth="1"/>
    <col min="6" max="6" width="8.6640625" customWidth="1"/>
    <col min="7" max="7" width="9.6640625" customWidth="1"/>
    <col min="8" max="8" width="10.6640625" customWidth="1"/>
  </cols>
  <sheetData>
    <row r="1" spans="1:8" ht="17.649999999999999" x14ac:dyDescent="0.5">
      <c r="A1" s="139" t="s">
        <v>0</v>
      </c>
      <c r="B1" s="140"/>
      <c r="C1" s="207"/>
      <c r="D1" s="207"/>
      <c r="E1" s="207"/>
      <c r="F1" s="140"/>
      <c r="G1" s="218"/>
      <c r="H1" s="218"/>
    </row>
    <row r="2" spans="1:8" ht="17.25" x14ac:dyDescent="0.45">
      <c r="A2" s="141" t="s">
        <v>59</v>
      </c>
      <c r="B2" s="140"/>
      <c r="C2" s="207"/>
      <c r="D2" s="207"/>
      <c r="E2" s="207"/>
      <c r="F2" s="140"/>
      <c r="G2" s="218"/>
      <c r="H2" s="218"/>
    </row>
    <row r="3" spans="1:8" ht="17.649999999999999" x14ac:dyDescent="0.5">
      <c r="A3" s="139" t="s">
        <v>42</v>
      </c>
      <c r="B3" s="140"/>
      <c r="C3" s="207"/>
      <c r="D3" s="207"/>
      <c r="E3" s="207"/>
      <c r="F3" s="140"/>
      <c r="G3" s="218"/>
      <c r="H3" s="218"/>
    </row>
    <row r="4" spans="1:8" ht="17.649999999999999" x14ac:dyDescent="0.5">
      <c r="A4" s="265" t="s">
        <v>77</v>
      </c>
      <c r="B4" s="140"/>
      <c r="C4" s="207"/>
      <c r="D4" s="207"/>
      <c r="E4" s="207"/>
      <c r="F4" s="140"/>
      <c r="G4" s="218"/>
      <c r="H4" s="218"/>
    </row>
    <row r="5" spans="1:8" x14ac:dyDescent="0.4">
      <c r="A5" s="266" t="s">
        <v>73</v>
      </c>
      <c r="B5" s="140"/>
      <c r="C5" s="207"/>
      <c r="D5" s="207"/>
      <c r="E5" s="207"/>
      <c r="F5" s="140"/>
      <c r="G5" s="218"/>
      <c r="H5" s="218"/>
    </row>
    <row r="6" spans="1:8" ht="15.4" thickBot="1" x14ac:dyDescent="0.45">
      <c r="A6" s="140"/>
      <c r="B6" s="140"/>
      <c r="C6" s="207"/>
      <c r="D6" s="207"/>
      <c r="E6" s="207"/>
      <c r="F6" s="140"/>
      <c r="G6" s="219" t="s">
        <v>43</v>
      </c>
      <c r="H6" s="219"/>
    </row>
    <row r="7" spans="1:8" ht="15.4" thickTop="1" x14ac:dyDescent="0.4">
      <c r="A7" s="142"/>
      <c r="B7" s="143" t="s">
        <v>2</v>
      </c>
      <c r="C7" s="208" t="s">
        <v>65</v>
      </c>
      <c r="D7" s="208" t="s">
        <v>31</v>
      </c>
      <c r="E7" s="208" t="s">
        <v>3</v>
      </c>
      <c r="F7" s="144"/>
      <c r="G7" s="220" t="s">
        <v>32</v>
      </c>
      <c r="H7" s="236" t="s">
        <v>32</v>
      </c>
    </row>
    <row r="8" spans="1:8" ht="15.4" thickBot="1" x14ac:dyDescent="0.45">
      <c r="A8" s="145" t="s">
        <v>5</v>
      </c>
      <c r="B8" s="146" t="s">
        <v>6</v>
      </c>
      <c r="C8" s="209" t="s">
        <v>45</v>
      </c>
      <c r="D8" s="209" t="s">
        <v>66</v>
      </c>
      <c r="E8" s="209" t="s">
        <v>66</v>
      </c>
      <c r="F8" s="147" t="s">
        <v>8</v>
      </c>
      <c r="G8" s="222" t="s">
        <v>35</v>
      </c>
      <c r="H8" s="237" t="s">
        <v>47</v>
      </c>
    </row>
    <row r="9" spans="1:8" ht="15.4" thickTop="1" x14ac:dyDescent="0.4">
      <c r="A9" s="148"/>
      <c r="B9" s="149"/>
      <c r="C9" s="210"/>
      <c r="D9" s="210"/>
      <c r="E9" s="210"/>
      <c r="F9" s="150"/>
      <c r="G9" s="223"/>
      <c r="H9" s="224"/>
    </row>
    <row r="10" spans="1:8" x14ac:dyDescent="0.4">
      <c r="A10" s="151" t="s">
        <v>36</v>
      </c>
      <c r="B10" s="152">
        <f>DATE(25,7,1)</f>
        <v>9314</v>
      </c>
      <c r="C10" s="211">
        <v>0</v>
      </c>
      <c r="D10" s="211">
        <v>0</v>
      </c>
      <c r="E10" s="211">
        <v>0</v>
      </c>
      <c r="F10" s="153">
        <v>0</v>
      </c>
      <c r="G10" s="225">
        <v>0</v>
      </c>
      <c r="H10" s="269">
        <v>0</v>
      </c>
    </row>
    <row r="11" spans="1:8" x14ac:dyDescent="0.4">
      <c r="A11" s="151"/>
      <c r="B11" s="152">
        <f>DATE(25,8,1)</f>
        <v>9345</v>
      </c>
      <c r="C11" s="211">
        <v>0</v>
      </c>
      <c r="D11" s="211">
        <v>0</v>
      </c>
      <c r="E11" s="211">
        <v>0</v>
      </c>
      <c r="F11" s="153">
        <v>0</v>
      </c>
      <c r="G11" s="225">
        <v>0</v>
      </c>
      <c r="H11" s="269">
        <v>0</v>
      </c>
    </row>
    <row r="12" spans="1:8" x14ac:dyDescent="0.4">
      <c r="A12" s="151"/>
      <c r="B12" s="152">
        <f>DATE(25,9,1)</f>
        <v>9376</v>
      </c>
      <c r="C12" s="211">
        <v>0</v>
      </c>
      <c r="D12" s="211">
        <v>0</v>
      </c>
      <c r="E12" s="211">
        <v>0</v>
      </c>
      <c r="F12" s="153">
        <v>0</v>
      </c>
      <c r="G12" s="225">
        <v>0</v>
      </c>
      <c r="H12" s="269">
        <v>0</v>
      </c>
    </row>
    <row r="13" spans="1:8" x14ac:dyDescent="0.4">
      <c r="A13" s="151"/>
      <c r="B13" s="152">
        <f>DATE(25,10,1)</f>
        <v>9406</v>
      </c>
      <c r="C13" s="211">
        <v>0</v>
      </c>
      <c r="D13" s="211">
        <v>0</v>
      </c>
      <c r="E13" s="211">
        <v>0</v>
      </c>
      <c r="F13" s="153">
        <v>0</v>
      </c>
      <c r="G13" s="225">
        <v>0</v>
      </c>
      <c r="H13" s="269">
        <v>0</v>
      </c>
    </row>
    <row r="14" spans="1:8" ht="15.4" thickBot="1" x14ac:dyDescent="0.45">
      <c r="A14" s="154"/>
      <c r="B14" s="155"/>
      <c r="C14" s="211"/>
      <c r="D14" s="211"/>
      <c r="E14" s="211"/>
      <c r="F14" s="153"/>
      <c r="G14" s="225"/>
      <c r="H14" s="226"/>
    </row>
    <row r="15" spans="1:8" ht="15.75" thickTop="1" thickBot="1" x14ac:dyDescent="0.45">
      <c r="A15" s="156" t="s">
        <v>14</v>
      </c>
      <c r="B15" s="143"/>
      <c r="C15" s="208">
        <f>SUM(C10:C14)</f>
        <v>0</v>
      </c>
      <c r="D15" s="208">
        <f>SUM(D10:D14)</f>
        <v>0</v>
      </c>
      <c r="E15" s="208">
        <f>SUM(E10:E14)</f>
        <v>0</v>
      </c>
      <c r="F15" s="163">
        <v>0</v>
      </c>
      <c r="G15" s="229">
        <v>0</v>
      </c>
      <c r="H15" s="230">
        <v>0</v>
      </c>
    </row>
    <row r="16" spans="1:8" ht="15.4" thickTop="1" x14ac:dyDescent="0.4">
      <c r="A16" s="158"/>
      <c r="B16" s="159"/>
      <c r="C16" s="212"/>
      <c r="D16" s="212"/>
      <c r="E16" s="212"/>
      <c r="F16" s="160"/>
      <c r="G16" s="227"/>
      <c r="H16" s="228"/>
    </row>
    <row r="17" spans="1:8" x14ac:dyDescent="0.4">
      <c r="A17" s="18" t="s">
        <v>48</v>
      </c>
      <c r="B17" s="152">
        <f>DATE(25,7,1)</f>
        <v>9314</v>
      </c>
      <c r="C17" s="211">
        <v>0</v>
      </c>
      <c r="D17" s="211">
        <v>0</v>
      </c>
      <c r="E17" s="211">
        <v>0</v>
      </c>
      <c r="F17" s="153">
        <v>0</v>
      </c>
      <c r="G17" s="225">
        <v>0</v>
      </c>
      <c r="H17" s="226">
        <v>0</v>
      </c>
    </row>
    <row r="18" spans="1:8" x14ac:dyDescent="0.4">
      <c r="A18" s="18"/>
      <c r="B18" s="152">
        <f>DATE(25,8,1)</f>
        <v>9345</v>
      </c>
      <c r="C18" s="211">
        <v>0</v>
      </c>
      <c r="D18" s="211">
        <v>0</v>
      </c>
      <c r="E18" s="211">
        <v>0</v>
      </c>
      <c r="F18" s="153">
        <v>0</v>
      </c>
      <c r="G18" s="225">
        <v>0</v>
      </c>
      <c r="H18" s="269">
        <v>0</v>
      </c>
    </row>
    <row r="19" spans="1:8" x14ac:dyDescent="0.4">
      <c r="A19" s="18"/>
      <c r="B19" s="152">
        <f>DATE(25,9,1)</f>
        <v>9376</v>
      </c>
      <c r="C19" s="211">
        <v>0</v>
      </c>
      <c r="D19" s="211">
        <v>0</v>
      </c>
      <c r="E19" s="211">
        <v>0</v>
      </c>
      <c r="F19" s="153">
        <v>0</v>
      </c>
      <c r="G19" s="225">
        <v>0</v>
      </c>
      <c r="H19" s="269">
        <v>0</v>
      </c>
    </row>
    <row r="20" spans="1:8" x14ac:dyDescent="0.4">
      <c r="A20" s="18"/>
      <c r="B20" s="152">
        <f>DATE(25,10,1)</f>
        <v>9406</v>
      </c>
      <c r="C20" s="211">
        <v>0</v>
      </c>
      <c r="D20" s="211">
        <v>0</v>
      </c>
      <c r="E20" s="211">
        <v>0</v>
      </c>
      <c r="F20" s="153">
        <v>0</v>
      </c>
      <c r="G20" s="225">
        <v>0</v>
      </c>
      <c r="H20" s="269">
        <v>0</v>
      </c>
    </row>
    <row r="21" spans="1:8" ht="15.4" thickBot="1" x14ac:dyDescent="0.45">
      <c r="A21" s="154"/>
      <c r="B21" s="152"/>
      <c r="C21" s="211"/>
      <c r="D21" s="211"/>
      <c r="E21" s="211"/>
      <c r="F21" s="153"/>
      <c r="G21" s="225"/>
      <c r="H21" s="226"/>
    </row>
    <row r="22" spans="1:8" ht="15.75" thickTop="1" thickBot="1" x14ac:dyDescent="0.45">
      <c r="A22" s="156" t="s">
        <v>14</v>
      </c>
      <c r="B22" s="143"/>
      <c r="C22" s="208">
        <f>SUM(C17:C21)</f>
        <v>0</v>
      </c>
      <c r="D22" s="208">
        <f>SUM(D17:D21)</f>
        <v>0</v>
      </c>
      <c r="E22" s="208">
        <f>SUM(E17:E21)</f>
        <v>0</v>
      </c>
      <c r="F22" s="157">
        <v>0</v>
      </c>
      <c r="G22" s="220">
        <v>0</v>
      </c>
      <c r="H22" s="221">
        <v>0</v>
      </c>
    </row>
    <row r="23" spans="1:8" ht="15.4" thickTop="1" x14ac:dyDescent="0.4">
      <c r="A23" s="158"/>
      <c r="B23" s="159"/>
      <c r="C23" s="212"/>
      <c r="D23" s="212"/>
      <c r="E23" s="212"/>
      <c r="F23" s="160"/>
      <c r="G23" s="227"/>
      <c r="H23" s="228"/>
    </row>
    <row r="24" spans="1:8" x14ac:dyDescent="0.4">
      <c r="A24" s="18" t="s">
        <v>62</v>
      </c>
      <c r="B24" s="152">
        <f>DATE(25,7,1)</f>
        <v>9314</v>
      </c>
      <c r="C24" s="211">
        <v>0</v>
      </c>
      <c r="D24" s="211">
        <v>0</v>
      </c>
      <c r="E24" s="211">
        <v>0</v>
      </c>
      <c r="F24" s="153">
        <v>0</v>
      </c>
      <c r="G24" s="225">
        <v>0</v>
      </c>
      <c r="H24" s="226">
        <v>0</v>
      </c>
    </row>
    <row r="25" spans="1:8" x14ac:dyDescent="0.4">
      <c r="A25" s="18"/>
      <c r="B25" s="152">
        <f>DATE(25,8,1)</f>
        <v>9345</v>
      </c>
      <c r="C25" s="211">
        <v>0</v>
      </c>
      <c r="D25" s="211">
        <v>0</v>
      </c>
      <c r="E25" s="211">
        <v>0</v>
      </c>
      <c r="F25" s="153">
        <v>0</v>
      </c>
      <c r="G25" s="225">
        <v>0</v>
      </c>
      <c r="H25" s="269">
        <v>0</v>
      </c>
    </row>
    <row r="26" spans="1:8" x14ac:dyDescent="0.4">
      <c r="A26" s="18"/>
      <c r="B26" s="152">
        <f>DATE(25,9,1)</f>
        <v>9376</v>
      </c>
      <c r="C26" s="211">
        <v>0</v>
      </c>
      <c r="D26" s="211">
        <v>0</v>
      </c>
      <c r="E26" s="211">
        <v>0</v>
      </c>
      <c r="F26" s="153">
        <v>0</v>
      </c>
      <c r="G26" s="225">
        <v>0</v>
      </c>
      <c r="H26" s="269">
        <v>0</v>
      </c>
    </row>
    <row r="27" spans="1:8" x14ac:dyDescent="0.4">
      <c r="A27" s="18"/>
      <c r="B27" s="152">
        <f>DATE(25,10,1)</f>
        <v>9406</v>
      </c>
      <c r="C27" s="211">
        <v>0</v>
      </c>
      <c r="D27" s="211">
        <v>0</v>
      </c>
      <c r="E27" s="211">
        <v>0</v>
      </c>
      <c r="F27" s="153">
        <v>0</v>
      </c>
      <c r="G27" s="225">
        <v>0</v>
      </c>
      <c r="H27" s="269">
        <v>0</v>
      </c>
    </row>
    <row r="28" spans="1:8" ht="15.4" thickBot="1" x14ac:dyDescent="0.45">
      <c r="A28" s="154"/>
      <c r="B28" s="152"/>
      <c r="C28" s="211"/>
      <c r="D28" s="211"/>
      <c r="E28" s="211"/>
      <c r="F28" s="153"/>
      <c r="G28" s="225"/>
      <c r="H28" s="226"/>
    </row>
    <row r="29" spans="1:8" ht="15.75" thickTop="1" thickBot="1" x14ac:dyDescent="0.45">
      <c r="A29" s="161" t="s">
        <v>14</v>
      </c>
      <c r="B29" s="162"/>
      <c r="C29" s="213">
        <f>SUM(C24:C28)</f>
        <v>0</v>
      </c>
      <c r="D29" s="213">
        <f>SUM(D24:D28)</f>
        <v>0</v>
      </c>
      <c r="E29" s="213">
        <f>SUM(E24:E28)</f>
        <v>0</v>
      </c>
      <c r="F29" s="163">
        <v>0</v>
      </c>
      <c r="G29" s="229">
        <v>0</v>
      </c>
      <c r="H29" s="230">
        <v>0</v>
      </c>
    </row>
    <row r="30" spans="1:8" ht="15.4" thickTop="1" x14ac:dyDescent="0.4">
      <c r="A30" s="154"/>
      <c r="B30" s="155"/>
      <c r="C30" s="211"/>
      <c r="D30" s="211"/>
      <c r="E30" s="211"/>
      <c r="F30" s="153"/>
      <c r="G30" s="225"/>
      <c r="H30" s="226"/>
    </row>
    <row r="31" spans="1:8" x14ac:dyDescent="0.4">
      <c r="A31" s="164" t="s">
        <v>58</v>
      </c>
      <c r="B31" s="152">
        <f>DATE(25,7,1)</f>
        <v>9314</v>
      </c>
      <c r="C31" s="211">
        <v>0</v>
      </c>
      <c r="D31" s="211">
        <v>0</v>
      </c>
      <c r="E31" s="211">
        <v>0</v>
      </c>
      <c r="F31" s="153">
        <v>0</v>
      </c>
      <c r="G31" s="225">
        <v>0</v>
      </c>
      <c r="H31" s="269">
        <v>0</v>
      </c>
    </row>
    <row r="32" spans="1:8" x14ac:dyDescent="0.4">
      <c r="A32" s="164"/>
      <c r="B32" s="152">
        <f>DATE(25,8,1)</f>
        <v>9345</v>
      </c>
      <c r="C32" s="211">
        <v>0</v>
      </c>
      <c r="D32" s="211">
        <v>0</v>
      </c>
      <c r="E32" s="211">
        <v>0</v>
      </c>
      <c r="F32" s="153">
        <v>0</v>
      </c>
      <c r="G32" s="225">
        <v>0</v>
      </c>
      <c r="H32" s="269">
        <v>0</v>
      </c>
    </row>
    <row r="33" spans="1:8" x14ac:dyDescent="0.4">
      <c r="A33" s="164"/>
      <c r="B33" s="152">
        <f>DATE(25,9,1)</f>
        <v>9376</v>
      </c>
      <c r="C33" s="211">
        <v>0</v>
      </c>
      <c r="D33" s="211">
        <v>0</v>
      </c>
      <c r="E33" s="211">
        <v>0</v>
      </c>
      <c r="F33" s="153">
        <v>0</v>
      </c>
      <c r="G33" s="225">
        <v>0</v>
      </c>
      <c r="H33" s="269">
        <v>0</v>
      </c>
    </row>
    <row r="34" spans="1:8" x14ac:dyDescent="0.4">
      <c r="A34" s="164"/>
      <c r="B34" s="152">
        <f>DATE(25,10,1)</f>
        <v>9406</v>
      </c>
      <c r="C34" s="211">
        <v>0</v>
      </c>
      <c r="D34" s="211">
        <v>0</v>
      </c>
      <c r="E34" s="211">
        <v>0</v>
      </c>
      <c r="F34" s="153">
        <v>0</v>
      </c>
      <c r="G34" s="225">
        <v>0</v>
      </c>
      <c r="H34" s="269">
        <v>0</v>
      </c>
    </row>
    <row r="35" spans="1:8" ht="15.4" thickBot="1" x14ac:dyDescent="0.45">
      <c r="A35" s="154"/>
      <c r="B35" s="155"/>
      <c r="C35" s="211"/>
      <c r="D35" s="211"/>
      <c r="E35" s="211"/>
      <c r="F35" s="153"/>
      <c r="G35" s="225"/>
      <c r="H35" s="226"/>
    </row>
    <row r="36" spans="1:8" ht="15.75" thickTop="1" thickBot="1" x14ac:dyDescent="0.45">
      <c r="A36" s="161" t="s">
        <v>14</v>
      </c>
      <c r="B36" s="165"/>
      <c r="C36" s="213">
        <f>SUM(C31:C35)</f>
        <v>0</v>
      </c>
      <c r="D36" s="213">
        <f>SUM(D31:D35)</f>
        <v>0</v>
      </c>
      <c r="E36" s="213">
        <f>SUM(E31:E35)</f>
        <v>0</v>
      </c>
      <c r="F36" s="163">
        <v>0</v>
      </c>
      <c r="G36" s="229">
        <v>0</v>
      </c>
      <c r="H36" s="230">
        <v>0</v>
      </c>
    </row>
    <row r="37" spans="1:8" ht="15.4" thickTop="1" x14ac:dyDescent="0.4">
      <c r="A37" s="154"/>
      <c r="B37" s="155"/>
      <c r="C37" s="211"/>
      <c r="D37" s="211"/>
      <c r="E37" s="211"/>
      <c r="F37" s="153"/>
      <c r="G37" s="225"/>
      <c r="H37" s="226"/>
    </row>
    <row r="38" spans="1:8" x14ac:dyDescent="0.4">
      <c r="A38" s="151" t="s">
        <v>60</v>
      </c>
      <c r="B38" s="152">
        <f>DATE(25,7,1)</f>
        <v>9314</v>
      </c>
      <c r="C38" s="211">
        <v>0</v>
      </c>
      <c r="D38" s="211">
        <v>0</v>
      </c>
      <c r="E38" s="211">
        <v>0</v>
      </c>
      <c r="F38" s="153">
        <v>0</v>
      </c>
      <c r="G38" s="225">
        <v>0</v>
      </c>
      <c r="H38" s="226">
        <v>0</v>
      </c>
    </row>
    <row r="39" spans="1:8" x14ac:dyDescent="0.4">
      <c r="A39" s="151"/>
      <c r="B39" s="152">
        <f>DATE(25,8,1)</f>
        <v>9345</v>
      </c>
      <c r="C39" s="211">
        <v>0</v>
      </c>
      <c r="D39" s="211">
        <v>0</v>
      </c>
      <c r="E39" s="211">
        <v>0</v>
      </c>
      <c r="F39" s="153">
        <v>0</v>
      </c>
      <c r="G39" s="225">
        <v>0</v>
      </c>
      <c r="H39" s="269">
        <v>0</v>
      </c>
    </row>
    <row r="40" spans="1:8" x14ac:dyDescent="0.4">
      <c r="A40" s="151"/>
      <c r="B40" s="152">
        <f>DATE(25,9,1)</f>
        <v>9376</v>
      </c>
      <c r="C40" s="211">
        <v>0</v>
      </c>
      <c r="D40" s="211">
        <v>0</v>
      </c>
      <c r="E40" s="211">
        <v>0</v>
      </c>
      <c r="F40" s="153">
        <v>0</v>
      </c>
      <c r="G40" s="225">
        <v>0</v>
      </c>
      <c r="H40" s="269">
        <v>0</v>
      </c>
    </row>
    <row r="41" spans="1:8" x14ac:dyDescent="0.4">
      <c r="A41" s="151"/>
      <c r="B41" s="152">
        <f>DATE(25,10,1)</f>
        <v>9406</v>
      </c>
      <c r="C41" s="211">
        <v>0</v>
      </c>
      <c r="D41" s="211">
        <v>0</v>
      </c>
      <c r="E41" s="211">
        <v>0</v>
      </c>
      <c r="F41" s="153">
        <v>0</v>
      </c>
      <c r="G41" s="225">
        <v>0</v>
      </c>
      <c r="H41" s="269">
        <v>0</v>
      </c>
    </row>
    <row r="42" spans="1:8" ht="15.4" thickBot="1" x14ac:dyDescent="0.45">
      <c r="A42" s="154"/>
      <c r="B42" s="152"/>
      <c r="C42" s="211"/>
      <c r="D42" s="211"/>
      <c r="E42" s="211"/>
      <c r="F42" s="153"/>
      <c r="G42" s="225"/>
      <c r="H42" s="226"/>
    </row>
    <row r="43" spans="1:8" ht="15.75" thickTop="1" thickBot="1" x14ac:dyDescent="0.45">
      <c r="A43" s="161" t="s">
        <v>14</v>
      </c>
      <c r="B43" s="162"/>
      <c r="C43" s="213">
        <f>SUM(C38:C42)</f>
        <v>0</v>
      </c>
      <c r="D43" s="215">
        <f>SUM(D38:D42)</f>
        <v>0</v>
      </c>
      <c r="E43" s="251">
        <f>SUM(E38:E42)</f>
        <v>0</v>
      </c>
      <c r="F43" s="163">
        <v>0</v>
      </c>
      <c r="G43" s="229">
        <v>0</v>
      </c>
      <c r="H43" s="230">
        <v>0</v>
      </c>
    </row>
    <row r="44" spans="1:8" ht="15.4" thickTop="1" x14ac:dyDescent="0.4">
      <c r="A44" s="154"/>
      <c r="B44" s="155"/>
      <c r="C44" s="211"/>
      <c r="D44" s="211"/>
      <c r="E44" s="211"/>
      <c r="F44" s="153"/>
      <c r="G44" s="225"/>
      <c r="H44" s="226"/>
    </row>
    <row r="45" spans="1:8" x14ac:dyDescent="0.4">
      <c r="A45" s="151" t="s">
        <v>64</v>
      </c>
      <c r="B45" s="152">
        <f>DATE(25,7,1)</f>
        <v>9314</v>
      </c>
      <c r="C45" s="211">
        <v>0</v>
      </c>
      <c r="D45" s="211">
        <v>0</v>
      </c>
      <c r="E45" s="211">
        <v>0</v>
      </c>
      <c r="F45" s="153">
        <v>0</v>
      </c>
      <c r="G45" s="225">
        <v>0</v>
      </c>
      <c r="H45" s="226">
        <v>0</v>
      </c>
    </row>
    <row r="46" spans="1:8" x14ac:dyDescent="0.4">
      <c r="A46" s="151"/>
      <c r="B46" s="152">
        <f>DATE(25,8,1)</f>
        <v>9345</v>
      </c>
      <c r="C46" s="211">
        <v>0</v>
      </c>
      <c r="D46" s="211">
        <v>0</v>
      </c>
      <c r="E46" s="211">
        <v>0</v>
      </c>
      <c r="F46" s="153">
        <v>0</v>
      </c>
      <c r="G46" s="225">
        <v>0</v>
      </c>
      <c r="H46" s="269">
        <v>0</v>
      </c>
    </row>
    <row r="47" spans="1:8" x14ac:dyDescent="0.4">
      <c r="A47" s="151"/>
      <c r="B47" s="152">
        <f>DATE(25,9,1)</f>
        <v>9376</v>
      </c>
      <c r="C47" s="211">
        <v>0</v>
      </c>
      <c r="D47" s="211">
        <v>0</v>
      </c>
      <c r="E47" s="211">
        <v>0</v>
      </c>
      <c r="F47" s="153">
        <v>0</v>
      </c>
      <c r="G47" s="225">
        <v>0</v>
      </c>
      <c r="H47" s="269">
        <v>0</v>
      </c>
    </row>
    <row r="48" spans="1:8" x14ac:dyDescent="0.4">
      <c r="A48" s="151"/>
      <c r="B48" s="152">
        <f>DATE(25,10,1)</f>
        <v>9406</v>
      </c>
      <c r="C48" s="211">
        <v>0</v>
      </c>
      <c r="D48" s="211">
        <v>0</v>
      </c>
      <c r="E48" s="211">
        <v>0</v>
      </c>
      <c r="F48" s="153">
        <v>0</v>
      </c>
      <c r="G48" s="225">
        <v>0</v>
      </c>
      <c r="H48" s="269">
        <v>0</v>
      </c>
    </row>
    <row r="49" spans="1:8" ht="15.4" thickBot="1" x14ac:dyDescent="0.45">
      <c r="A49" s="154"/>
      <c r="B49" s="152"/>
      <c r="C49" s="211"/>
      <c r="D49" s="211"/>
      <c r="E49" s="211"/>
      <c r="F49" s="153"/>
      <c r="G49" s="225"/>
      <c r="H49" s="226"/>
    </row>
    <row r="50" spans="1:8" ht="15.75" thickTop="1" thickBot="1" x14ac:dyDescent="0.45">
      <c r="A50" s="161" t="s">
        <v>14</v>
      </c>
      <c r="B50" s="162"/>
      <c r="C50" s="213">
        <f>SUM(C45:C49)</f>
        <v>0</v>
      </c>
      <c r="D50" s="215">
        <f>SUM(D45:D49)</f>
        <v>0</v>
      </c>
      <c r="E50" s="251">
        <f>SUM(E45:E49)</f>
        <v>0</v>
      </c>
      <c r="F50" s="163">
        <v>0</v>
      </c>
      <c r="G50" s="229">
        <v>0</v>
      </c>
      <c r="H50" s="230">
        <v>0</v>
      </c>
    </row>
    <row r="51" spans="1:8" ht="15.4" thickTop="1" x14ac:dyDescent="0.4">
      <c r="A51" s="154"/>
      <c r="B51" s="155"/>
      <c r="C51" s="211"/>
      <c r="D51" s="211"/>
      <c r="E51" s="211"/>
      <c r="F51" s="153"/>
      <c r="G51" s="225"/>
      <c r="H51" s="226"/>
    </row>
    <row r="52" spans="1:8" x14ac:dyDescent="0.4">
      <c r="A52" s="151" t="s">
        <v>67</v>
      </c>
      <c r="B52" s="152">
        <f>DATE(25,7,1)</f>
        <v>9314</v>
      </c>
      <c r="C52" s="211">
        <v>0</v>
      </c>
      <c r="D52" s="211">
        <v>0</v>
      </c>
      <c r="E52" s="211">
        <v>0</v>
      </c>
      <c r="F52" s="153">
        <v>0</v>
      </c>
      <c r="G52" s="225">
        <v>0</v>
      </c>
      <c r="H52" s="226">
        <v>0</v>
      </c>
    </row>
    <row r="53" spans="1:8" x14ac:dyDescent="0.4">
      <c r="A53" s="151"/>
      <c r="B53" s="152">
        <f>DATE(25,8,1)</f>
        <v>9345</v>
      </c>
      <c r="C53" s="211">
        <v>0</v>
      </c>
      <c r="D53" s="211">
        <v>0</v>
      </c>
      <c r="E53" s="211">
        <v>0</v>
      </c>
      <c r="F53" s="153">
        <v>0</v>
      </c>
      <c r="G53" s="225">
        <v>0</v>
      </c>
      <c r="H53" s="269">
        <v>0</v>
      </c>
    </row>
    <row r="54" spans="1:8" x14ac:dyDescent="0.4">
      <c r="A54" s="151"/>
      <c r="B54" s="152">
        <f>DATE(25,9,1)</f>
        <v>9376</v>
      </c>
      <c r="C54" s="211">
        <v>0</v>
      </c>
      <c r="D54" s="211">
        <v>0</v>
      </c>
      <c r="E54" s="211">
        <v>0</v>
      </c>
      <c r="F54" s="153">
        <v>0</v>
      </c>
      <c r="G54" s="225">
        <v>0</v>
      </c>
      <c r="H54" s="269">
        <v>0</v>
      </c>
    </row>
    <row r="55" spans="1:8" x14ac:dyDescent="0.4">
      <c r="A55" s="151"/>
      <c r="B55" s="152">
        <f>DATE(25,10,1)</f>
        <v>9406</v>
      </c>
      <c r="C55" s="211">
        <v>0</v>
      </c>
      <c r="D55" s="211">
        <v>0</v>
      </c>
      <c r="E55" s="211">
        <v>0</v>
      </c>
      <c r="F55" s="153">
        <v>0</v>
      </c>
      <c r="G55" s="225">
        <v>0</v>
      </c>
      <c r="H55" s="269">
        <v>0</v>
      </c>
    </row>
    <row r="56" spans="1:8" ht="15.4" thickBot="1" x14ac:dyDescent="0.45">
      <c r="A56" s="154"/>
      <c r="B56" s="152"/>
      <c r="C56" s="211"/>
      <c r="D56" s="211"/>
      <c r="E56" s="211"/>
      <c r="F56" s="153"/>
      <c r="G56" s="225"/>
      <c r="H56" s="226"/>
    </row>
    <row r="57" spans="1:8" ht="15.75" thickTop="1" thickBot="1" x14ac:dyDescent="0.45">
      <c r="A57" s="161" t="s">
        <v>14</v>
      </c>
      <c r="B57" s="162"/>
      <c r="C57" s="213">
        <f>SUM(C52:C56)</f>
        <v>0</v>
      </c>
      <c r="D57" s="215">
        <f>SUM(D52:D56)</f>
        <v>0</v>
      </c>
      <c r="E57" s="251">
        <f>SUM(E52:E56)</f>
        <v>0</v>
      </c>
      <c r="F57" s="163">
        <v>0</v>
      </c>
      <c r="G57" s="229">
        <v>0</v>
      </c>
      <c r="H57" s="230">
        <v>0</v>
      </c>
    </row>
    <row r="58" spans="1:8" ht="15.4" thickTop="1" x14ac:dyDescent="0.4">
      <c r="A58" s="154"/>
      <c r="B58" s="155"/>
      <c r="C58" s="211"/>
      <c r="D58" s="211"/>
      <c r="E58" s="211"/>
      <c r="F58" s="153"/>
      <c r="G58" s="225"/>
      <c r="H58" s="226"/>
    </row>
    <row r="59" spans="1:8" x14ac:dyDescent="0.4">
      <c r="A59" s="151" t="s">
        <v>69</v>
      </c>
      <c r="B59" s="152">
        <f>DATE(25,7,1)</f>
        <v>9314</v>
      </c>
      <c r="C59" s="211">
        <v>0</v>
      </c>
      <c r="D59" s="211">
        <v>0</v>
      </c>
      <c r="E59" s="211">
        <v>0</v>
      </c>
      <c r="F59" s="153">
        <v>0</v>
      </c>
      <c r="G59" s="225">
        <v>0</v>
      </c>
      <c r="H59" s="226">
        <v>0</v>
      </c>
    </row>
    <row r="60" spans="1:8" x14ac:dyDescent="0.4">
      <c r="A60" s="151"/>
      <c r="B60" s="152">
        <f>DATE(25,8,1)</f>
        <v>9345</v>
      </c>
      <c r="C60" s="211">
        <v>0</v>
      </c>
      <c r="D60" s="211">
        <v>0</v>
      </c>
      <c r="E60" s="211">
        <v>0</v>
      </c>
      <c r="F60" s="153">
        <v>0</v>
      </c>
      <c r="G60" s="225">
        <v>0</v>
      </c>
      <c r="H60" s="269">
        <v>0</v>
      </c>
    </row>
    <row r="61" spans="1:8" x14ac:dyDescent="0.4">
      <c r="A61" s="151"/>
      <c r="B61" s="152">
        <f>DATE(25,9,1)</f>
        <v>9376</v>
      </c>
      <c r="C61" s="211">
        <v>0</v>
      </c>
      <c r="D61" s="211">
        <v>0</v>
      </c>
      <c r="E61" s="211">
        <v>0</v>
      </c>
      <c r="F61" s="153">
        <v>0</v>
      </c>
      <c r="G61" s="225">
        <v>0</v>
      </c>
      <c r="H61" s="269">
        <v>0</v>
      </c>
    </row>
    <row r="62" spans="1:8" x14ac:dyDescent="0.4">
      <c r="A62" s="151"/>
      <c r="B62" s="152">
        <f>DATE(25,10,1)</f>
        <v>9406</v>
      </c>
      <c r="C62" s="211">
        <v>0</v>
      </c>
      <c r="D62" s="211">
        <v>0</v>
      </c>
      <c r="E62" s="211">
        <v>0</v>
      </c>
      <c r="F62" s="153">
        <v>0</v>
      </c>
      <c r="G62" s="225">
        <v>0</v>
      </c>
      <c r="H62" s="269">
        <v>0</v>
      </c>
    </row>
    <row r="63" spans="1:8" ht="15.4" thickBot="1" x14ac:dyDescent="0.45">
      <c r="A63" s="154"/>
      <c r="B63" s="152"/>
      <c r="C63" s="211"/>
      <c r="D63" s="211"/>
      <c r="E63" s="211"/>
      <c r="F63" s="153"/>
      <c r="G63" s="225"/>
      <c r="H63" s="226"/>
    </row>
    <row r="64" spans="1:8" ht="15.75" thickTop="1" thickBot="1" x14ac:dyDescent="0.45">
      <c r="A64" s="161" t="s">
        <v>14</v>
      </c>
      <c r="B64" s="162"/>
      <c r="C64" s="213">
        <f>SUM(C59:C63)</f>
        <v>0</v>
      </c>
      <c r="D64" s="215">
        <f>SUM(D59:D63)</f>
        <v>0</v>
      </c>
      <c r="E64" s="251">
        <f>SUM(E59:E63)</f>
        <v>0</v>
      </c>
      <c r="F64" s="163">
        <v>0</v>
      </c>
      <c r="G64" s="233">
        <v>0</v>
      </c>
      <c r="H64" s="250">
        <v>0</v>
      </c>
    </row>
    <row r="65" spans="1:8" ht="15.4" thickTop="1" x14ac:dyDescent="0.4">
      <c r="A65" s="154"/>
      <c r="B65" s="166"/>
      <c r="C65" s="214"/>
      <c r="D65" s="214"/>
      <c r="E65" s="214"/>
      <c r="F65" s="167"/>
      <c r="G65" s="231"/>
      <c r="H65" s="232"/>
    </row>
    <row r="66" spans="1:8" x14ac:dyDescent="0.4">
      <c r="A66" s="151" t="s">
        <v>16</v>
      </c>
      <c r="B66" s="152">
        <f>DATE(25,7,1)</f>
        <v>9314</v>
      </c>
      <c r="C66" s="211">
        <v>0</v>
      </c>
      <c r="D66" s="211">
        <v>0</v>
      </c>
      <c r="E66" s="211">
        <v>0</v>
      </c>
      <c r="F66" s="153">
        <v>0</v>
      </c>
      <c r="G66" s="225">
        <v>0</v>
      </c>
      <c r="H66" s="226">
        <v>0</v>
      </c>
    </row>
    <row r="67" spans="1:8" x14ac:dyDescent="0.4">
      <c r="A67" s="151"/>
      <c r="B67" s="152">
        <f>DATE(25,8,1)</f>
        <v>9345</v>
      </c>
      <c r="C67" s="211">
        <v>0</v>
      </c>
      <c r="D67" s="211">
        <v>0</v>
      </c>
      <c r="E67" s="211">
        <v>0</v>
      </c>
      <c r="F67" s="153">
        <v>0</v>
      </c>
      <c r="G67" s="225">
        <v>0</v>
      </c>
      <c r="H67" s="269">
        <v>0</v>
      </c>
    </row>
    <row r="68" spans="1:8" x14ac:dyDescent="0.4">
      <c r="A68" s="151"/>
      <c r="B68" s="152">
        <f>DATE(25,9,1)</f>
        <v>9376</v>
      </c>
      <c r="C68" s="211">
        <v>0</v>
      </c>
      <c r="D68" s="211">
        <v>0</v>
      </c>
      <c r="E68" s="211">
        <v>0</v>
      </c>
      <c r="F68" s="153">
        <v>0</v>
      </c>
      <c r="G68" s="225">
        <v>0</v>
      </c>
      <c r="H68" s="269">
        <v>0</v>
      </c>
    </row>
    <row r="69" spans="1:8" x14ac:dyDescent="0.4">
      <c r="A69" s="151"/>
      <c r="B69" s="152">
        <f>DATE(25,10,1)</f>
        <v>9406</v>
      </c>
      <c r="C69" s="211">
        <v>0</v>
      </c>
      <c r="D69" s="211">
        <v>0</v>
      </c>
      <c r="E69" s="211">
        <v>0</v>
      </c>
      <c r="F69" s="153">
        <v>0</v>
      </c>
      <c r="G69" s="225">
        <v>0</v>
      </c>
      <c r="H69" s="269">
        <v>0</v>
      </c>
    </row>
    <row r="70" spans="1:8" ht="15.4" thickBot="1" x14ac:dyDescent="0.45">
      <c r="A70" s="151"/>
      <c r="B70" s="152"/>
      <c r="C70" s="211"/>
      <c r="D70" s="211"/>
      <c r="E70" s="211"/>
      <c r="F70" s="153"/>
      <c r="G70" s="225"/>
      <c r="H70" s="226"/>
    </row>
    <row r="71" spans="1:8" ht="15.75" thickTop="1" thickBot="1" x14ac:dyDescent="0.45">
      <c r="A71" s="161" t="s">
        <v>14</v>
      </c>
      <c r="B71" s="168"/>
      <c r="C71" s="213">
        <f>SUM(C66:C70)</f>
        <v>0</v>
      </c>
      <c r="D71" s="213">
        <f>SUM(D66:D70)</f>
        <v>0</v>
      </c>
      <c r="E71" s="213">
        <f>SUM(E66:E70)</f>
        <v>0</v>
      </c>
      <c r="F71" s="163">
        <v>0</v>
      </c>
      <c r="G71" s="229">
        <v>0</v>
      </c>
      <c r="H71" s="230">
        <v>0</v>
      </c>
    </row>
    <row r="72" spans="1:8" ht="15.4" thickTop="1" x14ac:dyDescent="0.4">
      <c r="A72" s="158"/>
      <c r="B72" s="159"/>
      <c r="C72" s="212"/>
      <c r="D72" s="212"/>
      <c r="E72" s="212"/>
      <c r="F72" s="160"/>
      <c r="G72" s="227"/>
      <c r="H72" s="228"/>
    </row>
    <row r="73" spans="1:8" x14ac:dyDescent="0.4">
      <c r="A73" s="151" t="s">
        <v>53</v>
      </c>
      <c r="B73" s="152">
        <f>DATE(25,7,1)</f>
        <v>9314</v>
      </c>
      <c r="C73" s="211">
        <v>0</v>
      </c>
      <c r="D73" s="211">
        <v>0</v>
      </c>
      <c r="E73" s="211">
        <v>68164.28</v>
      </c>
      <c r="F73" s="153">
        <v>-1</v>
      </c>
      <c r="G73" s="225">
        <v>0</v>
      </c>
      <c r="H73" s="269">
        <v>0</v>
      </c>
    </row>
    <row r="74" spans="1:8" x14ac:dyDescent="0.4">
      <c r="A74" s="151"/>
      <c r="B74" s="152">
        <f>DATE(25,8,1)</f>
        <v>9345</v>
      </c>
      <c r="C74" s="211">
        <v>0</v>
      </c>
      <c r="D74" s="211">
        <v>0</v>
      </c>
      <c r="E74" s="211">
        <v>71751.61</v>
      </c>
      <c r="F74" s="153">
        <v>-1</v>
      </c>
      <c r="G74" s="225">
        <v>0</v>
      </c>
      <c r="H74" s="269">
        <v>0</v>
      </c>
    </row>
    <row r="75" spans="1:8" x14ac:dyDescent="0.4">
      <c r="A75" s="151"/>
      <c r="B75" s="152">
        <f>DATE(25,9,1)</f>
        <v>9376</v>
      </c>
      <c r="C75" s="211">
        <v>0</v>
      </c>
      <c r="D75" s="211">
        <v>0</v>
      </c>
      <c r="E75" s="211">
        <v>43866.52</v>
      </c>
      <c r="F75" s="153">
        <v>-1</v>
      </c>
      <c r="G75" s="225">
        <v>0</v>
      </c>
      <c r="H75" s="269">
        <v>0</v>
      </c>
    </row>
    <row r="76" spans="1:8" x14ac:dyDescent="0.4">
      <c r="A76" s="151"/>
      <c r="B76" s="152">
        <f>DATE(25,10,1)</f>
        <v>9406</v>
      </c>
      <c r="C76" s="211">
        <v>0</v>
      </c>
      <c r="D76" s="211">
        <v>0</v>
      </c>
      <c r="E76" s="211">
        <v>65540.570000000007</v>
      </c>
      <c r="F76" s="153">
        <v>-1</v>
      </c>
      <c r="G76" s="225">
        <v>0</v>
      </c>
      <c r="H76" s="269">
        <v>0</v>
      </c>
    </row>
    <row r="77" spans="1:8" ht="15.4" thickBot="1" x14ac:dyDescent="0.45">
      <c r="A77" s="154"/>
      <c r="B77" s="155"/>
      <c r="C77" s="211"/>
      <c r="D77" s="211"/>
      <c r="E77" s="211"/>
      <c r="F77" s="153"/>
      <c r="G77" s="225"/>
      <c r="H77" s="226"/>
    </row>
    <row r="78" spans="1:8" ht="15.75" thickTop="1" thickBot="1" x14ac:dyDescent="0.45">
      <c r="A78" s="161" t="s">
        <v>14</v>
      </c>
      <c r="B78" s="162"/>
      <c r="C78" s="213">
        <f>SUM(C73:C77)</f>
        <v>0</v>
      </c>
      <c r="D78" s="213">
        <f>SUM(D73:D77)</f>
        <v>0</v>
      </c>
      <c r="E78" s="213">
        <f>SUM(E73:E77)</f>
        <v>249322.98</v>
      </c>
      <c r="F78" s="163">
        <v>-1</v>
      </c>
      <c r="G78" s="272">
        <v>0</v>
      </c>
      <c r="H78" s="273">
        <v>0</v>
      </c>
    </row>
    <row r="79" spans="1:8" ht="15.4" thickTop="1" x14ac:dyDescent="0.4">
      <c r="A79" s="154"/>
      <c r="B79" s="155"/>
      <c r="C79" s="211"/>
      <c r="D79" s="211"/>
      <c r="E79" s="211"/>
      <c r="F79" s="153"/>
      <c r="G79" s="225"/>
      <c r="H79" s="226"/>
    </row>
    <row r="80" spans="1:8" x14ac:dyDescent="0.4">
      <c r="A80" s="151" t="s">
        <v>54</v>
      </c>
      <c r="B80" s="152">
        <f>DATE(25,7,1)</f>
        <v>9314</v>
      </c>
      <c r="C80" s="211">
        <v>0</v>
      </c>
      <c r="D80" s="211">
        <v>0</v>
      </c>
      <c r="E80" s="211">
        <v>0</v>
      </c>
      <c r="F80" s="153">
        <v>0</v>
      </c>
      <c r="G80" s="225">
        <v>0</v>
      </c>
      <c r="H80" s="226">
        <v>0</v>
      </c>
    </row>
    <row r="81" spans="1:8" x14ac:dyDescent="0.4">
      <c r="A81" s="151"/>
      <c r="B81" s="152">
        <f>DATE(25,8,1)</f>
        <v>9345</v>
      </c>
      <c r="C81" s="211">
        <v>0</v>
      </c>
      <c r="D81" s="211">
        <v>0</v>
      </c>
      <c r="E81" s="211">
        <v>0</v>
      </c>
      <c r="F81" s="153">
        <v>0</v>
      </c>
      <c r="G81" s="225">
        <v>0</v>
      </c>
      <c r="H81" s="269">
        <v>0</v>
      </c>
    </row>
    <row r="82" spans="1:8" x14ac:dyDescent="0.4">
      <c r="A82" s="151"/>
      <c r="B82" s="152">
        <f>DATE(25,9,1)</f>
        <v>9376</v>
      </c>
      <c r="C82" s="211">
        <v>0</v>
      </c>
      <c r="D82" s="211">
        <v>0</v>
      </c>
      <c r="E82" s="211">
        <v>0</v>
      </c>
      <c r="F82" s="153">
        <v>0</v>
      </c>
      <c r="G82" s="225">
        <v>0</v>
      </c>
      <c r="H82" s="269">
        <v>0</v>
      </c>
    </row>
    <row r="83" spans="1:8" x14ac:dyDescent="0.4">
      <c r="A83" s="151"/>
      <c r="B83" s="152">
        <f>DATE(25,10,1)</f>
        <v>9406</v>
      </c>
      <c r="C83" s="211">
        <v>0</v>
      </c>
      <c r="D83" s="211">
        <v>0</v>
      </c>
      <c r="E83" s="211">
        <v>0</v>
      </c>
      <c r="F83" s="153">
        <v>0</v>
      </c>
      <c r="G83" s="225">
        <v>0</v>
      </c>
      <c r="H83" s="269">
        <v>0</v>
      </c>
    </row>
    <row r="84" spans="1:8" ht="15.4" thickBot="1" x14ac:dyDescent="0.45">
      <c r="A84" s="154"/>
      <c r="B84" s="155"/>
      <c r="C84" s="211"/>
      <c r="D84" s="211"/>
      <c r="E84" s="211"/>
      <c r="F84" s="153"/>
      <c r="G84" s="225"/>
      <c r="H84" s="226"/>
    </row>
    <row r="85" spans="1:8" ht="15.75" thickTop="1" thickBot="1" x14ac:dyDescent="0.45">
      <c r="A85" s="169" t="s">
        <v>14</v>
      </c>
      <c r="B85" s="170"/>
      <c r="C85" s="215">
        <f>SUM(C80:C84)</f>
        <v>0</v>
      </c>
      <c r="D85" s="215">
        <f>SUM(D80:D84)</f>
        <v>0</v>
      </c>
      <c r="E85" s="215">
        <f>SUM(E80:E84)</f>
        <v>0</v>
      </c>
      <c r="F85" s="163">
        <v>0</v>
      </c>
      <c r="G85" s="229">
        <v>0</v>
      </c>
      <c r="H85" s="230">
        <v>0</v>
      </c>
    </row>
    <row r="86" spans="1:8" ht="15.4" thickTop="1" x14ac:dyDescent="0.4">
      <c r="A86" s="154"/>
      <c r="B86" s="155"/>
      <c r="C86" s="211"/>
      <c r="D86" s="211"/>
      <c r="E86" s="211"/>
      <c r="F86" s="153"/>
      <c r="G86" s="225"/>
      <c r="H86" s="226"/>
    </row>
    <row r="87" spans="1:8" x14ac:dyDescent="0.4">
      <c r="A87" s="151" t="s">
        <v>37</v>
      </c>
      <c r="B87" s="152">
        <f>DATE(25,7,1)</f>
        <v>9314</v>
      </c>
      <c r="C87" s="211">
        <v>0</v>
      </c>
      <c r="D87" s="211">
        <v>0</v>
      </c>
      <c r="E87" s="211">
        <v>0</v>
      </c>
      <c r="F87" s="153">
        <v>0</v>
      </c>
      <c r="G87" s="225">
        <v>0</v>
      </c>
      <c r="H87" s="269">
        <v>0</v>
      </c>
    </row>
    <row r="88" spans="1:8" x14ac:dyDescent="0.4">
      <c r="A88" s="151"/>
      <c r="B88" s="152">
        <f>DATE(25,8,1)</f>
        <v>9345</v>
      </c>
      <c r="C88" s="211">
        <v>0</v>
      </c>
      <c r="D88" s="211">
        <v>0</v>
      </c>
      <c r="E88" s="211">
        <v>0</v>
      </c>
      <c r="F88" s="153">
        <v>0</v>
      </c>
      <c r="G88" s="225">
        <v>0</v>
      </c>
      <c r="H88" s="269">
        <v>0</v>
      </c>
    </row>
    <row r="89" spans="1:8" x14ac:dyDescent="0.4">
      <c r="A89" s="151"/>
      <c r="B89" s="152">
        <f>DATE(25,9,1)</f>
        <v>9376</v>
      </c>
      <c r="C89" s="211">
        <v>0</v>
      </c>
      <c r="D89" s="211">
        <v>0</v>
      </c>
      <c r="E89" s="211">
        <v>0</v>
      </c>
      <c r="F89" s="153">
        <v>0</v>
      </c>
      <c r="G89" s="225">
        <v>0</v>
      </c>
      <c r="H89" s="269">
        <v>0</v>
      </c>
    </row>
    <row r="90" spans="1:8" x14ac:dyDescent="0.4">
      <c r="A90" s="151"/>
      <c r="B90" s="152">
        <f>DATE(25,10,1)</f>
        <v>9406</v>
      </c>
      <c r="C90" s="211">
        <v>0</v>
      </c>
      <c r="D90" s="211">
        <v>0</v>
      </c>
      <c r="E90" s="211">
        <v>0</v>
      </c>
      <c r="F90" s="153">
        <v>0</v>
      </c>
      <c r="G90" s="225">
        <v>0</v>
      </c>
      <c r="H90" s="269">
        <v>0</v>
      </c>
    </row>
    <row r="91" spans="1:8" ht="15.4" thickBot="1" x14ac:dyDescent="0.45">
      <c r="A91" s="154"/>
      <c r="B91" s="155"/>
      <c r="C91" s="211"/>
      <c r="D91" s="211"/>
      <c r="E91" s="211"/>
      <c r="F91" s="153"/>
      <c r="G91" s="225"/>
      <c r="H91" s="226"/>
    </row>
    <row r="92" spans="1:8" ht="15.75" thickTop="1" thickBot="1" x14ac:dyDescent="0.45">
      <c r="A92" s="161" t="s">
        <v>14</v>
      </c>
      <c r="B92" s="162"/>
      <c r="C92" s="213">
        <f>SUM(C87:C91)</f>
        <v>0</v>
      </c>
      <c r="D92" s="213">
        <f>SUM(D87:D91)</f>
        <v>0</v>
      </c>
      <c r="E92" s="213">
        <f>SUM(E87:E91)</f>
        <v>0</v>
      </c>
      <c r="F92" s="163">
        <v>0</v>
      </c>
      <c r="G92" s="229">
        <v>0</v>
      </c>
      <c r="H92" s="230">
        <v>0</v>
      </c>
    </row>
    <row r="93" spans="1:8" ht="15.4" thickTop="1" x14ac:dyDescent="0.4">
      <c r="A93" s="154"/>
      <c r="B93" s="155"/>
      <c r="C93" s="211"/>
      <c r="D93" s="211"/>
      <c r="E93" s="211"/>
      <c r="F93" s="153"/>
      <c r="G93" s="225"/>
      <c r="H93" s="269"/>
    </row>
    <row r="94" spans="1:8" x14ac:dyDescent="0.4">
      <c r="A94" s="151" t="s">
        <v>57</v>
      </c>
      <c r="B94" s="152">
        <f>DATE(25,7,1)</f>
        <v>9314</v>
      </c>
      <c r="C94" s="211">
        <v>747329</v>
      </c>
      <c r="D94" s="211">
        <v>40772.980000000003</v>
      </c>
      <c r="E94" s="211">
        <v>0</v>
      </c>
      <c r="F94" s="153">
        <v>1</v>
      </c>
      <c r="G94" s="225">
        <f>+D94/C94</f>
        <v>5.4558273531470081E-2</v>
      </c>
      <c r="H94" s="269">
        <f>1-G94</f>
        <v>0.94544172646852997</v>
      </c>
    </row>
    <row r="95" spans="1:8" x14ac:dyDescent="0.4">
      <c r="A95" s="151"/>
      <c r="B95" s="152">
        <f>DATE(25,8,1)</f>
        <v>9345</v>
      </c>
      <c r="C95" s="211">
        <v>591513</v>
      </c>
      <c r="D95" s="211">
        <v>30682.93</v>
      </c>
      <c r="E95" s="211">
        <v>0</v>
      </c>
      <c r="F95" s="153">
        <v>1</v>
      </c>
      <c r="G95" s="225">
        <f>+D95/C95</f>
        <v>5.1871945333407721E-2</v>
      </c>
      <c r="H95" s="269">
        <f>1-G95</f>
        <v>0.94812805466659222</v>
      </c>
    </row>
    <row r="96" spans="1:8" x14ac:dyDescent="0.4">
      <c r="A96" s="151"/>
      <c r="B96" s="152">
        <f>DATE(25,9,1)</f>
        <v>9376</v>
      </c>
      <c r="C96" s="211">
        <v>640949</v>
      </c>
      <c r="D96" s="211">
        <v>32931.440000000002</v>
      </c>
      <c r="E96" s="211">
        <v>0</v>
      </c>
      <c r="F96" s="153">
        <v>1</v>
      </c>
      <c r="G96" s="225">
        <f>+D96/C96</f>
        <v>5.1379189295872221E-2</v>
      </c>
      <c r="H96" s="269">
        <f>1-G96</f>
        <v>0.94862081070412774</v>
      </c>
    </row>
    <row r="97" spans="1:8" x14ac:dyDescent="0.4">
      <c r="A97" s="151"/>
      <c r="B97" s="152">
        <f>DATE(25,10,1)</f>
        <v>9406</v>
      </c>
      <c r="C97" s="211">
        <v>484836</v>
      </c>
      <c r="D97" s="211">
        <v>17011.36</v>
      </c>
      <c r="E97" s="211">
        <v>9398.39</v>
      </c>
      <c r="F97" s="153">
        <f>+(D97-E97)/E97</f>
        <v>0.81002916456967644</v>
      </c>
      <c r="G97" s="225">
        <f>+D97/C97</f>
        <v>3.5086833485962261E-2</v>
      </c>
      <c r="H97" s="269">
        <f>1-G97</f>
        <v>0.96491316651403769</v>
      </c>
    </row>
    <row r="98" spans="1:8" ht="15.4" thickBot="1" x14ac:dyDescent="0.45">
      <c r="A98" s="154"/>
      <c r="B98" s="155"/>
      <c r="C98" s="211"/>
      <c r="D98" s="211"/>
      <c r="E98" s="211"/>
      <c r="F98" s="153"/>
      <c r="G98" s="225"/>
      <c r="H98" s="226"/>
    </row>
    <row r="99" spans="1:8" ht="15.75" thickTop="1" thickBot="1" x14ac:dyDescent="0.45">
      <c r="A99" s="156" t="s">
        <v>14</v>
      </c>
      <c r="B99" s="143"/>
      <c r="C99" s="208">
        <f>SUM(C94:C98)</f>
        <v>2464627</v>
      </c>
      <c r="D99" s="208">
        <f>SUM(D94:D98)</f>
        <v>121398.71</v>
      </c>
      <c r="E99" s="208">
        <f>SUM(E94:E98)</f>
        <v>9398.39</v>
      </c>
      <c r="F99" s="163">
        <f>+(D99-E99)/E99</f>
        <v>11.916968757414836</v>
      </c>
      <c r="G99" s="229">
        <f>+D99/C99</f>
        <v>4.9256422980029031E-2</v>
      </c>
      <c r="H99" s="230">
        <f>1-G99</f>
        <v>0.95074357701997092</v>
      </c>
    </row>
    <row r="100" spans="1:8" ht="15.75" thickTop="1" thickBot="1" x14ac:dyDescent="0.45">
      <c r="A100" s="158"/>
      <c r="B100" s="159"/>
      <c r="C100" s="212"/>
      <c r="D100" s="212"/>
      <c r="E100" s="212"/>
      <c r="F100" s="160"/>
      <c r="G100" s="227"/>
      <c r="H100" s="228"/>
    </row>
    <row r="101" spans="1:8" ht="15.75" thickTop="1" thickBot="1" x14ac:dyDescent="0.45">
      <c r="A101" s="171" t="s">
        <v>38</v>
      </c>
      <c r="B101" s="143"/>
      <c r="C101" s="208">
        <f>C99+C92+C71+C57+C43+C29+C15+C36+C85+C22+C64+C78+C50</f>
        <v>2464627</v>
      </c>
      <c r="D101" s="208">
        <f>D99+D92+D71+D57+D43+D29+D15+D36+D85+D22+D64+D78+D50</f>
        <v>121398.71</v>
      </c>
      <c r="E101" s="208">
        <f>E99+E92+E71+E57+E43+E29+E15+E36+E85+E22+E64+E78+E50</f>
        <v>258721.37</v>
      </c>
      <c r="F101" s="163">
        <f>+(D101-E101)/E101</f>
        <v>-0.53077432297146532</v>
      </c>
      <c r="G101" s="220">
        <f>D101/C101</f>
        <v>4.9256422980029031E-2</v>
      </c>
      <c r="H101" s="221">
        <f>1-G101</f>
        <v>0.95074357701997092</v>
      </c>
    </row>
    <row r="102" spans="1:8" ht="15.75" thickTop="1" thickBot="1" x14ac:dyDescent="0.45">
      <c r="A102" s="171"/>
      <c r="B102" s="143"/>
      <c r="C102" s="208"/>
      <c r="D102" s="208"/>
      <c r="E102" s="208"/>
      <c r="F102" s="157"/>
      <c r="G102" s="220"/>
      <c r="H102" s="221"/>
    </row>
    <row r="103" spans="1:8" ht="15.75" thickTop="1" thickBot="1" x14ac:dyDescent="0.45">
      <c r="A103" s="171" t="s">
        <v>39</v>
      </c>
      <c r="B103" s="143"/>
      <c r="C103" s="208">
        <f>+C13+C20+C27+C34+C41+C48+C55+C62+C69+C76+C83+C90+C97</f>
        <v>484836</v>
      </c>
      <c r="D103" s="208">
        <f>+D13+D20+D27+D34+D41+D48+D55+D62+D69+D76+D83+D90+D97</f>
        <v>17011.36</v>
      </c>
      <c r="E103" s="208">
        <f>+E13+E20+E27+E34+E41+E48+E55+E62+E69+E76+E83+E90+E97</f>
        <v>74938.960000000006</v>
      </c>
      <c r="F103" s="163">
        <f>+(D103-E103)/E103</f>
        <v>-0.77299711658661929</v>
      </c>
      <c r="G103" s="220">
        <f>D103/C103</f>
        <v>3.5086833485962261E-2</v>
      </c>
      <c r="H103" s="230">
        <f>1-G103</f>
        <v>0.96491316651403769</v>
      </c>
    </row>
    <row r="104" spans="1:8" ht="15.4" thickTop="1" x14ac:dyDescent="0.4">
      <c r="A104" s="172"/>
      <c r="B104" s="173"/>
      <c r="C104" s="216"/>
      <c r="D104" s="216"/>
      <c r="E104" s="216"/>
      <c r="F104" s="174"/>
      <c r="G104" s="234"/>
      <c r="H104" s="234"/>
    </row>
    <row r="105" spans="1:8" ht="17.25" x14ac:dyDescent="0.45">
      <c r="A105" s="175" t="s">
        <v>49</v>
      </c>
      <c r="B105" s="176"/>
      <c r="C105" s="217"/>
      <c r="D105" s="217"/>
      <c r="E105" s="217"/>
      <c r="F105" s="177"/>
      <c r="G105" s="235"/>
      <c r="H105" s="235"/>
    </row>
    <row r="106" spans="1:8" x14ac:dyDescent="0.4">
      <c r="A106" s="178"/>
      <c r="B106" s="176"/>
      <c r="C106" s="217"/>
      <c r="D106" s="217"/>
      <c r="E106" s="217"/>
      <c r="F106" s="177"/>
      <c r="G106" s="235"/>
      <c r="H106" s="235"/>
    </row>
  </sheetData>
  <printOptions horizontalCentered="1"/>
  <pageMargins left="0.7" right="0.45" top="0.25" bottom="0.25" header="0.3" footer="0.3"/>
  <pageSetup scale="64" orientation="landscape" r:id="rId1"/>
  <rowBreaks count="2" manualBreakCount="2">
    <brk id="50" max="16383" man="1"/>
    <brk id="9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FDDB6-17E7-4B1F-AF0F-900350C9EF34}">
  <sheetPr>
    <pageSetUpPr autoPageBreaks="0"/>
  </sheetPr>
  <dimension ref="A1:H107"/>
  <sheetViews>
    <sheetView tabSelected="1" showOutlineSymbols="0" zoomScaleNormal="100" workbookViewId="0">
      <selection activeCell="A6" sqref="A6"/>
    </sheetView>
  </sheetViews>
  <sheetFormatPr defaultColWidth="9.6640625" defaultRowHeight="15" x14ac:dyDescent="0.4"/>
  <cols>
    <col min="1" max="1" width="27.6640625" style="140" customWidth="1"/>
    <col min="2" max="2" width="9.6640625" style="140" customWidth="1"/>
    <col min="3" max="3" width="18.33203125" style="207" customWidth="1"/>
    <col min="4" max="4" width="16.44140625" style="207" customWidth="1"/>
    <col min="5" max="5" width="15.5546875" style="207" customWidth="1"/>
    <col min="6" max="6" width="9.6640625" style="140" customWidth="1"/>
    <col min="7" max="7" width="9.6640625" style="218" customWidth="1"/>
    <col min="8" max="8" width="10.88671875" style="218" customWidth="1"/>
    <col min="9" max="9" width="1.6640625" style="140" customWidth="1"/>
    <col min="10" max="16384" width="9.6640625" style="140"/>
  </cols>
  <sheetData>
    <row r="1" spans="1:8" ht="17.649999999999999" x14ac:dyDescent="0.5">
      <c r="A1" s="139" t="s">
        <v>0</v>
      </c>
    </row>
    <row r="2" spans="1:8" ht="17.25" x14ac:dyDescent="0.45">
      <c r="A2" s="141" t="s">
        <v>41</v>
      </c>
    </row>
    <row r="3" spans="1:8" ht="17.649999999999999" x14ac:dyDescent="0.5">
      <c r="A3" s="139" t="s">
        <v>42</v>
      </c>
    </row>
    <row r="4" spans="1:8" ht="17.649999999999999" x14ac:dyDescent="0.5">
      <c r="A4" s="265" t="s">
        <v>78</v>
      </c>
    </row>
    <row r="5" spans="1:8" x14ac:dyDescent="0.4">
      <c r="A5" s="266" t="s">
        <v>73</v>
      </c>
    </row>
    <row r="6" spans="1:8" ht="15.4" thickBot="1" x14ac:dyDescent="0.45">
      <c r="G6" s="219" t="s">
        <v>43</v>
      </c>
      <c r="H6" s="219"/>
    </row>
    <row r="7" spans="1:8" ht="15.4" thickTop="1" x14ac:dyDescent="0.4">
      <c r="A7" s="142"/>
      <c r="B7" s="143" t="s">
        <v>2</v>
      </c>
      <c r="C7" s="208" t="s">
        <v>44</v>
      </c>
      <c r="D7" s="208" t="s">
        <v>31</v>
      </c>
      <c r="E7" s="208" t="s">
        <v>3</v>
      </c>
      <c r="F7" s="144"/>
      <c r="G7" s="220" t="s">
        <v>32</v>
      </c>
      <c r="H7" s="236" t="s">
        <v>32</v>
      </c>
    </row>
    <row r="8" spans="1:8" ht="15.4" thickBot="1" x14ac:dyDescent="0.45">
      <c r="A8" s="145" t="s">
        <v>5</v>
      </c>
      <c r="B8" s="146" t="s">
        <v>6</v>
      </c>
      <c r="C8" s="209" t="s">
        <v>45</v>
      </c>
      <c r="D8" s="209" t="s">
        <v>46</v>
      </c>
      <c r="E8" s="209" t="s">
        <v>46</v>
      </c>
      <c r="F8" s="147" t="s">
        <v>8</v>
      </c>
      <c r="G8" s="222" t="s">
        <v>35</v>
      </c>
      <c r="H8" s="237" t="s">
        <v>47</v>
      </c>
    </row>
    <row r="9" spans="1:8" ht="15.75" customHeight="1" thickTop="1" x14ac:dyDescent="0.4">
      <c r="A9" s="148"/>
      <c r="B9" s="149"/>
      <c r="C9" s="210"/>
      <c r="D9" s="210"/>
      <c r="E9" s="210"/>
      <c r="F9" s="150"/>
      <c r="G9" s="223"/>
      <c r="H9" s="224"/>
    </row>
    <row r="10" spans="1:8" x14ac:dyDescent="0.4">
      <c r="A10" s="151" t="s">
        <v>36</v>
      </c>
      <c r="B10" s="152">
        <f>DATE(25,7,1)</f>
        <v>9314</v>
      </c>
      <c r="C10" s="211">
        <v>118765145.81999999</v>
      </c>
      <c r="D10" s="211">
        <v>11189124.52</v>
      </c>
      <c r="E10" s="211">
        <v>11227961.560000001</v>
      </c>
      <c r="F10" s="153">
        <f>(+D10-E10)/E10</f>
        <v>-3.4589573354400554E-3</v>
      </c>
      <c r="G10" s="225">
        <f>D10/C10</f>
        <v>9.4212190308410812E-2</v>
      </c>
      <c r="H10" s="226">
        <f>1-G10</f>
        <v>0.90578780969158923</v>
      </c>
    </row>
    <row r="11" spans="1:8" x14ac:dyDescent="0.4">
      <c r="A11" s="151"/>
      <c r="B11" s="152">
        <f>DATE(25,8,1)</f>
        <v>9345</v>
      </c>
      <c r="C11" s="211">
        <v>123114683.18000001</v>
      </c>
      <c r="D11" s="211">
        <v>12025915.57</v>
      </c>
      <c r="E11" s="211">
        <v>11755000.6</v>
      </c>
      <c r="F11" s="153">
        <f>(+D11-E11)/E11</f>
        <v>2.304678487213354E-2</v>
      </c>
      <c r="G11" s="225">
        <f>D11/C11</f>
        <v>9.7680595517737653E-2</v>
      </c>
      <c r="H11" s="226">
        <f>1-G11</f>
        <v>0.90231940448226233</v>
      </c>
    </row>
    <row r="12" spans="1:8" x14ac:dyDescent="0.4">
      <c r="A12" s="151"/>
      <c r="B12" s="152">
        <f>DATE(25,9,1)</f>
        <v>9376</v>
      </c>
      <c r="C12" s="211">
        <v>109442512</v>
      </c>
      <c r="D12" s="211">
        <v>9660904.2300000004</v>
      </c>
      <c r="E12" s="211">
        <v>10612528.25</v>
      </c>
      <c r="F12" s="153">
        <f>(+D12-E12)/E12</f>
        <v>-8.9669869194458879E-2</v>
      </c>
      <c r="G12" s="225">
        <f>D12/C12</f>
        <v>8.8273780028002291E-2</v>
      </c>
      <c r="H12" s="226">
        <f>1-G12</f>
        <v>0.91172621997199776</v>
      </c>
    </row>
    <row r="13" spans="1:8" x14ac:dyDescent="0.4">
      <c r="A13" s="151"/>
      <c r="B13" s="152">
        <f>DATE(25,10,1)</f>
        <v>9406</v>
      </c>
      <c r="C13" s="211">
        <v>117030493.84</v>
      </c>
      <c r="D13" s="211">
        <v>11102343.91</v>
      </c>
      <c r="E13" s="211">
        <v>10410698.33</v>
      </c>
      <c r="F13" s="153">
        <f>(+D13-E13)/E13</f>
        <v>6.6436040895250889E-2</v>
      </c>
      <c r="G13" s="225">
        <f>D13/C13</f>
        <v>9.4867102972142764E-2</v>
      </c>
      <c r="H13" s="226">
        <f>1-G13</f>
        <v>0.90513289702785726</v>
      </c>
    </row>
    <row r="14" spans="1:8" ht="15.4" thickBot="1" x14ac:dyDescent="0.45">
      <c r="A14" s="154"/>
      <c r="B14" s="155"/>
      <c r="C14" s="211"/>
      <c r="D14" s="211"/>
      <c r="E14" s="211"/>
      <c r="F14" s="153"/>
      <c r="G14" s="225"/>
      <c r="H14" s="226"/>
    </row>
    <row r="15" spans="1:8" ht="15.75" thickTop="1" thickBot="1" x14ac:dyDescent="0.45">
      <c r="A15" s="156" t="s">
        <v>14</v>
      </c>
      <c r="B15" s="143"/>
      <c r="C15" s="208">
        <f>SUM(C10:C14)</f>
        <v>468352834.84000003</v>
      </c>
      <c r="D15" s="208">
        <f>SUM(D10:D14)</f>
        <v>43978288.230000004</v>
      </c>
      <c r="E15" s="208">
        <f>SUM(E10:E14)</f>
        <v>44006188.739999995</v>
      </c>
      <c r="F15" s="157">
        <f>(+D15-E15)/E15</f>
        <v>-6.3401332400844638E-4</v>
      </c>
      <c r="G15" s="220">
        <f>D15/C15</f>
        <v>9.389990827113065E-2</v>
      </c>
      <c r="H15" s="221">
        <f>1-G15</f>
        <v>0.90610009172886929</v>
      </c>
    </row>
    <row r="16" spans="1:8" ht="15.4" thickTop="1" x14ac:dyDescent="0.4">
      <c r="A16" s="158"/>
      <c r="B16" s="159"/>
      <c r="C16" s="212"/>
      <c r="D16" s="212"/>
      <c r="E16" s="212"/>
      <c r="F16" s="160"/>
      <c r="G16" s="227"/>
      <c r="H16" s="228"/>
    </row>
    <row r="17" spans="1:8" x14ac:dyDescent="0.4">
      <c r="A17" s="18" t="s">
        <v>48</v>
      </c>
      <c r="B17" s="152">
        <f>DATE(25,7,1)</f>
        <v>9314</v>
      </c>
      <c r="C17" s="211">
        <v>75801887.219999999</v>
      </c>
      <c r="D17" s="211">
        <v>7699908.8200000003</v>
      </c>
      <c r="E17" s="211">
        <v>6199829.7599999998</v>
      </c>
      <c r="F17" s="153">
        <f>(+D17-E17)/E17</f>
        <v>0.24195487909655128</v>
      </c>
      <c r="G17" s="225">
        <f>D17/C17</f>
        <v>0.10157938149550995</v>
      </c>
      <c r="H17" s="226">
        <f>1-G17</f>
        <v>0.89842061850449006</v>
      </c>
    </row>
    <row r="18" spans="1:8" x14ac:dyDescent="0.4">
      <c r="A18" s="18"/>
      <c r="B18" s="152">
        <f>DATE(25,8,1)</f>
        <v>9345</v>
      </c>
      <c r="C18" s="211">
        <v>76875873.920000002</v>
      </c>
      <c r="D18" s="211">
        <v>7656381.6799999997</v>
      </c>
      <c r="E18" s="211">
        <v>6511097.2999999998</v>
      </c>
      <c r="F18" s="153">
        <f>(+D18-E18)/E18</f>
        <v>0.17589729153640507</v>
      </c>
      <c r="G18" s="225">
        <f>D18/C18</f>
        <v>9.9594076653587382E-2</v>
      </c>
      <c r="H18" s="226">
        <f>1-G18</f>
        <v>0.90040592334641256</v>
      </c>
    </row>
    <row r="19" spans="1:8" x14ac:dyDescent="0.4">
      <c r="A19" s="18"/>
      <c r="B19" s="152">
        <f>DATE(25,9,1)</f>
        <v>9376</v>
      </c>
      <c r="C19" s="211">
        <v>72882283.359999999</v>
      </c>
      <c r="D19" s="211">
        <v>7340776.8799999999</v>
      </c>
      <c r="E19" s="211">
        <v>6272930.8499999996</v>
      </c>
      <c r="F19" s="153">
        <f>(+D19-E19)/E19</f>
        <v>0.17023079889363046</v>
      </c>
      <c r="G19" s="225">
        <f>D19/C19</f>
        <v>0.1007210057311245</v>
      </c>
      <c r="H19" s="226">
        <f>1-G19</f>
        <v>0.89927899426887548</v>
      </c>
    </row>
    <row r="20" spans="1:8" x14ac:dyDescent="0.4">
      <c r="A20" s="18"/>
      <c r="B20" s="152">
        <f>DATE(25,10,1)</f>
        <v>9406</v>
      </c>
      <c r="C20" s="211">
        <v>75796379.829999998</v>
      </c>
      <c r="D20" s="211">
        <v>7167736.2999999998</v>
      </c>
      <c r="E20" s="211">
        <v>6043389.6600000001</v>
      </c>
      <c r="F20" s="153">
        <f>(+D20-E20)/E20</f>
        <v>0.18604569674562399</v>
      </c>
      <c r="G20" s="225">
        <f>D20/C20</f>
        <v>9.456568131718382E-2</v>
      </c>
      <c r="H20" s="226">
        <f>1-G20</f>
        <v>0.90543431868281621</v>
      </c>
    </row>
    <row r="21" spans="1:8" ht="15.4" thickBot="1" x14ac:dyDescent="0.45">
      <c r="A21" s="154"/>
      <c r="B21" s="152"/>
      <c r="C21" s="211"/>
      <c r="D21" s="211"/>
      <c r="E21" s="211"/>
      <c r="F21" s="153"/>
      <c r="G21" s="225"/>
      <c r="H21" s="226"/>
    </row>
    <row r="22" spans="1:8" ht="15.75" thickTop="1" thickBot="1" x14ac:dyDescent="0.45">
      <c r="A22" s="156" t="s">
        <v>14</v>
      </c>
      <c r="B22" s="143"/>
      <c r="C22" s="208">
        <f>SUM(C17:C21)</f>
        <v>301356424.32999998</v>
      </c>
      <c r="D22" s="208">
        <f>SUM(D17:D21)</f>
        <v>29864803.68</v>
      </c>
      <c r="E22" s="208">
        <f>SUM(E17:E21)</f>
        <v>25027247.569999997</v>
      </c>
      <c r="F22" s="157">
        <f>(+D22-E22)/E22</f>
        <v>0.19329157537078712</v>
      </c>
      <c r="G22" s="220">
        <f>D22/C22</f>
        <v>9.9101267697869228E-2</v>
      </c>
      <c r="H22" s="221">
        <f>1-G22</f>
        <v>0.9008987323021308</v>
      </c>
    </row>
    <row r="23" spans="1:8" ht="15.4" thickTop="1" x14ac:dyDescent="0.4">
      <c r="A23" s="158"/>
      <c r="B23" s="159"/>
      <c r="C23" s="212"/>
      <c r="D23" s="212"/>
      <c r="E23" s="212"/>
      <c r="F23" s="160"/>
      <c r="G23" s="227"/>
      <c r="H23" s="228"/>
    </row>
    <row r="24" spans="1:8" x14ac:dyDescent="0.4">
      <c r="A24" s="18" t="s">
        <v>62</v>
      </c>
      <c r="B24" s="152">
        <f>DATE(25,7,1)</f>
        <v>9314</v>
      </c>
      <c r="C24" s="211">
        <v>46035567.140000001</v>
      </c>
      <c r="D24" s="211">
        <v>4754649.79</v>
      </c>
      <c r="E24" s="211">
        <v>3585663.09</v>
      </c>
      <c r="F24" s="153">
        <f>(+D24-E24)/E24</f>
        <v>0.32601688185936067</v>
      </c>
      <c r="G24" s="225">
        <f>D24/C24</f>
        <v>0.10328209437586609</v>
      </c>
      <c r="H24" s="226">
        <f>1-G24</f>
        <v>0.89671790562413389</v>
      </c>
    </row>
    <row r="25" spans="1:8" x14ac:dyDescent="0.4">
      <c r="A25" s="18"/>
      <c r="B25" s="152">
        <f>DATE(25,8,1)</f>
        <v>9345</v>
      </c>
      <c r="C25" s="211">
        <v>46774169.189999998</v>
      </c>
      <c r="D25" s="211">
        <v>5030748.01</v>
      </c>
      <c r="E25" s="211">
        <v>3620973.03</v>
      </c>
      <c r="F25" s="153">
        <f>(+D25-E25)/E25</f>
        <v>0.38933595150251643</v>
      </c>
      <c r="G25" s="225">
        <f>D25/C25</f>
        <v>0.10755397898281729</v>
      </c>
      <c r="H25" s="226">
        <f>1-G25</f>
        <v>0.89244602101718273</v>
      </c>
    </row>
    <row r="26" spans="1:8" x14ac:dyDescent="0.4">
      <c r="A26" s="18"/>
      <c r="B26" s="152">
        <f>DATE(25,9,1)</f>
        <v>9376</v>
      </c>
      <c r="C26" s="211">
        <v>41389122.100000001</v>
      </c>
      <c r="D26" s="211">
        <v>4397839.1500000004</v>
      </c>
      <c r="E26" s="211">
        <v>3548518.78</v>
      </c>
      <c r="F26" s="153">
        <f>(+D26-E26)/E26</f>
        <v>0.2393450401860352</v>
      </c>
      <c r="G26" s="225">
        <f>D26/C26</f>
        <v>0.10625591766296488</v>
      </c>
      <c r="H26" s="226">
        <f>1-G26</f>
        <v>0.89374408233703506</v>
      </c>
    </row>
    <row r="27" spans="1:8" x14ac:dyDescent="0.4">
      <c r="A27" s="18"/>
      <c r="B27" s="152">
        <f>DATE(25,10,1)</f>
        <v>9406</v>
      </c>
      <c r="C27" s="211">
        <v>44199870.649999999</v>
      </c>
      <c r="D27" s="211">
        <v>4594857.83</v>
      </c>
      <c r="E27" s="211">
        <v>2824673.89</v>
      </c>
      <c r="F27" s="153">
        <f>(+D27-E27)/E27</f>
        <v>0.62668612694260428</v>
      </c>
      <c r="G27" s="225">
        <f>D27/C27</f>
        <v>0.10395636372750336</v>
      </c>
      <c r="H27" s="226">
        <f>1-G27</f>
        <v>0.89604363627249661</v>
      </c>
    </row>
    <row r="28" spans="1:8" ht="15.4" thickBot="1" x14ac:dyDescent="0.45">
      <c r="A28" s="154"/>
      <c r="B28" s="152"/>
      <c r="C28" s="211"/>
      <c r="D28" s="211"/>
      <c r="E28" s="211"/>
      <c r="F28" s="153"/>
      <c r="G28" s="225"/>
      <c r="H28" s="226"/>
    </row>
    <row r="29" spans="1:8" ht="15.75" thickTop="1" thickBot="1" x14ac:dyDescent="0.45">
      <c r="A29" s="161" t="s">
        <v>14</v>
      </c>
      <c r="B29" s="162"/>
      <c r="C29" s="213">
        <f>SUM(C24:C28)</f>
        <v>178398729.08000001</v>
      </c>
      <c r="D29" s="213">
        <f>SUM(D24:D28)</f>
        <v>18778094.780000001</v>
      </c>
      <c r="E29" s="213">
        <f>SUM(E24:E28)</f>
        <v>13579828.789999999</v>
      </c>
      <c r="F29" s="163">
        <f>(+D29-E29)/E29</f>
        <v>0.38279319057600597</v>
      </c>
      <c r="G29" s="229">
        <f>D29/C29</f>
        <v>0.10525912867674786</v>
      </c>
      <c r="H29" s="230">
        <f>1-G29</f>
        <v>0.89474087132325208</v>
      </c>
    </row>
    <row r="30" spans="1:8" ht="15.4" thickTop="1" x14ac:dyDescent="0.4">
      <c r="A30" s="154"/>
      <c r="B30" s="155"/>
      <c r="C30" s="211"/>
      <c r="D30" s="211"/>
      <c r="E30" s="211"/>
      <c r="F30" s="153"/>
      <c r="G30" s="225"/>
      <c r="H30" s="226"/>
    </row>
    <row r="31" spans="1:8" x14ac:dyDescent="0.4">
      <c r="A31" s="164" t="s">
        <v>58</v>
      </c>
      <c r="B31" s="152">
        <f>DATE(25,7,1)</f>
        <v>9314</v>
      </c>
      <c r="C31" s="211">
        <v>204045408.94</v>
      </c>
      <c r="D31" s="211">
        <v>19065951.129999999</v>
      </c>
      <c r="E31" s="211">
        <v>17635163.969999999</v>
      </c>
      <c r="F31" s="153">
        <f>(+D31-E31)/E31</f>
        <v>8.1132625839713146E-2</v>
      </c>
      <c r="G31" s="225">
        <f>D31/C31</f>
        <v>9.3439745736236507E-2</v>
      </c>
      <c r="H31" s="226">
        <f>1-G31</f>
        <v>0.90656025426376352</v>
      </c>
    </row>
    <row r="32" spans="1:8" x14ac:dyDescent="0.4">
      <c r="A32" s="164"/>
      <c r="B32" s="152">
        <f>DATE(25,8,1)</f>
        <v>9345</v>
      </c>
      <c r="C32" s="211">
        <v>213666938.12</v>
      </c>
      <c r="D32" s="211">
        <v>19625709.969999999</v>
      </c>
      <c r="E32" s="211">
        <v>18755463.760000002</v>
      </c>
      <c r="F32" s="153">
        <f>(+D32-E32)/E32</f>
        <v>4.6399610328803575E-2</v>
      </c>
      <c r="G32" s="225">
        <f>D32/C32</f>
        <v>9.1851880046026457E-2</v>
      </c>
      <c r="H32" s="226">
        <f>1-G32</f>
        <v>0.9081481199539736</v>
      </c>
    </row>
    <row r="33" spans="1:8" x14ac:dyDescent="0.4">
      <c r="A33" s="164"/>
      <c r="B33" s="152">
        <f>DATE(25,9,1)</f>
        <v>9376</v>
      </c>
      <c r="C33" s="211">
        <v>188184296.90000001</v>
      </c>
      <c r="D33" s="211">
        <v>17435872.420000002</v>
      </c>
      <c r="E33" s="211">
        <v>17095090.23</v>
      </c>
      <c r="F33" s="153">
        <f>(+D33-E33)/E33</f>
        <v>1.9934506657470933E-2</v>
      </c>
      <c r="G33" s="225">
        <f>D33/C33</f>
        <v>9.2653174081072862E-2</v>
      </c>
      <c r="H33" s="226">
        <f>1-G33</f>
        <v>0.90734682591892712</v>
      </c>
    </row>
    <row r="34" spans="1:8" x14ac:dyDescent="0.4">
      <c r="A34" s="164"/>
      <c r="B34" s="152">
        <f>DATE(25,10,1)</f>
        <v>9406</v>
      </c>
      <c r="C34" s="211">
        <v>212140186.43000001</v>
      </c>
      <c r="D34" s="211">
        <v>19759923.719999999</v>
      </c>
      <c r="E34" s="211">
        <v>18243581.699999999</v>
      </c>
      <c r="F34" s="153">
        <f>(+D34-E34)/E34</f>
        <v>8.3116465008622714E-2</v>
      </c>
      <c r="G34" s="225">
        <f>D34/C34</f>
        <v>9.3145594206028429E-2</v>
      </c>
      <c r="H34" s="226">
        <f>1-G34</f>
        <v>0.90685440579397159</v>
      </c>
    </row>
    <row r="35" spans="1:8" ht="15.4" thickBot="1" x14ac:dyDescent="0.45">
      <c r="A35" s="154"/>
      <c r="B35" s="155"/>
      <c r="C35" s="211"/>
      <c r="D35" s="211"/>
      <c r="E35" s="211"/>
      <c r="F35" s="153"/>
      <c r="G35" s="225"/>
      <c r="H35" s="226"/>
    </row>
    <row r="36" spans="1:8" ht="15.75" thickTop="1" thickBot="1" x14ac:dyDescent="0.45">
      <c r="A36" s="161" t="s">
        <v>14</v>
      </c>
      <c r="B36" s="165"/>
      <c r="C36" s="213">
        <f>SUM(C31:C35)</f>
        <v>818036830.3900001</v>
      </c>
      <c r="D36" s="213">
        <f>SUM(D31:D35)</f>
        <v>75887457.239999995</v>
      </c>
      <c r="E36" s="213">
        <f>SUM(E31:E35)</f>
        <v>71729299.660000011</v>
      </c>
      <c r="F36" s="163">
        <f>(+D36-E36)/E36</f>
        <v>5.7970140510360903E-2</v>
      </c>
      <c r="G36" s="229">
        <f>D36/C36</f>
        <v>9.2767775753838072E-2</v>
      </c>
      <c r="H36" s="230">
        <f>1-G36</f>
        <v>0.9072322242461619</v>
      </c>
    </row>
    <row r="37" spans="1:8" ht="15.4" thickTop="1" x14ac:dyDescent="0.4">
      <c r="A37" s="154"/>
      <c r="B37" s="155"/>
      <c r="C37" s="211"/>
      <c r="D37" s="211"/>
      <c r="E37" s="211"/>
      <c r="F37" s="153"/>
      <c r="G37" s="225"/>
      <c r="H37" s="226"/>
    </row>
    <row r="38" spans="1:8" x14ac:dyDescent="0.4">
      <c r="A38" s="151" t="s">
        <v>60</v>
      </c>
      <c r="B38" s="152">
        <f>DATE(25,7,1)</f>
        <v>9314</v>
      </c>
      <c r="C38" s="211">
        <v>114584386.17</v>
      </c>
      <c r="D38" s="211">
        <v>11284269.119999999</v>
      </c>
      <c r="E38" s="211">
        <v>9741383.2799999993</v>
      </c>
      <c r="F38" s="153">
        <f>(+D38-E38)/E38</f>
        <v>0.15838467655488861</v>
      </c>
      <c r="G38" s="225">
        <f>D38/C38</f>
        <v>9.8479989265364665E-2</v>
      </c>
      <c r="H38" s="226">
        <f>1-G38</f>
        <v>0.90152001073463528</v>
      </c>
    </row>
    <row r="39" spans="1:8" x14ac:dyDescent="0.4">
      <c r="A39" s="151"/>
      <c r="B39" s="152">
        <f>DATE(25,8,1)</f>
        <v>9345</v>
      </c>
      <c r="C39" s="211">
        <v>124984419.62</v>
      </c>
      <c r="D39" s="211">
        <v>12207537.15</v>
      </c>
      <c r="E39" s="211">
        <v>10213981.68</v>
      </c>
      <c r="F39" s="153">
        <f>(+D39-E39)/E39</f>
        <v>0.19517907241830892</v>
      </c>
      <c r="G39" s="225">
        <f>D39/C39</f>
        <v>9.7672471393758828E-2</v>
      </c>
      <c r="H39" s="226">
        <f>1-G39</f>
        <v>0.90232752860624121</v>
      </c>
    </row>
    <row r="40" spans="1:8" x14ac:dyDescent="0.4">
      <c r="A40" s="151"/>
      <c r="B40" s="152">
        <f>DATE(25,9,1)</f>
        <v>9376</v>
      </c>
      <c r="C40" s="211">
        <v>114317853.92</v>
      </c>
      <c r="D40" s="211">
        <v>10848927.15</v>
      </c>
      <c r="E40" s="211">
        <v>9094034.0600000005</v>
      </c>
      <c r="F40" s="153">
        <f>(+D40-E40)/E40</f>
        <v>0.19297190646325771</v>
      </c>
      <c r="G40" s="225">
        <f>D40/C40</f>
        <v>9.490142421316021E-2</v>
      </c>
      <c r="H40" s="226">
        <f>1-G40</f>
        <v>0.90509857578683983</v>
      </c>
    </row>
    <row r="41" spans="1:8" x14ac:dyDescent="0.4">
      <c r="A41" s="151"/>
      <c r="B41" s="152">
        <f>DATE(25,10,1)</f>
        <v>9406</v>
      </c>
      <c r="C41" s="211">
        <v>116558105.48999999</v>
      </c>
      <c r="D41" s="211">
        <v>11596520.18</v>
      </c>
      <c r="E41" s="211">
        <v>9949775.4600000009</v>
      </c>
      <c r="F41" s="153">
        <f>(+D41-E41)/E41</f>
        <v>0.16550571684961407</v>
      </c>
      <c r="G41" s="225">
        <f>D41/C41</f>
        <v>9.9491323501263607E-2</v>
      </c>
      <c r="H41" s="226">
        <f>1-G41</f>
        <v>0.90050867649873645</v>
      </c>
    </row>
    <row r="42" spans="1:8" ht="15.4" thickBot="1" x14ac:dyDescent="0.45">
      <c r="A42" s="154"/>
      <c r="B42" s="152"/>
      <c r="C42" s="211"/>
      <c r="D42" s="211"/>
      <c r="E42" s="211"/>
      <c r="F42" s="153"/>
      <c r="G42" s="225"/>
      <c r="H42" s="226"/>
    </row>
    <row r="43" spans="1:8" ht="15.75" thickTop="1" thickBot="1" x14ac:dyDescent="0.45">
      <c r="A43" s="161" t="s">
        <v>14</v>
      </c>
      <c r="B43" s="162"/>
      <c r="C43" s="213">
        <f>SUM(C38:C42)</f>
        <v>470444765.20000005</v>
      </c>
      <c r="D43" s="215">
        <f>SUM(D38:D42)</f>
        <v>45937253.600000001</v>
      </c>
      <c r="E43" s="251">
        <f>SUM(E38:E42)</f>
        <v>38999174.480000004</v>
      </c>
      <c r="F43" s="252">
        <f>(+D43-E43)/E43</f>
        <v>0.17790323032499217</v>
      </c>
      <c r="G43" s="233">
        <f>D43/C43</f>
        <v>9.7646433753961981E-2</v>
      </c>
      <c r="H43" s="250">
        <f>1-G43</f>
        <v>0.90235356624603802</v>
      </c>
    </row>
    <row r="44" spans="1:8" ht="15.4" thickTop="1" x14ac:dyDescent="0.4">
      <c r="A44" s="154"/>
      <c r="B44" s="155"/>
      <c r="C44" s="211"/>
      <c r="D44" s="211"/>
      <c r="E44" s="211"/>
      <c r="F44" s="153"/>
      <c r="G44" s="225"/>
      <c r="H44" s="226"/>
    </row>
    <row r="45" spans="1:8" x14ac:dyDescent="0.4">
      <c r="A45" s="151" t="s">
        <v>64</v>
      </c>
      <c r="B45" s="152">
        <f>DATE(25,7,1)</f>
        <v>9314</v>
      </c>
      <c r="C45" s="211">
        <v>50473686.939999998</v>
      </c>
      <c r="D45" s="211">
        <v>5133575.21</v>
      </c>
      <c r="E45" s="211">
        <v>5096504.7300000004</v>
      </c>
      <c r="F45" s="153">
        <f>(+D45-E45)/E45</f>
        <v>7.2737065820401023E-3</v>
      </c>
      <c r="G45" s="225">
        <f>D45/C45</f>
        <v>0.10170794965112173</v>
      </c>
      <c r="H45" s="226">
        <f>1-G45</f>
        <v>0.89829205034887827</v>
      </c>
    </row>
    <row r="46" spans="1:8" x14ac:dyDescent="0.4">
      <c r="A46" s="151"/>
      <c r="B46" s="152">
        <f>DATE(25,8,1)</f>
        <v>9345</v>
      </c>
      <c r="C46" s="211">
        <v>54290001.18</v>
      </c>
      <c r="D46" s="211">
        <v>5461912.4800000004</v>
      </c>
      <c r="E46" s="211">
        <v>5390961.3799999999</v>
      </c>
      <c r="F46" s="153">
        <f>(+D46-E46)/E46</f>
        <v>1.3161121922190539E-2</v>
      </c>
      <c r="G46" s="225">
        <f>D46/C46</f>
        <v>0.10060623247899514</v>
      </c>
      <c r="H46" s="226">
        <f>1-G46</f>
        <v>0.89939376752100486</v>
      </c>
    </row>
    <row r="47" spans="1:8" x14ac:dyDescent="0.4">
      <c r="A47" s="151"/>
      <c r="B47" s="152">
        <f>DATE(25,9,1)</f>
        <v>9376</v>
      </c>
      <c r="C47" s="211">
        <v>46674338.479999997</v>
      </c>
      <c r="D47" s="211">
        <v>4772050.28</v>
      </c>
      <c r="E47" s="211">
        <v>4962842.88</v>
      </c>
      <c r="F47" s="153">
        <f>(+D47-E47)/E47</f>
        <v>-3.8444215263973784E-2</v>
      </c>
      <c r="G47" s="225">
        <f>D47/C47</f>
        <v>0.1022414122065132</v>
      </c>
      <c r="H47" s="226">
        <f>1-G47</f>
        <v>0.89775858779348683</v>
      </c>
    </row>
    <row r="48" spans="1:8" x14ac:dyDescent="0.4">
      <c r="A48" s="151"/>
      <c r="B48" s="152">
        <f>DATE(25,10,1)</f>
        <v>9406</v>
      </c>
      <c r="C48" s="211">
        <v>46929853.640000001</v>
      </c>
      <c r="D48" s="211">
        <v>4758336.2699999996</v>
      </c>
      <c r="E48" s="211">
        <v>4961723.2699999996</v>
      </c>
      <c r="F48" s="153">
        <f>(+D48-E48)/E48</f>
        <v>-4.0991201832987358E-2</v>
      </c>
      <c r="G48" s="225">
        <f>D48/C48</f>
        <v>0.1013925231154844</v>
      </c>
      <c r="H48" s="226">
        <f>1-G48</f>
        <v>0.89860747688451559</v>
      </c>
    </row>
    <row r="49" spans="1:8" ht="15.4" thickBot="1" x14ac:dyDescent="0.45">
      <c r="A49" s="154"/>
      <c r="B49" s="152"/>
      <c r="C49" s="211"/>
      <c r="D49" s="211"/>
      <c r="E49" s="211"/>
      <c r="F49" s="153"/>
      <c r="G49" s="225"/>
      <c r="H49" s="226"/>
    </row>
    <row r="50" spans="1:8" ht="15.75" thickTop="1" thickBot="1" x14ac:dyDescent="0.45">
      <c r="A50" s="161" t="s">
        <v>14</v>
      </c>
      <c r="B50" s="162"/>
      <c r="C50" s="213">
        <f>SUM(C45:C49)</f>
        <v>198367880.24000001</v>
      </c>
      <c r="D50" s="215">
        <f>SUM(D45:D49)</f>
        <v>20125874.240000002</v>
      </c>
      <c r="E50" s="251">
        <f>SUM(E45:E49)</f>
        <v>20412032.259999998</v>
      </c>
      <c r="F50" s="252">
        <f>(+D50-E50)/E50</f>
        <v>-1.4019085231447495E-2</v>
      </c>
      <c r="G50" s="233">
        <f>D50/C50</f>
        <v>0.10145732371415293</v>
      </c>
      <c r="H50" s="250">
        <f>1-G50</f>
        <v>0.89854267628584705</v>
      </c>
    </row>
    <row r="51" spans="1:8" ht="15.4" thickTop="1" x14ac:dyDescent="0.4">
      <c r="A51" s="154"/>
      <c r="B51" s="155"/>
      <c r="C51" s="211"/>
      <c r="D51" s="211"/>
      <c r="E51" s="211"/>
      <c r="F51" s="153"/>
      <c r="G51" s="225"/>
      <c r="H51" s="226"/>
    </row>
    <row r="52" spans="1:8" x14ac:dyDescent="0.4">
      <c r="A52" s="270" t="s">
        <v>67</v>
      </c>
      <c r="B52" s="152">
        <f>DATE(25,7,1)</f>
        <v>9314</v>
      </c>
      <c r="C52" s="211">
        <v>93836015.939999998</v>
      </c>
      <c r="D52" s="211">
        <v>10417438.859999999</v>
      </c>
      <c r="E52" s="211">
        <v>10638892.560000001</v>
      </c>
      <c r="F52" s="153">
        <f>(+D52-E52)/E52</f>
        <v>-2.0815484201111352E-2</v>
      </c>
      <c r="G52" s="225">
        <f>D52/C52</f>
        <v>0.11101748892089632</v>
      </c>
      <c r="H52" s="226">
        <f>1-G52</f>
        <v>0.88898251107910364</v>
      </c>
    </row>
    <row r="53" spans="1:8" x14ac:dyDescent="0.4">
      <c r="A53" s="270"/>
      <c r="B53" s="152">
        <f>DATE(25,8,1)</f>
        <v>9345</v>
      </c>
      <c r="C53" s="211">
        <v>96419544.269999996</v>
      </c>
      <c r="D53" s="211">
        <v>10567774.789999999</v>
      </c>
      <c r="E53" s="211">
        <v>11116423.300000001</v>
      </c>
      <c r="F53" s="153">
        <f>(+D53-E53)/E53</f>
        <v>-4.9354769532750843E-2</v>
      </c>
      <c r="G53" s="225">
        <f>D53/C53</f>
        <v>0.10960199895165922</v>
      </c>
      <c r="H53" s="226">
        <f>1-G53</f>
        <v>0.89039800104834077</v>
      </c>
    </row>
    <row r="54" spans="1:8" x14ac:dyDescent="0.4">
      <c r="A54" s="270"/>
      <c r="B54" s="152">
        <f>DATE(25,9,1)</f>
        <v>9376</v>
      </c>
      <c r="C54" s="211">
        <v>89806945.900000006</v>
      </c>
      <c r="D54" s="211">
        <v>9523944.1500000004</v>
      </c>
      <c r="E54" s="211">
        <v>10219644.369999999</v>
      </c>
      <c r="F54" s="153">
        <f>(+D54-E54)/E54</f>
        <v>-6.8074797401193612E-2</v>
      </c>
      <c r="G54" s="225">
        <f>D54/C54</f>
        <v>0.10604908177820575</v>
      </c>
      <c r="H54" s="226">
        <f>1-G54</f>
        <v>0.89395091822179429</v>
      </c>
    </row>
    <row r="55" spans="1:8" x14ac:dyDescent="0.4">
      <c r="A55" s="270"/>
      <c r="B55" s="152">
        <f>DATE(25,10,1)</f>
        <v>9406</v>
      </c>
      <c r="C55" s="211">
        <v>101024821.36</v>
      </c>
      <c r="D55" s="211">
        <v>11127480.560000001</v>
      </c>
      <c r="E55" s="211">
        <v>10771197.369999999</v>
      </c>
      <c r="F55" s="153">
        <f>(+D55-E55)/E55</f>
        <v>3.3077398710780595E-2</v>
      </c>
      <c r="G55" s="225">
        <f>D55/C55</f>
        <v>0.11014600580532025</v>
      </c>
      <c r="H55" s="226">
        <f>1-G55</f>
        <v>0.8898539941946797</v>
      </c>
    </row>
    <row r="56" spans="1:8" ht="15.4" thickBot="1" x14ac:dyDescent="0.45">
      <c r="A56" s="154"/>
      <c r="B56" s="152"/>
      <c r="C56" s="211"/>
      <c r="D56" s="211"/>
      <c r="E56" s="211"/>
      <c r="F56" s="153"/>
      <c r="G56" s="225"/>
      <c r="H56" s="226"/>
    </row>
    <row r="57" spans="1:8" ht="15.75" thickTop="1" thickBot="1" x14ac:dyDescent="0.45">
      <c r="A57" s="161" t="s">
        <v>14</v>
      </c>
      <c r="B57" s="162"/>
      <c r="C57" s="213">
        <f>SUM(C52:C56)</f>
        <v>381087327.47000003</v>
      </c>
      <c r="D57" s="215">
        <f>SUM(D52:D56)</f>
        <v>41636638.359999999</v>
      </c>
      <c r="E57" s="251">
        <f>SUM(E52:E56)</f>
        <v>42746157.599999994</v>
      </c>
      <c r="F57" s="252">
        <f>(+D57-E57)/E57</f>
        <v>-2.5955999376187085E-2</v>
      </c>
      <c r="G57" s="233">
        <f>D57/C57</f>
        <v>0.10925747291682829</v>
      </c>
      <c r="H57" s="250">
        <f>1-G57</f>
        <v>0.8907425270831717</v>
      </c>
    </row>
    <row r="58" spans="1:8" ht="15.4" thickTop="1" x14ac:dyDescent="0.4">
      <c r="A58" s="154"/>
      <c r="B58" s="155"/>
      <c r="C58" s="211"/>
      <c r="D58" s="211"/>
      <c r="E58" s="211"/>
      <c r="F58" s="153"/>
      <c r="G58" s="225"/>
      <c r="H58" s="226"/>
    </row>
    <row r="59" spans="1:8" x14ac:dyDescent="0.4">
      <c r="A59" s="151" t="s">
        <v>69</v>
      </c>
      <c r="B59" s="152">
        <f>DATE(25,7,1)</f>
        <v>9314</v>
      </c>
      <c r="C59" s="211">
        <v>127697612.23</v>
      </c>
      <c r="D59" s="211">
        <v>12769442.74</v>
      </c>
      <c r="E59" s="211">
        <v>10449496.5</v>
      </c>
      <c r="F59" s="153">
        <f>(+D59-E59)/E59</f>
        <v>0.2220151219726233</v>
      </c>
      <c r="G59" s="225">
        <f>D59/C59</f>
        <v>9.9997505959630417E-2</v>
      </c>
      <c r="H59" s="226">
        <f>1-G59</f>
        <v>0.90000249404036958</v>
      </c>
    </row>
    <row r="60" spans="1:8" x14ac:dyDescent="0.4">
      <c r="A60" s="151"/>
      <c r="B60" s="152">
        <f>DATE(25,8,1)</f>
        <v>9345</v>
      </c>
      <c r="C60" s="211">
        <v>130749611.66</v>
      </c>
      <c r="D60" s="211">
        <v>13136164.029999999</v>
      </c>
      <c r="E60" s="211">
        <v>10275632.210000001</v>
      </c>
      <c r="F60" s="153">
        <f>(+D60-E60)/E60</f>
        <v>0.27838012898283737</v>
      </c>
      <c r="G60" s="225">
        <f>D60/C60</f>
        <v>0.10046809212832808</v>
      </c>
      <c r="H60" s="226">
        <f>1-G60</f>
        <v>0.89953190787167192</v>
      </c>
    </row>
    <row r="61" spans="1:8" x14ac:dyDescent="0.4">
      <c r="A61" s="151"/>
      <c r="B61" s="152">
        <f>DATE(25,9,1)</f>
        <v>9376</v>
      </c>
      <c r="C61" s="211">
        <v>111907637.18000001</v>
      </c>
      <c r="D61" s="211">
        <v>11494154.85</v>
      </c>
      <c r="E61" s="211">
        <v>9114774.1799999997</v>
      </c>
      <c r="F61" s="153">
        <f>(+D61-E61)/E61</f>
        <v>0.26104658469991848</v>
      </c>
      <c r="G61" s="225">
        <f>D61/C61</f>
        <v>0.10271108513811264</v>
      </c>
      <c r="H61" s="226">
        <f>1-G61</f>
        <v>0.89728891486188733</v>
      </c>
    </row>
    <row r="62" spans="1:8" x14ac:dyDescent="0.4">
      <c r="A62" s="151"/>
      <c r="B62" s="152">
        <f>DATE(25,10,1)</f>
        <v>9406</v>
      </c>
      <c r="C62" s="211">
        <v>113584160.47</v>
      </c>
      <c r="D62" s="211">
        <v>11479577.25</v>
      </c>
      <c r="E62" s="211">
        <v>9368778.4199999999</v>
      </c>
      <c r="F62" s="153">
        <f>(+D62-E62)/E62</f>
        <v>0.22530139313509351</v>
      </c>
      <c r="G62" s="225">
        <f>D62/C62</f>
        <v>0.10106670861939418</v>
      </c>
      <c r="H62" s="226">
        <f>1-G62</f>
        <v>0.89893329138060585</v>
      </c>
    </row>
    <row r="63" spans="1:8" ht="15.4" thickBot="1" x14ac:dyDescent="0.45">
      <c r="A63" s="154"/>
      <c r="B63" s="152"/>
      <c r="C63" s="211"/>
      <c r="D63" s="211"/>
      <c r="E63" s="211"/>
      <c r="F63" s="153"/>
      <c r="G63" s="225"/>
      <c r="H63" s="226"/>
    </row>
    <row r="64" spans="1:8" ht="15.75" thickTop="1" thickBot="1" x14ac:dyDescent="0.45">
      <c r="A64" s="161" t="s">
        <v>14</v>
      </c>
      <c r="B64" s="162"/>
      <c r="C64" s="213">
        <f>SUM(C59:C63)</f>
        <v>483939021.53999996</v>
      </c>
      <c r="D64" s="215">
        <f>SUM(D59:D63)</f>
        <v>48879338.869999997</v>
      </c>
      <c r="E64" s="251">
        <f>SUM(E59:E63)</f>
        <v>39208681.310000002</v>
      </c>
      <c r="F64" s="163">
        <f>(+D64-E64)/E64</f>
        <v>0.2466458252839413</v>
      </c>
      <c r="G64" s="233">
        <f>D64/C64</f>
        <v>0.10100309479995069</v>
      </c>
      <c r="H64" s="250">
        <f>1-G64</f>
        <v>0.89899690520004927</v>
      </c>
    </row>
    <row r="65" spans="1:8" ht="15.4" thickTop="1" x14ac:dyDescent="0.4">
      <c r="A65" s="154"/>
      <c r="B65" s="166"/>
      <c r="C65" s="214"/>
      <c r="D65" s="214"/>
      <c r="E65" s="214"/>
      <c r="F65" s="167"/>
      <c r="G65" s="231"/>
      <c r="H65" s="232"/>
    </row>
    <row r="66" spans="1:8" x14ac:dyDescent="0.4">
      <c r="A66" s="151" t="s">
        <v>16</v>
      </c>
      <c r="B66" s="152">
        <f>DATE(25,7,1)</f>
        <v>9314</v>
      </c>
      <c r="C66" s="211">
        <v>159207103.13999999</v>
      </c>
      <c r="D66" s="211">
        <v>15262289.550000001</v>
      </c>
      <c r="E66" s="211">
        <v>14744546.640000001</v>
      </c>
      <c r="F66" s="153">
        <f>(+D66-E66)/E66</f>
        <v>3.5114196634261526E-2</v>
      </c>
      <c r="G66" s="225">
        <f>D66/C66</f>
        <v>9.5864375703004837E-2</v>
      </c>
      <c r="H66" s="226">
        <f>1-G66</f>
        <v>0.90413562429699512</v>
      </c>
    </row>
    <row r="67" spans="1:8" x14ac:dyDescent="0.4">
      <c r="A67" s="151"/>
      <c r="B67" s="152">
        <f>DATE(25,8,1)</f>
        <v>9345</v>
      </c>
      <c r="C67" s="211">
        <v>162847837.30000001</v>
      </c>
      <c r="D67" s="211">
        <v>15853868.039999999</v>
      </c>
      <c r="E67" s="211">
        <v>15706191.880000001</v>
      </c>
      <c r="F67" s="153">
        <f>(+D67-E67)/E67</f>
        <v>9.4024166474144903E-3</v>
      </c>
      <c r="G67" s="225">
        <f>D67/C67</f>
        <v>9.7353875266969842E-2</v>
      </c>
      <c r="H67" s="226">
        <f>1-G67</f>
        <v>0.90264612473303019</v>
      </c>
    </row>
    <row r="68" spans="1:8" x14ac:dyDescent="0.4">
      <c r="A68" s="151"/>
      <c r="B68" s="152">
        <f>DATE(25,9,1)</f>
        <v>9376</v>
      </c>
      <c r="C68" s="211">
        <v>144730028.94999999</v>
      </c>
      <c r="D68" s="211">
        <v>13899746.189999999</v>
      </c>
      <c r="E68" s="211">
        <v>14330045.689999999</v>
      </c>
      <c r="F68" s="153">
        <f>(+D68-E68)/E68</f>
        <v>-3.0027782835352564E-2</v>
      </c>
      <c r="G68" s="225">
        <f>D68/C68</f>
        <v>9.6039130862068417E-2</v>
      </c>
      <c r="H68" s="226">
        <f>1-G68</f>
        <v>0.90396086913793161</v>
      </c>
    </row>
    <row r="69" spans="1:8" x14ac:dyDescent="0.4">
      <c r="A69" s="151"/>
      <c r="B69" s="152">
        <f>DATE(25,10,1)</f>
        <v>9406</v>
      </c>
      <c r="C69" s="211">
        <v>152293476.97999999</v>
      </c>
      <c r="D69" s="211">
        <v>15025688.18</v>
      </c>
      <c r="E69" s="211">
        <v>13581004.15</v>
      </c>
      <c r="F69" s="153">
        <f>(+D69-E69)/E69</f>
        <v>0.10637534706886893</v>
      </c>
      <c r="G69" s="225">
        <f>D69/C69</f>
        <v>9.8662716735879993E-2</v>
      </c>
      <c r="H69" s="226">
        <f>1-G69</f>
        <v>0.90133728326411999</v>
      </c>
    </row>
    <row r="70" spans="1:8" ht="15.75" customHeight="1" thickBot="1" x14ac:dyDescent="0.45">
      <c r="A70" s="151"/>
      <c r="B70" s="152"/>
      <c r="C70" s="211"/>
      <c r="D70" s="211"/>
      <c r="E70" s="211"/>
      <c r="F70" s="153"/>
      <c r="G70" s="225"/>
      <c r="H70" s="226"/>
    </row>
    <row r="71" spans="1:8" ht="15.75" thickTop="1" thickBot="1" x14ac:dyDescent="0.45">
      <c r="A71" s="161" t="s">
        <v>14</v>
      </c>
      <c r="B71" s="168"/>
      <c r="C71" s="213">
        <f>SUM(C66:C70)</f>
        <v>619078446.37</v>
      </c>
      <c r="D71" s="213">
        <f>SUM(D66:D70)</f>
        <v>60041591.960000001</v>
      </c>
      <c r="E71" s="213">
        <f>SUM(E66:E70)</f>
        <v>58361788.359999999</v>
      </c>
      <c r="F71" s="163">
        <f>(+D71-E71)/E71</f>
        <v>2.8782592980843357E-2</v>
      </c>
      <c r="G71" s="229">
        <f>D71/C71</f>
        <v>9.6985434256445416E-2</v>
      </c>
      <c r="H71" s="230">
        <f>1-G71</f>
        <v>0.90301456574355454</v>
      </c>
    </row>
    <row r="72" spans="1:8" ht="15.4" thickTop="1" x14ac:dyDescent="0.4">
      <c r="A72" s="158"/>
      <c r="B72" s="159"/>
      <c r="C72" s="212"/>
      <c r="D72" s="212"/>
      <c r="E72" s="212"/>
      <c r="F72" s="160"/>
      <c r="G72" s="227"/>
      <c r="H72" s="228"/>
    </row>
    <row r="73" spans="1:8" x14ac:dyDescent="0.4">
      <c r="A73" s="151" t="s">
        <v>53</v>
      </c>
      <c r="B73" s="152">
        <f>DATE(25,7,1)</f>
        <v>9314</v>
      </c>
      <c r="C73" s="211">
        <v>208655549.31</v>
      </c>
      <c r="D73" s="211">
        <v>20027858.210000001</v>
      </c>
      <c r="E73" s="211">
        <v>17994367.18</v>
      </c>
      <c r="F73" s="153">
        <f>(+D73-E73)/E73</f>
        <v>0.11300708769909636</v>
      </c>
      <c r="G73" s="225">
        <f>D73/C73</f>
        <v>9.5985265075526793E-2</v>
      </c>
      <c r="H73" s="226">
        <f>1-G73</f>
        <v>0.90401473492447315</v>
      </c>
    </row>
    <row r="74" spans="1:8" x14ac:dyDescent="0.4">
      <c r="A74" s="151"/>
      <c r="B74" s="152">
        <f>DATE(25,8,1)</f>
        <v>9345</v>
      </c>
      <c r="C74" s="211">
        <v>214762394.52000001</v>
      </c>
      <c r="D74" s="211">
        <v>20920695.829999998</v>
      </c>
      <c r="E74" s="211">
        <v>18616519.079999998</v>
      </c>
      <c r="F74" s="153">
        <f>(+D74-E74)/E74</f>
        <v>0.12377054701248695</v>
      </c>
      <c r="G74" s="225">
        <f>D74/C74</f>
        <v>9.7413217415266498E-2</v>
      </c>
      <c r="H74" s="226">
        <f>1-G74</f>
        <v>0.90258678258473346</v>
      </c>
    </row>
    <row r="75" spans="1:8" x14ac:dyDescent="0.4">
      <c r="A75" s="151"/>
      <c r="B75" s="152">
        <f>DATE(25,9,1)</f>
        <v>9376</v>
      </c>
      <c r="C75" s="211">
        <v>194219720.74000001</v>
      </c>
      <c r="D75" s="211">
        <v>18793291.129999999</v>
      </c>
      <c r="E75" s="211">
        <v>17799029.699999999</v>
      </c>
      <c r="F75" s="153">
        <f>(+D75-E75)/E75</f>
        <v>5.5860428728876144E-2</v>
      </c>
      <c r="G75" s="225">
        <f>D75/C75</f>
        <v>9.6763042694095872E-2</v>
      </c>
      <c r="H75" s="226">
        <f>1-G75</f>
        <v>0.90323695730590414</v>
      </c>
    </row>
    <row r="76" spans="1:8" x14ac:dyDescent="0.4">
      <c r="A76" s="151"/>
      <c r="B76" s="152">
        <f>DATE(25,10,1)</f>
        <v>9406</v>
      </c>
      <c r="C76" s="211">
        <v>208917074.91</v>
      </c>
      <c r="D76" s="211">
        <v>19742925.489999998</v>
      </c>
      <c r="E76" s="211">
        <v>18415945.390000001</v>
      </c>
      <c r="F76" s="153">
        <f>(+D76-E76)/E76</f>
        <v>7.2056040127082374E-2</v>
      </c>
      <c r="G76" s="225">
        <f>D76/C76</f>
        <v>9.4501253660119022E-2</v>
      </c>
      <c r="H76" s="226">
        <f>1-G76</f>
        <v>0.90549874633988092</v>
      </c>
    </row>
    <row r="77" spans="1:8" ht="15.4" thickBot="1" x14ac:dyDescent="0.45">
      <c r="A77" s="154"/>
      <c r="B77" s="155"/>
      <c r="C77" s="211"/>
      <c r="D77" s="211"/>
      <c r="E77" s="211"/>
      <c r="F77" s="153"/>
      <c r="G77" s="225"/>
      <c r="H77" s="226"/>
    </row>
    <row r="78" spans="1:8" ht="15.75" thickTop="1" thickBot="1" x14ac:dyDescent="0.45">
      <c r="A78" s="161" t="s">
        <v>14</v>
      </c>
      <c r="B78" s="162"/>
      <c r="C78" s="213">
        <f>SUM(C73:C77)</f>
        <v>826554739.48000002</v>
      </c>
      <c r="D78" s="213">
        <f>SUM(D73:D77)</f>
        <v>79484770.659999996</v>
      </c>
      <c r="E78" s="213">
        <f>SUM(E73:E77)</f>
        <v>72825861.349999994</v>
      </c>
      <c r="F78" s="163">
        <f>(+D78-E78)/E78</f>
        <v>9.1436052887824901E-2</v>
      </c>
      <c r="G78" s="233">
        <f>D78/C78</f>
        <v>9.6163952444341741E-2</v>
      </c>
      <c r="H78" s="250">
        <f>1-G78</f>
        <v>0.90383604755565827</v>
      </c>
    </row>
    <row r="79" spans="1:8" ht="15.4" thickTop="1" x14ac:dyDescent="0.4">
      <c r="A79" s="154"/>
      <c r="B79" s="155"/>
      <c r="C79" s="211"/>
      <c r="D79" s="211"/>
      <c r="E79" s="211"/>
      <c r="F79" s="153"/>
      <c r="G79" s="225"/>
      <c r="H79" s="226"/>
    </row>
    <row r="80" spans="1:8" x14ac:dyDescent="0.4">
      <c r="A80" s="151" t="s">
        <v>54</v>
      </c>
      <c r="B80" s="152">
        <f>DATE(25,7,1)</f>
        <v>9314</v>
      </c>
      <c r="C80" s="211">
        <v>28283296.43</v>
      </c>
      <c r="D80" s="211">
        <v>2945968.77</v>
      </c>
      <c r="E80" s="211">
        <v>2829692.37</v>
      </c>
      <c r="F80" s="153">
        <f>(+D80-E80)/E80</f>
        <v>4.1091533918225856E-2</v>
      </c>
      <c r="G80" s="225">
        <f>D80/C80</f>
        <v>0.10415931457251286</v>
      </c>
      <c r="H80" s="226">
        <f>1-G80</f>
        <v>0.89584068542748718</v>
      </c>
    </row>
    <row r="81" spans="1:8" x14ac:dyDescent="0.4">
      <c r="A81" s="151"/>
      <c r="B81" s="152">
        <f>DATE(25,8,1)</f>
        <v>9345</v>
      </c>
      <c r="C81" s="211">
        <v>27999385.52</v>
      </c>
      <c r="D81" s="211">
        <v>3020485.7</v>
      </c>
      <c r="E81" s="211">
        <v>2718513.58</v>
      </c>
      <c r="F81" s="153">
        <f>(+D81-E81)/E81</f>
        <v>0.11107986446034238</v>
      </c>
      <c r="G81" s="225">
        <f>D81/C81</f>
        <v>0.10787685672038992</v>
      </c>
      <c r="H81" s="226">
        <f>1-G81</f>
        <v>0.89212314327961006</v>
      </c>
    </row>
    <row r="82" spans="1:8" x14ac:dyDescent="0.4">
      <c r="A82" s="151"/>
      <c r="B82" s="152">
        <f>DATE(25,9,1)</f>
        <v>9376</v>
      </c>
      <c r="C82" s="211">
        <v>26275680.399999999</v>
      </c>
      <c r="D82" s="211">
        <v>2774787.36</v>
      </c>
      <c r="E82" s="211">
        <v>2469404.4700000002</v>
      </c>
      <c r="F82" s="153">
        <f>(+D82-E82)/E82</f>
        <v>0.12366661424242083</v>
      </c>
      <c r="G82" s="225">
        <f>D82/C82</f>
        <v>0.10560287375089249</v>
      </c>
      <c r="H82" s="226">
        <f>1-G82</f>
        <v>0.8943971262491075</v>
      </c>
    </row>
    <row r="83" spans="1:8" x14ac:dyDescent="0.4">
      <c r="A83" s="151"/>
      <c r="B83" s="152">
        <f>DATE(25,10,1)</f>
        <v>9406</v>
      </c>
      <c r="C83" s="211">
        <v>26708454.559999999</v>
      </c>
      <c r="D83" s="211">
        <v>2914669.86</v>
      </c>
      <c r="E83" s="211">
        <v>2475216.7799999998</v>
      </c>
      <c r="F83" s="153">
        <f>(+D83-E83)/E83</f>
        <v>0.1775412495385556</v>
      </c>
      <c r="G83" s="225">
        <f>D83/C83</f>
        <v>0.10912910941560672</v>
      </c>
      <c r="H83" s="226">
        <f>1-G83</f>
        <v>0.89087089058439328</v>
      </c>
    </row>
    <row r="84" spans="1:8" ht="15.4" thickBot="1" x14ac:dyDescent="0.45">
      <c r="A84" s="154"/>
      <c r="B84" s="155"/>
      <c r="C84" s="211"/>
      <c r="D84" s="211"/>
      <c r="E84" s="211"/>
      <c r="F84" s="153"/>
      <c r="G84" s="225"/>
      <c r="H84" s="226"/>
    </row>
    <row r="85" spans="1:8" ht="15.75" thickTop="1" thickBot="1" x14ac:dyDescent="0.45">
      <c r="A85" s="169" t="s">
        <v>14</v>
      </c>
      <c r="B85" s="170"/>
      <c r="C85" s="215">
        <f>SUM(C80:C84)</f>
        <v>109266816.91</v>
      </c>
      <c r="D85" s="215">
        <f>SUM(D80:D84)</f>
        <v>11655911.689999999</v>
      </c>
      <c r="E85" s="215">
        <f>SUM(E80:E84)</f>
        <v>10492827.199999999</v>
      </c>
      <c r="F85" s="163">
        <f>(+D85-E85)/E85</f>
        <v>0.11084567274680748</v>
      </c>
      <c r="G85" s="233">
        <f>D85/C85</f>
        <v>0.10667384682396895</v>
      </c>
      <c r="H85" s="230">
        <f>1-G85</f>
        <v>0.89332615317603103</v>
      </c>
    </row>
    <row r="86" spans="1:8" ht="15.4" thickTop="1" x14ac:dyDescent="0.4">
      <c r="A86" s="154"/>
      <c r="B86" s="155"/>
      <c r="C86" s="211"/>
      <c r="D86" s="211"/>
      <c r="E86" s="211"/>
      <c r="F86" s="153"/>
      <c r="G86" s="225"/>
      <c r="H86" s="226"/>
    </row>
    <row r="87" spans="1:8" x14ac:dyDescent="0.4">
      <c r="A87" s="151" t="s">
        <v>37</v>
      </c>
      <c r="B87" s="152">
        <f>DATE(25,7,1)</f>
        <v>9314</v>
      </c>
      <c r="C87" s="211">
        <v>238893036.09999999</v>
      </c>
      <c r="D87" s="211">
        <v>21223682.460000001</v>
      </c>
      <c r="E87" s="211">
        <v>19555438.370000001</v>
      </c>
      <c r="F87" s="153">
        <f>(+D87-E87)/E87</f>
        <v>8.5308447626479864E-2</v>
      </c>
      <c r="G87" s="225">
        <f>D87/C87</f>
        <v>8.884177959509805E-2</v>
      </c>
      <c r="H87" s="226">
        <f>1-G87</f>
        <v>0.91115822040490191</v>
      </c>
    </row>
    <row r="88" spans="1:8" x14ac:dyDescent="0.4">
      <c r="A88" s="151"/>
      <c r="B88" s="152">
        <f>DATE(25,8,1)</f>
        <v>9345</v>
      </c>
      <c r="C88" s="211">
        <v>246476505.31999999</v>
      </c>
      <c r="D88" s="211">
        <v>22321398.02</v>
      </c>
      <c r="E88" s="211">
        <v>20551772.199999999</v>
      </c>
      <c r="F88" s="153">
        <f>(+D88-E88)/E88</f>
        <v>8.6105752962754245E-2</v>
      </c>
      <c r="G88" s="225">
        <f>D88/C88</f>
        <v>9.0561970565998448E-2</v>
      </c>
      <c r="H88" s="226">
        <f>1-G88</f>
        <v>0.90943802943400154</v>
      </c>
    </row>
    <row r="89" spans="1:8" x14ac:dyDescent="0.4">
      <c r="A89" s="151"/>
      <c r="B89" s="152">
        <f>DATE(25,9,1)</f>
        <v>9376</v>
      </c>
      <c r="C89" s="211">
        <v>215963997.11000001</v>
      </c>
      <c r="D89" s="211">
        <v>19101592.100000001</v>
      </c>
      <c r="E89" s="211">
        <v>19042710.359999999</v>
      </c>
      <c r="F89" s="153">
        <f>(+D89-E89)/E89</f>
        <v>3.0920881999909854E-3</v>
      </c>
      <c r="G89" s="225">
        <f>D89/C89</f>
        <v>8.8448039282541691E-2</v>
      </c>
      <c r="H89" s="226">
        <f>1-G89</f>
        <v>0.91155196071745825</v>
      </c>
    </row>
    <row r="90" spans="1:8" x14ac:dyDescent="0.4">
      <c r="A90" s="151"/>
      <c r="B90" s="152">
        <f>DATE(25,10,1)</f>
        <v>9406</v>
      </c>
      <c r="C90" s="211">
        <v>226780092.41</v>
      </c>
      <c r="D90" s="211">
        <v>20246911.34</v>
      </c>
      <c r="E90" s="211">
        <v>18868532.739999998</v>
      </c>
      <c r="F90" s="153">
        <f>(+D90-E90)/E90</f>
        <v>7.3051710962025854E-2</v>
      </c>
      <c r="G90" s="225">
        <f>D90/C90</f>
        <v>8.9279932488056435E-2</v>
      </c>
      <c r="H90" s="226">
        <f>1-G90</f>
        <v>0.91072006751194357</v>
      </c>
    </row>
    <row r="91" spans="1:8" ht="15.4" thickBot="1" x14ac:dyDescent="0.45">
      <c r="A91" s="154"/>
      <c r="B91" s="155"/>
      <c r="C91" s="211"/>
      <c r="D91" s="211"/>
      <c r="E91" s="211"/>
      <c r="F91" s="153"/>
      <c r="G91" s="225"/>
      <c r="H91" s="226"/>
    </row>
    <row r="92" spans="1:8" ht="15.75" thickTop="1" thickBot="1" x14ac:dyDescent="0.45">
      <c r="A92" s="161" t="s">
        <v>14</v>
      </c>
      <c r="B92" s="162"/>
      <c r="C92" s="213">
        <f>SUM(C87:C91)</f>
        <v>928113630.93999994</v>
      </c>
      <c r="D92" s="213">
        <f>SUM(D87:D91)</f>
        <v>82893583.920000002</v>
      </c>
      <c r="E92" s="213">
        <f>SUM(E87:E91)</f>
        <v>78018453.670000002</v>
      </c>
      <c r="F92" s="163">
        <f>(+D92-E92)/E92</f>
        <v>6.2486886379736165E-2</v>
      </c>
      <c r="G92" s="229">
        <f>D92/C92</f>
        <v>8.9314046423437182E-2</v>
      </c>
      <c r="H92" s="230">
        <f>1-G92</f>
        <v>0.91068595357656279</v>
      </c>
    </row>
    <row r="93" spans="1:8" ht="15.4" thickTop="1" x14ac:dyDescent="0.4">
      <c r="A93" s="154"/>
      <c r="B93" s="155"/>
      <c r="C93" s="211"/>
      <c r="D93" s="211"/>
      <c r="E93" s="211"/>
      <c r="F93" s="153"/>
      <c r="G93" s="225"/>
      <c r="H93" s="226"/>
    </row>
    <row r="94" spans="1:8" x14ac:dyDescent="0.4">
      <c r="A94" s="151" t="s">
        <v>57</v>
      </c>
      <c r="B94" s="152">
        <f>DATE(25,7,1)</f>
        <v>9314</v>
      </c>
      <c r="C94" s="211">
        <v>37790635.450000003</v>
      </c>
      <c r="D94" s="211">
        <v>4106639.16</v>
      </c>
      <c r="E94" s="211">
        <v>3886760.9</v>
      </c>
      <c r="F94" s="153">
        <f>(+D94-E94)/E94</f>
        <v>5.6571079533088917E-2</v>
      </c>
      <c r="G94" s="225">
        <f>D94/C94</f>
        <v>0.10866816900799163</v>
      </c>
      <c r="H94" s="226">
        <f>1-G94</f>
        <v>0.89133183099200841</v>
      </c>
    </row>
    <row r="95" spans="1:8" x14ac:dyDescent="0.4">
      <c r="A95" s="151"/>
      <c r="B95" s="152">
        <f>DATE(25,8,1)</f>
        <v>9345</v>
      </c>
      <c r="C95" s="211">
        <v>38538227.060000002</v>
      </c>
      <c r="D95" s="211">
        <v>3943183.1</v>
      </c>
      <c r="E95" s="211">
        <v>4094103.92</v>
      </c>
      <c r="F95" s="153">
        <f>(+D95-E95)/E95</f>
        <v>-3.6862967562386606E-2</v>
      </c>
      <c r="G95" s="225">
        <f>D95/C95</f>
        <v>0.10231874688632861</v>
      </c>
      <c r="H95" s="226">
        <f>1-G95</f>
        <v>0.89768125311367142</v>
      </c>
    </row>
    <row r="96" spans="1:8" x14ac:dyDescent="0.4">
      <c r="A96" s="151"/>
      <c r="B96" s="152">
        <f>DATE(25,9,1)</f>
        <v>9376</v>
      </c>
      <c r="C96" s="211">
        <v>33862047.770000003</v>
      </c>
      <c r="D96" s="211">
        <v>3499094.83</v>
      </c>
      <c r="E96" s="211">
        <v>3432175.67</v>
      </c>
      <c r="F96" s="153">
        <f>(+D96-E96)/E96</f>
        <v>1.9497591741858642E-2</v>
      </c>
      <c r="G96" s="225">
        <f>D96/C96</f>
        <v>0.10333382238920631</v>
      </c>
      <c r="H96" s="226">
        <f>1-G96</f>
        <v>0.8966661776107937</v>
      </c>
    </row>
    <row r="97" spans="1:8" x14ac:dyDescent="0.4">
      <c r="A97" s="151"/>
      <c r="B97" s="152">
        <f>DATE(25,10,1)</f>
        <v>9406</v>
      </c>
      <c r="C97" s="211">
        <v>36666965.979999997</v>
      </c>
      <c r="D97" s="211">
        <v>3970427.37</v>
      </c>
      <c r="E97" s="211">
        <v>3513094.6</v>
      </c>
      <c r="F97" s="153">
        <f>(+D97-E97)/E97</f>
        <v>0.1301794634280557</v>
      </c>
      <c r="G97" s="225">
        <f>D97/C97</f>
        <v>0.10828349889013644</v>
      </c>
      <c r="H97" s="226">
        <f>1-G97</f>
        <v>0.89171650110986356</v>
      </c>
    </row>
    <row r="98" spans="1:8" ht="15.4" thickBot="1" x14ac:dyDescent="0.45">
      <c r="A98" s="154"/>
      <c r="B98" s="155"/>
      <c r="C98" s="211"/>
      <c r="D98" s="211"/>
      <c r="E98" s="211"/>
      <c r="F98" s="153"/>
      <c r="G98" s="225"/>
      <c r="H98" s="226"/>
    </row>
    <row r="99" spans="1:8" ht="15.75" thickTop="1" thickBot="1" x14ac:dyDescent="0.45">
      <c r="A99" s="156" t="s">
        <v>14</v>
      </c>
      <c r="B99" s="143"/>
      <c r="C99" s="208">
        <f>SUM(C94:C98)</f>
        <v>146857876.25999999</v>
      </c>
      <c r="D99" s="208">
        <f>SUM(D94:D98)</f>
        <v>15519344.460000001</v>
      </c>
      <c r="E99" s="208">
        <f>SUM(E94:E98)</f>
        <v>14926135.09</v>
      </c>
      <c r="F99" s="163">
        <f>(+D99-E99)/E99</f>
        <v>3.9742998868972521E-2</v>
      </c>
      <c r="G99" s="229">
        <f>D99/C99</f>
        <v>0.10567594231394342</v>
      </c>
      <c r="H99" s="230">
        <f>1-G99</f>
        <v>0.89432405768605661</v>
      </c>
    </row>
    <row r="100" spans="1:8" ht="15.75" thickTop="1" thickBot="1" x14ac:dyDescent="0.45">
      <c r="A100" s="158"/>
      <c r="B100" s="159"/>
      <c r="C100" s="212"/>
      <c r="D100" s="212"/>
      <c r="E100" s="212"/>
      <c r="F100" s="160"/>
      <c r="G100" s="227"/>
      <c r="H100" s="228"/>
    </row>
    <row r="101" spans="1:8" ht="15.75" thickTop="1" thickBot="1" x14ac:dyDescent="0.45">
      <c r="A101" s="171" t="s">
        <v>38</v>
      </c>
      <c r="B101" s="143"/>
      <c r="C101" s="208">
        <f>C99+C92+C71+C57+C43+C29+C15+C36+C85+C22+C64+C78+C50</f>
        <v>5929855323.0499992</v>
      </c>
      <c r="D101" s="208">
        <f>D99+D92+D71+D57+D43+D29+D15+D36+D85+D22+D64+D78+D50</f>
        <v>574682951.69000006</v>
      </c>
      <c r="E101" s="208">
        <f>E99+E92+E71+E57+E43+E29+E15+E36+E85+E22+E64+E78+E50</f>
        <v>530333676.07999992</v>
      </c>
      <c r="F101" s="157">
        <f>(+D101-E101)/E101</f>
        <v>8.3625229945439333E-2</v>
      </c>
      <c r="G101" s="220">
        <f>D101/C101</f>
        <v>9.6913486144618782E-2</v>
      </c>
      <c r="H101" s="221">
        <f>1-G101</f>
        <v>0.90308651385538119</v>
      </c>
    </row>
    <row r="102" spans="1:8" ht="15.75" thickTop="1" thickBot="1" x14ac:dyDescent="0.45">
      <c r="A102" s="171"/>
      <c r="B102" s="143"/>
      <c r="C102" s="208"/>
      <c r="D102" s="208"/>
      <c r="E102" s="208"/>
      <c r="F102" s="157"/>
      <c r="G102" s="220"/>
      <c r="H102" s="221"/>
    </row>
    <row r="103" spans="1:8" ht="15.75" thickTop="1" thickBot="1" x14ac:dyDescent="0.45">
      <c r="A103" s="171" t="s">
        <v>39</v>
      </c>
      <c r="B103" s="143"/>
      <c r="C103" s="208">
        <f>+C13+C20+C27+C34+C41+C48+C55+C69+C62+C76+C83+C90+C97</f>
        <v>1478629936.5500002</v>
      </c>
      <c r="D103" s="208">
        <f>+D13+D20+D27+D34+D41+D48+D55+D69+D62+D76+D83+D90+D97</f>
        <v>143487398.25999999</v>
      </c>
      <c r="E103" s="208">
        <f>+E13+E20+E27+E34+E41+E48+E55+E69+E62+E76+E83+E90+E97</f>
        <v>129427611.75999999</v>
      </c>
      <c r="F103" s="157">
        <f>(+D103-E103)/E103</f>
        <v>0.10863050247787405</v>
      </c>
      <c r="G103" s="220">
        <f>D103/C103</f>
        <v>9.7040777217584709E-2</v>
      </c>
      <c r="H103" s="230">
        <f>1-G103</f>
        <v>0.90295922278241525</v>
      </c>
    </row>
    <row r="104" spans="1:8" ht="15.4" thickTop="1" x14ac:dyDescent="0.4">
      <c r="A104" s="172"/>
      <c r="B104" s="173"/>
      <c r="C104" s="216"/>
      <c r="D104" s="216"/>
      <c r="E104" s="216"/>
      <c r="F104" s="174"/>
      <c r="G104" s="234"/>
      <c r="H104" s="234"/>
    </row>
    <row r="105" spans="1:8" ht="16.5" customHeight="1" x14ac:dyDescent="0.45">
      <c r="A105" s="175" t="s">
        <v>49</v>
      </c>
      <c r="B105" s="176"/>
      <c r="C105" s="217"/>
      <c r="D105" s="217"/>
      <c r="E105" s="217"/>
      <c r="F105" s="177"/>
      <c r="G105" s="235"/>
      <c r="H105" s="235"/>
    </row>
    <row r="106" spans="1:8" x14ac:dyDescent="0.4">
      <c r="A106" s="178"/>
      <c r="B106" s="176"/>
      <c r="C106" s="217"/>
      <c r="D106" s="217"/>
      <c r="E106" s="217"/>
      <c r="F106" s="177"/>
      <c r="G106" s="235"/>
      <c r="H106" s="235"/>
    </row>
    <row r="107" spans="1:8" x14ac:dyDescent="0.4">
      <c r="A107" s="70"/>
    </row>
  </sheetData>
  <phoneticPr fontId="0" type="noConversion"/>
  <printOptions horizontalCentered="1"/>
  <pageMargins left="0.75" right="0.25" top="0.31940000000000002" bottom="0.2" header="0.5" footer="0.5"/>
  <pageSetup scale="64" orientation="landscape" r:id="rId1"/>
  <headerFooter alignWithMargins="0"/>
  <rowBreaks count="2" manualBreakCount="2">
    <brk id="50" max="8" man="1"/>
    <brk id="9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MONTHLY STATS</vt:lpstr>
      <vt:lpstr>YTD TAXES</vt:lpstr>
      <vt:lpstr>TABLE STATS</vt:lpstr>
      <vt:lpstr>HYBRID STATS</vt:lpstr>
      <vt:lpstr>SLOT STATS</vt:lpstr>
      <vt:lpstr>'MONTHLY STATS'!Print_Area</vt:lpstr>
      <vt:lpstr>'SLOT STATS'!Print_Area</vt:lpstr>
      <vt:lpstr>'TABLE STATS'!Print_Area</vt:lpstr>
      <vt:lpstr>'HYBRID STATS'!Print_Titles</vt:lpstr>
      <vt:lpstr>'MONTHLY STATS'!Print_Titles</vt:lpstr>
      <vt:lpstr>'SLOT STATS'!Print_Titles</vt:lpstr>
      <vt:lpstr>'TABLE STATS'!Print_Titles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Bruns</dc:creator>
  <cp:lastModifiedBy>Joey Wyss</cp:lastModifiedBy>
  <cp:lastPrinted>2025-11-06T15:47:49Z</cp:lastPrinted>
  <dcterms:created xsi:type="dcterms:W3CDTF">2003-09-09T14:41:43Z</dcterms:created>
  <dcterms:modified xsi:type="dcterms:W3CDTF">2025-11-06T22:00:00Z</dcterms:modified>
</cp:coreProperties>
</file>