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Posting2025\Sep2025\optimized\"/>
    </mc:Choice>
  </mc:AlternateContent>
  <bookViews>
    <workbookView xWindow="0" yWindow="0" windowWidth="28800" windowHeight="12915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STATS'!$A$1:$M$78</definedName>
    <definedName name="_xlnm.Print_Area" localSheetId="4">'SLOT STATS'!$A$1:$I$79</definedName>
    <definedName name="_xlnm.Print_Area" localSheetId="2">'TABLE STATS'!$A$1:$H$78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977461" fullCalcOnLoad="1"/>
</workbook>
</file>

<file path=xl/calcChain.xml><?xml version="1.0" encoding="utf-8"?>
<calcChain xmlns="http://schemas.openxmlformats.org/spreadsheetml/2006/main">
  <c r="G71" i="4" l="1"/>
  <c r="H71" i="4"/>
  <c r="F71" i="4"/>
  <c r="H66" i="4"/>
  <c r="G66" i="4"/>
  <c r="F66" i="4"/>
  <c r="G61" i="4"/>
  <c r="H61" i="4"/>
  <c r="F61" i="4"/>
  <c r="G56" i="4"/>
  <c r="H56" i="4"/>
  <c r="F56" i="4"/>
  <c r="G51" i="4"/>
  <c r="H51" i="4"/>
  <c r="F51" i="4"/>
  <c r="G46" i="4"/>
  <c r="H46" i="4"/>
  <c r="F46" i="4"/>
  <c r="H36" i="4"/>
  <c r="G41" i="4"/>
  <c r="H41" i="4"/>
  <c r="F41" i="4"/>
  <c r="G36" i="4"/>
  <c r="F36" i="4"/>
  <c r="G31" i="4"/>
  <c r="H31" i="4"/>
  <c r="F31" i="4"/>
  <c r="G26" i="4"/>
  <c r="H26" i="4"/>
  <c r="F26" i="4"/>
  <c r="H21" i="4"/>
  <c r="G21" i="4"/>
  <c r="F21" i="4"/>
  <c r="G16" i="4"/>
  <c r="H16" i="4"/>
  <c r="F16" i="4"/>
  <c r="H11" i="4"/>
  <c r="G11" i="4"/>
  <c r="F11" i="4"/>
  <c r="E77" i="4"/>
  <c r="D77" i="4"/>
  <c r="C77" i="4"/>
  <c r="B71" i="4"/>
  <c r="B66" i="4"/>
  <c r="B61" i="4"/>
  <c r="B56" i="4"/>
  <c r="B51" i="4"/>
  <c r="B46" i="4"/>
  <c r="B41" i="4"/>
  <c r="B36" i="4"/>
  <c r="B31" i="4"/>
  <c r="B26" i="4"/>
  <c r="B21" i="4"/>
  <c r="B16" i="4"/>
  <c r="B11" i="4"/>
  <c r="E77" i="5"/>
  <c r="D77" i="5"/>
  <c r="C77" i="5"/>
  <c r="G71" i="5"/>
  <c r="H71" i="5"/>
  <c r="B71" i="5"/>
  <c r="B66" i="5"/>
  <c r="B61" i="5"/>
  <c r="B56" i="5"/>
  <c r="B51" i="5"/>
  <c r="B46" i="5"/>
  <c r="B41" i="5"/>
  <c r="B36" i="5"/>
  <c r="B31" i="5"/>
  <c r="B26" i="5"/>
  <c r="B21" i="5"/>
  <c r="B16" i="5"/>
  <c r="B11" i="5"/>
  <c r="E76" i="3"/>
  <c r="D76" i="3"/>
  <c r="C76" i="3"/>
  <c r="G70" i="3"/>
  <c r="F70" i="3"/>
  <c r="G65" i="3"/>
  <c r="F65" i="3"/>
  <c r="G55" i="3"/>
  <c r="F55" i="3"/>
  <c r="G50" i="3"/>
  <c r="F50" i="3"/>
  <c r="G45" i="3"/>
  <c r="F45" i="3"/>
  <c r="G40" i="3"/>
  <c r="F40" i="3"/>
  <c r="G35" i="3"/>
  <c r="F35" i="3"/>
  <c r="G30" i="3"/>
  <c r="F30" i="3"/>
  <c r="G25" i="3"/>
  <c r="F25" i="3"/>
  <c r="G20" i="3"/>
  <c r="F20" i="3"/>
  <c r="G15" i="3"/>
  <c r="F15" i="3"/>
  <c r="G10" i="3"/>
  <c r="F10" i="3"/>
  <c r="B70" i="3"/>
  <c r="B65" i="3"/>
  <c r="B60" i="3"/>
  <c r="B55" i="3"/>
  <c r="B50" i="3"/>
  <c r="B45" i="3"/>
  <c r="B40" i="3"/>
  <c r="B35" i="3"/>
  <c r="B30" i="3"/>
  <c r="B25" i="3"/>
  <c r="B20" i="3"/>
  <c r="B15" i="3"/>
  <c r="B10" i="3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32" i="2"/>
  <c r="A11" i="2"/>
  <c r="F64" i="1"/>
  <c r="F67" i="1"/>
  <c r="F29" i="1"/>
  <c r="F19" i="1"/>
  <c r="L76" i="1"/>
  <c r="K76" i="1"/>
  <c r="G76" i="1"/>
  <c r="F76" i="1"/>
  <c r="D76" i="1"/>
  <c r="C76" i="1"/>
  <c r="M70" i="1"/>
  <c r="J70" i="1"/>
  <c r="I70" i="1"/>
  <c r="H70" i="1"/>
  <c r="E70" i="1"/>
  <c r="G70" i="1"/>
  <c r="F70" i="1"/>
  <c r="M65" i="1"/>
  <c r="J65" i="1"/>
  <c r="I65" i="1"/>
  <c r="H65" i="1"/>
  <c r="E65" i="1"/>
  <c r="G65" i="1"/>
  <c r="F65" i="1"/>
  <c r="M60" i="1"/>
  <c r="J60" i="1"/>
  <c r="I60" i="1"/>
  <c r="H60" i="1"/>
  <c r="E60" i="1"/>
  <c r="G60" i="1"/>
  <c r="F60" i="1"/>
  <c r="M55" i="1"/>
  <c r="J55" i="1"/>
  <c r="I55" i="1"/>
  <c r="H55" i="1"/>
  <c r="E55" i="1"/>
  <c r="G55" i="1"/>
  <c r="F55" i="1"/>
  <c r="F57" i="1"/>
  <c r="M50" i="1"/>
  <c r="J50" i="1"/>
  <c r="I50" i="1"/>
  <c r="H50" i="1"/>
  <c r="E50" i="1"/>
  <c r="G50" i="1"/>
  <c r="F50" i="1"/>
  <c r="M45" i="1"/>
  <c r="M44" i="1"/>
  <c r="J45" i="1"/>
  <c r="I45" i="1"/>
  <c r="H45" i="1"/>
  <c r="E45" i="1"/>
  <c r="G45" i="1"/>
  <c r="F45" i="1"/>
  <c r="M40" i="1"/>
  <c r="J40" i="1"/>
  <c r="I40" i="1"/>
  <c r="H40" i="1"/>
  <c r="E40" i="1"/>
  <c r="G40" i="1"/>
  <c r="F40" i="1"/>
  <c r="M35" i="1"/>
  <c r="J35" i="1"/>
  <c r="I35" i="1"/>
  <c r="H35" i="1"/>
  <c r="E35" i="1"/>
  <c r="G35" i="1"/>
  <c r="F35" i="1"/>
  <c r="M30" i="1"/>
  <c r="J30" i="1"/>
  <c r="I30" i="1"/>
  <c r="H30" i="1"/>
  <c r="E30" i="1"/>
  <c r="G30" i="1"/>
  <c r="F30" i="1"/>
  <c r="M25" i="1"/>
  <c r="J25" i="1"/>
  <c r="I25" i="1"/>
  <c r="H25" i="1"/>
  <c r="E25" i="1"/>
  <c r="G25" i="1"/>
  <c r="F25" i="1"/>
  <c r="M20" i="1"/>
  <c r="J20" i="1"/>
  <c r="I20" i="1"/>
  <c r="H20" i="1"/>
  <c r="E20" i="1"/>
  <c r="G20" i="1"/>
  <c r="F20" i="1"/>
  <c r="M15" i="1"/>
  <c r="J15" i="1"/>
  <c r="I15" i="1"/>
  <c r="H15" i="1"/>
  <c r="E15" i="1"/>
  <c r="G15" i="1"/>
  <c r="F15" i="1"/>
  <c r="M10" i="1"/>
  <c r="J10" i="1"/>
  <c r="I10" i="1"/>
  <c r="H10" i="1"/>
  <c r="E10" i="1"/>
  <c r="G10" i="1"/>
  <c r="F10" i="1"/>
  <c r="B70" i="1"/>
  <c r="B65" i="1"/>
  <c r="B60" i="1"/>
  <c r="B55" i="1"/>
  <c r="B50" i="1"/>
  <c r="B45" i="1"/>
  <c r="B40" i="1"/>
  <c r="B35" i="1"/>
  <c r="B30" i="1"/>
  <c r="B25" i="1"/>
  <c r="B20" i="1"/>
  <c r="B15" i="1"/>
  <c r="B10" i="1"/>
  <c r="B70" i="4"/>
  <c r="B65" i="4"/>
  <c r="B60" i="4"/>
  <c r="B55" i="4"/>
  <c r="B50" i="4"/>
  <c r="B45" i="4"/>
  <c r="B40" i="4"/>
  <c r="B35" i="4"/>
  <c r="B30" i="4"/>
  <c r="B25" i="4"/>
  <c r="B20" i="4"/>
  <c r="B15" i="4"/>
  <c r="B10" i="4"/>
  <c r="G70" i="5"/>
  <c r="H70" i="5"/>
  <c r="B70" i="5"/>
  <c r="B65" i="5"/>
  <c r="B60" i="5"/>
  <c r="B55" i="5"/>
  <c r="B50" i="5"/>
  <c r="B45" i="5"/>
  <c r="B40" i="5"/>
  <c r="B35" i="5"/>
  <c r="B30" i="5"/>
  <c r="B25" i="5"/>
  <c r="B20" i="5"/>
  <c r="B15" i="5"/>
  <c r="B10" i="5"/>
  <c r="B69" i="3"/>
  <c r="B64" i="3"/>
  <c r="B59" i="3"/>
  <c r="B54" i="3"/>
  <c r="B49" i="3"/>
  <c r="B44" i="3"/>
  <c r="B39" i="3"/>
  <c r="B34" i="3"/>
  <c r="B29" i="3"/>
  <c r="B24" i="3"/>
  <c r="B19" i="3"/>
  <c r="B14" i="3"/>
  <c r="B9" i="3"/>
  <c r="A31" i="2"/>
  <c r="A10" i="2"/>
  <c r="G69" i="1"/>
  <c r="F69" i="1"/>
  <c r="F72" i="1"/>
  <c r="G64" i="1"/>
  <c r="G67" i="1"/>
  <c r="E64" i="1"/>
  <c r="G59" i="1"/>
  <c r="G62" i="1"/>
  <c r="F59" i="1"/>
  <c r="J59" i="1"/>
  <c r="G54" i="1"/>
  <c r="F54" i="1"/>
  <c r="J54" i="1"/>
  <c r="G49" i="1"/>
  <c r="F49" i="1"/>
  <c r="J49" i="1"/>
  <c r="G44" i="1"/>
  <c r="G47" i="1"/>
  <c r="F44" i="1"/>
  <c r="J44" i="1"/>
  <c r="G39" i="1"/>
  <c r="F39" i="1"/>
  <c r="J39" i="1"/>
  <c r="G34" i="1"/>
  <c r="G37" i="1"/>
  <c r="F34" i="1"/>
  <c r="G29" i="1"/>
  <c r="G32" i="1"/>
  <c r="F32" i="1"/>
  <c r="G24" i="1"/>
  <c r="G27" i="1"/>
  <c r="F24" i="1"/>
  <c r="G19" i="1"/>
  <c r="J19" i="1"/>
  <c r="G14" i="1"/>
  <c r="G17" i="1"/>
  <c r="F14" i="1"/>
  <c r="G9" i="1"/>
  <c r="G12" i="1"/>
  <c r="F9" i="1"/>
  <c r="F12" i="1"/>
  <c r="B69" i="1"/>
  <c r="B64" i="1"/>
  <c r="B59" i="1"/>
  <c r="B54" i="1"/>
  <c r="B49" i="1"/>
  <c r="B44" i="1"/>
  <c r="B39" i="1"/>
  <c r="B34" i="1"/>
  <c r="B29" i="1"/>
  <c r="B24" i="1"/>
  <c r="B19" i="1"/>
  <c r="B14" i="1"/>
  <c r="B9" i="1"/>
  <c r="G72" i="1"/>
  <c r="B10" i="2"/>
  <c r="E73" i="5"/>
  <c r="D73" i="5"/>
  <c r="C73" i="5"/>
  <c r="E68" i="5"/>
  <c r="D68" i="5"/>
  <c r="C68" i="5"/>
  <c r="E63" i="5"/>
  <c r="D63" i="5"/>
  <c r="C63" i="5"/>
  <c r="E58" i="5"/>
  <c r="D58" i="5"/>
  <c r="C58" i="5"/>
  <c r="E53" i="5"/>
  <c r="D53" i="5"/>
  <c r="C53" i="5"/>
  <c r="E48" i="5"/>
  <c r="D48" i="5"/>
  <c r="C48" i="5"/>
  <c r="E43" i="5"/>
  <c r="D43" i="5"/>
  <c r="C43" i="5"/>
  <c r="E38" i="5"/>
  <c r="D38" i="5"/>
  <c r="C38" i="5"/>
  <c r="E33" i="5"/>
  <c r="D33" i="5"/>
  <c r="C33" i="5"/>
  <c r="E28" i="5"/>
  <c r="D28" i="5"/>
  <c r="C28" i="5"/>
  <c r="E23" i="5"/>
  <c r="D23" i="5"/>
  <c r="C23" i="5"/>
  <c r="E18" i="5"/>
  <c r="D18" i="5"/>
  <c r="C18" i="5"/>
  <c r="E13" i="5"/>
  <c r="D13" i="5"/>
  <c r="C13" i="5"/>
  <c r="L27" i="1"/>
  <c r="F35" i="4"/>
  <c r="F34" i="3"/>
  <c r="M34" i="1"/>
  <c r="E34" i="1"/>
  <c r="F70" i="4"/>
  <c r="F69" i="3"/>
  <c r="G31" i="2"/>
  <c r="G10" i="2"/>
  <c r="M69" i="1"/>
  <c r="E69" i="1"/>
  <c r="E38" i="4"/>
  <c r="D38" i="4"/>
  <c r="C38" i="4"/>
  <c r="G35" i="4"/>
  <c r="H35" i="4"/>
  <c r="E37" i="3"/>
  <c r="D37" i="3"/>
  <c r="C37" i="3"/>
  <c r="G34" i="3"/>
  <c r="L37" i="1"/>
  <c r="D37" i="1"/>
  <c r="C37" i="1"/>
  <c r="I34" i="1"/>
  <c r="G70" i="4"/>
  <c r="H70" i="4"/>
  <c r="G69" i="3"/>
  <c r="I69" i="1"/>
  <c r="D12" i="1"/>
  <c r="D17" i="1"/>
  <c r="D22" i="1"/>
  <c r="D27" i="1"/>
  <c r="D32" i="1"/>
  <c r="D42" i="1"/>
  <c r="D47" i="1"/>
  <c r="D52" i="1"/>
  <c r="D57" i="1"/>
  <c r="D62" i="1"/>
  <c r="D67" i="1"/>
  <c r="D72" i="1"/>
  <c r="C72" i="1"/>
  <c r="C73" i="4"/>
  <c r="D73" i="4"/>
  <c r="C72" i="3"/>
  <c r="D72" i="3"/>
  <c r="E13" i="4"/>
  <c r="E18" i="4"/>
  <c r="E23" i="4"/>
  <c r="E28" i="4"/>
  <c r="E33" i="4"/>
  <c r="E43" i="4"/>
  <c r="E48" i="4"/>
  <c r="E53" i="4"/>
  <c r="E58" i="4"/>
  <c r="E63" i="4"/>
  <c r="E68" i="4"/>
  <c r="E73" i="4"/>
  <c r="D13" i="4"/>
  <c r="D18" i="4"/>
  <c r="D23" i="4"/>
  <c r="D28" i="4"/>
  <c r="D33" i="4"/>
  <c r="D43" i="4"/>
  <c r="D48" i="4"/>
  <c r="D53" i="4"/>
  <c r="D58" i="4"/>
  <c r="D63" i="4"/>
  <c r="D68" i="4"/>
  <c r="C13" i="4"/>
  <c r="C18" i="4"/>
  <c r="C23" i="4"/>
  <c r="C28" i="4"/>
  <c r="C33" i="4"/>
  <c r="C43" i="4"/>
  <c r="C48" i="4"/>
  <c r="C53" i="4"/>
  <c r="C58" i="4"/>
  <c r="C63" i="4"/>
  <c r="C68" i="4"/>
  <c r="F55" i="4"/>
  <c r="E12" i="3"/>
  <c r="E17" i="3"/>
  <c r="E22" i="3"/>
  <c r="E27" i="3"/>
  <c r="E32" i="3"/>
  <c r="E42" i="3"/>
  <c r="E47" i="3"/>
  <c r="E52" i="3"/>
  <c r="E57" i="3"/>
  <c r="E62" i="3"/>
  <c r="E67" i="3"/>
  <c r="E72" i="3"/>
  <c r="D12" i="3"/>
  <c r="D17" i="3"/>
  <c r="D22" i="3"/>
  <c r="D27" i="3"/>
  <c r="D32" i="3"/>
  <c r="D42" i="3"/>
  <c r="D47" i="3"/>
  <c r="D52" i="3"/>
  <c r="D57" i="3"/>
  <c r="D62" i="3"/>
  <c r="D67" i="3"/>
  <c r="C12" i="3"/>
  <c r="C17" i="3"/>
  <c r="C22" i="3"/>
  <c r="C27" i="3"/>
  <c r="C32" i="3"/>
  <c r="C42" i="3"/>
  <c r="C47" i="3"/>
  <c r="C52" i="3"/>
  <c r="C57" i="3"/>
  <c r="C62" i="3"/>
  <c r="C67" i="3"/>
  <c r="F54" i="3"/>
  <c r="M54" i="1"/>
  <c r="E54" i="1"/>
  <c r="L12" i="1"/>
  <c r="L17" i="1"/>
  <c r="L22" i="1"/>
  <c r="L32" i="1"/>
  <c r="L42" i="1"/>
  <c r="L47" i="1"/>
  <c r="L52" i="1"/>
  <c r="L57" i="1"/>
  <c r="L62" i="1"/>
  <c r="L67" i="1"/>
  <c r="K12" i="1"/>
  <c r="K17" i="1"/>
  <c r="C12" i="1"/>
  <c r="C17" i="1"/>
  <c r="C22" i="1"/>
  <c r="C27" i="1"/>
  <c r="C32" i="1"/>
  <c r="C42" i="1"/>
  <c r="C47" i="1"/>
  <c r="C52" i="1"/>
  <c r="C57" i="1"/>
  <c r="C62" i="1"/>
  <c r="C67" i="1"/>
  <c r="E59" i="1"/>
  <c r="I59" i="1"/>
  <c r="M59" i="1"/>
  <c r="K57" i="1"/>
  <c r="F65" i="4"/>
  <c r="K31" i="2"/>
  <c r="K10" i="2"/>
  <c r="K27" i="1"/>
  <c r="K32" i="1"/>
  <c r="K42" i="1"/>
  <c r="K47" i="1"/>
  <c r="K52" i="1"/>
  <c r="K67" i="1"/>
  <c r="I54" i="1"/>
  <c r="G55" i="4"/>
  <c r="H55" i="4"/>
  <c r="G54" i="3"/>
  <c r="F45" i="4"/>
  <c r="F44" i="3"/>
  <c r="N31" i="2"/>
  <c r="M31" i="2"/>
  <c r="M44" i="2"/>
  <c r="L31" i="2"/>
  <c r="J31" i="2"/>
  <c r="I31" i="2"/>
  <c r="H31" i="2"/>
  <c r="F31" i="2"/>
  <c r="F44" i="2"/>
  <c r="E31" i="2"/>
  <c r="E44" i="2"/>
  <c r="C31" i="2"/>
  <c r="B31" i="2"/>
  <c r="B44" i="2"/>
  <c r="E44" i="1"/>
  <c r="I10" i="2"/>
  <c r="I23" i="2"/>
  <c r="G45" i="4"/>
  <c r="H45" i="4"/>
  <c r="G50" i="4"/>
  <c r="H50" i="4"/>
  <c r="F50" i="4"/>
  <c r="G44" i="3"/>
  <c r="I44" i="1"/>
  <c r="F10" i="4"/>
  <c r="G10" i="4"/>
  <c r="H10" i="4"/>
  <c r="I9" i="1"/>
  <c r="I14" i="1"/>
  <c r="I24" i="1"/>
  <c r="I29" i="1"/>
  <c r="I39" i="1"/>
  <c r="I49" i="1"/>
  <c r="I64" i="1"/>
  <c r="E9" i="1"/>
  <c r="M9" i="1"/>
  <c r="E14" i="1"/>
  <c r="M14" i="1"/>
  <c r="E19" i="1"/>
  <c r="E24" i="1"/>
  <c r="M24" i="1"/>
  <c r="E29" i="1"/>
  <c r="M29" i="1"/>
  <c r="E39" i="1"/>
  <c r="M39" i="1"/>
  <c r="E49" i="1"/>
  <c r="M49" i="1"/>
  <c r="M64" i="1"/>
  <c r="F15" i="4"/>
  <c r="G15" i="4"/>
  <c r="H15" i="4"/>
  <c r="F20" i="4"/>
  <c r="G20" i="4"/>
  <c r="H20" i="4"/>
  <c r="F25" i="4"/>
  <c r="G25" i="4"/>
  <c r="H25" i="4"/>
  <c r="F30" i="4"/>
  <c r="G30" i="4"/>
  <c r="H30" i="4"/>
  <c r="F40" i="4"/>
  <c r="G40" i="4"/>
  <c r="H40" i="4"/>
  <c r="F60" i="4"/>
  <c r="G60" i="4"/>
  <c r="H60" i="4"/>
  <c r="G65" i="4"/>
  <c r="H65" i="4"/>
  <c r="F9" i="3"/>
  <c r="F14" i="3"/>
  <c r="G14" i="3"/>
  <c r="F19" i="3"/>
  <c r="G19" i="3"/>
  <c r="F24" i="3"/>
  <c r="G24" i="3"/>
  <c r="F29" i="3"/>
  <c r="G29" i="3"/>
  <c r="F39" i="3"/>
  <c r="G39" i="3"/>
  <c r="F49" i="3"/>
  <c r="G49" i="3"/>
  <c r="F64" i="3"/>
  <c r="G64" i="3"/>
  <c r="G9" i="3"/>
  <c r="C10" i="2"/>
  <c r="D10" i="2"/>
  <c r="D23" i="2"/>
  <c r="E10" i="2"/>
  <c r="F10" i="2"/>
  <c r="H10" i="2"/>
  <c r="J10" i="2"/>
  <c r="L10" i="2"/>
  <c r="L23" i="2"/>
  <c r="M10" i="2"/>
  <c r="N10" i="2"/>
  <c r="I19" i="1"/>
  <c r="M19" i="1"/>
  <c r="K22" i="1"/>
  <c r="D31" i="2"/>
  <c r="D44" i="2"/>
  <c r="L72" i="1"/>
  <c r="K72" i="1"/>
  <c r="K37" i="1"/>
  <c r="K62" i="1"/>
  <c r="F48" i="4"/>
  <c r="G18" i="4"/>
  <c r="H18" i="4"/>
  <c r="G77" i="4"/>
  <c r="H77" i="4"/>
  <c r="F77" i="4"/>
  <c r="G28" i="4"/>
  <c r="H28" i="4"/>
  <c r="F68" i="4"/>
  <c r="G33" i="4"/>
  <c r="H33" i="4"/>
  <c r="G53" i="4"/>
  <c r="H53" i="4"/>
  <c r="G48" i="4"/>
  <c r="H48" i="4"/>
  <c r="G63" i="4"/>
  <c r="H63" i="4"/>
  <c r="E75" i="4"/>
  <c r="F43" i="4"/>
  <c r="F63" i="4"/>
  <c r="F18" i="4"/>
  <c r="G23" i="4"/>
  <c r="H23" i="4"/>
  <c r="F28" i="4"/>
  <c r="F73" i="4"/>
  <c r="G38" i="4"/>
  <c r="H38" i="4"/>
  <c r="G58" i="4"/>
  <c r="H58" i="4"/>
  <c r="F13" i="4"/>
  <c r="C75" i="4"/>
  <c r="G68" i="4"/>
  <c r="H68" i="4"/>
  <c r="G43" i="4"/>
  <c r="H43" i="4"/>
  <c r="F53" i="4"/>
  <c r="F33" i="4"/>
  <c r="F38" i="4"/>
  <c r="F23" i="4"/>
  <c r="G13" i="4"/>
  <c r="H13" i="4"/>
  <c r="D75" i="4"/>
  <c r="F58" i="4"/>
  <c r="G73" i="4"/>
  <c r="H73" i="4"/>
  <c r="F77" i="5"/>
  <c r="C75" i="5"/>
  <c r="D75" i="5"/>
  <c r="G77" i="5"/>
  <c r="H77" i="5"/>
  <c r="E75" i="5"/>
  <c r="G73" i="5"/>
  <c r="H73" i="5"/>
  <c r="G27" i="3"/>
  <c r="G76" i="3"/>
  <c r="F12" i="3"/>
  <c r="G57" i="3"/>
  <c r="F37" i="3"/>
  <c r="F76" i="3"/>
  <c r="G52" i="3"/>
  <c r="F47" i="3"/>
  <c r="F67" i="3"/>
  <c r="F22" i="3"/>
  <c r="G22" i="3"/>
  <c r="G67" i="3"/>
  <c r="F42" i="3"/>
  <c r="F17" i="3"/>
  <c r="G17" i="3"/>
  <c r="C74" i="3"/>
  <c r="G12" i="3"/>
  <c r="F32" i="3"/>
  <c r="F52" i="3"/>
  <c r="F57" i="3"/>
  <c r="G37" i="3"/>
  <c r="G42" i="3"/>
  <c r="F27" i="3"/>
  <c r="G72" i="3"/>
  <c r="G47" i="3"/>
  <c r="E74" i="3"/>
  <c r="D74" i="3"/>
  <c r="F72" i="3"/>
  <c r="G32" i="3"/>
  <c r="N44" i="2"/>
  <c r="L44" i="2"/>
  <c r="J44" i="2"/>
  <c r="O32" i="2"/>
  <c r="H44" i="2"/>
  <c r="I44" i="2"/>
  <c r="K44" i="2"/>
  <c r="C44" i="2"/>
  <c r="G44" i="2"/>
  <c r="K23" i="2"/>
  <c r="H23" i="2"/>
  <c r="C23" i="2"/>
  <c r="O11" i="2"/>
  <c r="M23" i="2"/>
  <c r="J23" i="2"/>
  <c r="F23" i="2"/>
  <c r="E23" i="2"/>
  <c r="G23" i="2"/>
  <c r="N23" i="2"/>
  <c r="B23" i="2"/>
  <c r="G57" i="1"/>
  <c r="G52" i="1"/>
  <c r="G42" i="1"/>
  <c r="F37" i="1"/>
  <c r="J37" i="1"/>
  <c r="G22" i="1"/>
  <c r="F17" i="1"/>
  <c r="J17" i="1"/>
  <c r="J34" i="1"/>
  <c r="I57" i="1"/>
  <c r="F22" i="1"/>
  <c r="J22" i="1"/>
  <c r="J29" i="1"/>
  <c r="H24" i="1"/>
  <c r="M62" i="1"/>
  <c r="I47" i="1"/>
  <c r="M27" i="1"/>
  <c r="E62" i="1"/>
  <c r="E17" i="1"/>
  <c r="E37" i="1"/>
  <c r="I32" i="1"/>
  <c r="J9" i="1"/>
  <c r="I52" i="1"/>
  <c r="J57" i="1"/>
  <c r="F27" i="1"/>
  <c r="J27" i="1"/>
  <c r="E22" i="1"/>
  <c r="M72" i="1"/>
  <c r="E32" i="1"/>
  <c r="E76" i="1"/>
  <c r="J76" i="1"/>
  <c r="I37" i="1"/>
  <c r="E52" i="1"/>
  <c r="J69" i="1"/>
  <c r="H69" i="1"/>
  <c r="F42" i="1"/>
  <c r="J42" i="1"/>
  <c r="I22" i="1"/>
  <c r="E27" i="1"/>
  <c r="E72" i="1"/>
  <c r="L74" i="1"/>
  <c r="J24" i="1"/>
  <c r="E42" i="1"/>
  <c r="J12" i="1"/>
  <c r="H19" i="1"/>
  <c r="E57" i="1"/>
  <c r="M37" i="1"/>
  <c r="F52" i="1"/>
  <c r="H52" i="1"/>
  <c r="H49" i="1"/>
  <c r="M42" i="1"/>
  <c r="M67" i="1"/>
  <c r="E47" i="1"/>
  <c r="I67" i="1"/>
  <c r="H14" i="1"/>
  <c r="M32" i="1"/>
  <c r="H17" i="1"/>
  <c r="J67" i="1"/>
  <c r="H67" i="1"/>
  <c r="H59" i="1"/>
  <c r="H9" i="1"/>
  <c r="I76" i="1"/>
  <c r="F62" i="1"/>
  <c r="H62" i="1"/>
  <c r="I27" i="1"/>
  <c r="J14" i="1"/>
  <c r="H34" i="1"/>
  <c r="H12" i="1"/>
  <c r="M12" i="1"/>
  <c r="H57" i="1"/>
  <c r="M47" i="1"/>
  <c r="J64" i="1"/>
  <c r="H39" i="1"/>
  <c r="D74" i="1"/>
  <c r="H64" i="1"/>
  <c r="H29" i="1"/>
  <c r="I12" i="1"/>
  <c r="E67" i="1"/>
  <c r="M76" i="1"/>
  <c r="M22" i="1"/>
  <c r="F47" i="1"/>
  <c r="K74" i="1"/>
  <c r="H44" i="1"/>
  <c r="H54" i="1"/>
  <c r="I72" i="1"/>
  <c r="M57" i="1"/>
  <c r="M17" i="1"/>
  <c r="H72" i="1"/>
  <c r="J72" i="1"/>
  <c r="J32" i="1"/>
  <c r="H32" i="1"/>
  <c r="I42" i="1"/>
  <c r="H37" i="1"/>
  <c r="M52" i="1"/>
  <c r="I62" i="1"/>
  <c r="E12" i="1"/>
  <c r="C74" i="1"/>
  <c r="I17" i="1"/>
  <c r="O31" i="2"/>
  <c r="O10" i="2"/>
  <c r="G75" i="4"/>
  <c r="H75" i="4"/>
  <c r="F75" i="4"/>
  <c r="G75" i="5"/>
  <c r="H75" i="5"/>
  <c r="F75" i="5"/>
  <c r="F74" i="3"/>
  <c r="G74" i="3"/>
  <c r="O44" i="2"/>
  <c r="O23" i="2"/>
  <c r="G74" i="1"/>
  <c r="H22" i="1"/>
  <c r="H27" i="1"/>
  <c r="M74" i="1"/>
  <c r="H42" i="1"/>
  <c r="J52" i="1"/>
  <c r="H76" i="1"/>
  <c r="J62" i="1"/>
  <c r="E74" i="1"/>
  <c r="H47" i="1"/>
  <c r="J47" i="1"/>
  <c r="F74" i="1"/>
  <c r="I74" i="1"/>
  <c r="H74" i="1"/>
  <c r="J74" i="1"/>
</calcChain>
</file>

<file path=xl/sharedStrings.xml><?xml version="1.0" encoding="utf-8"?>
<sst xmlns="http://schemas.openxmlformats.org/spreadsheetml/2006/main" count="241" uniqueCount="79">
  <si>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</si>
  <si>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</si>
  <si>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</si>
  <si>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</si>
  <si>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</si>
  <si>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</si>
  <si>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</si>
  <si>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</si>
  <si>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</si>
  <si>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</si>
  <si>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</si>
  <si>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</si>
  <si>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</si>
  <si>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</si>
  <si>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</si>
  <si>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</si>
  <si>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</si>
  <si>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</si>
  <si>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</si>
  <si>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</si>
  <si>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</si>
  <si>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</si>
  <si>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</si>
  <si>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</si>
  <si>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</si>
  <si>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</si>
  <si>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</si>
  <si>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</si>
  <si>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</si>
  <si>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</si>
  <si>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</si>
  <si>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</si>
  <si>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</si>
  <si>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</si>
  <si>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</si>
  <si>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</si>
  <si>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</si>
  <si>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</si>
  <si>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</si>
  <si>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</si>
  <si>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</si>
  <si>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</si>
  <si>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</si>
  <si>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</si>
  <si>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</si>
  <si>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</si>
  <si>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</si>
  <si>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</si>
  <si>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</si>
  <si>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</si>
  <si>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</si>
  <si>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</si>
  <si>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</si>
  <si>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</si>
  <si>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</si>
  <si>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</si>
  <si>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</si>
  <si>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</si>
  <si>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</si>
  <si>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</si>
  <si>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</si>
  <si>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</si>
  <si>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</si>
  <si>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</si>
  <si>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</si>
  <si>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</si>
  <si>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</si>
  <si>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</si>
  <si>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</si>
  <si>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</si>
  <si>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</si>
  <si>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2026 YTD ADMISSIONS, PATRONS AND AGR SUMMARY </t>
  </si>
  <si>
    <t>MONTH ENDED:  AUGUST 31, 2025</t>
  </si>
  <si>
    <t>(as reported on the tax remittal database dtd 9/9/25)</t>
  </si>
  <si>
    <t>FOR THE MONTH ENDED:   AUGUST 31, 2025</t>
  </si>
  <si>
    <t>THRU MONTH ENDED:   AUGUST 31, 2025</t>
  </si>
  <si>
    <t>(as reported on the tax remittal database as of 9/9/25)</t>
  </si>
  <si>
    <t>THRU MONTH ENDED:    AUGUST 31, 2025</t>
  </si>
  <si>
    <t>THRU MONTH ENDED:     AUGUST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</si>
</sst>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7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3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4" fontId="0" fillId="0" borderId="10" xfId="0" applyNumberFormat="1" applyFont="1" applyBorder="1" applyAlignment="1">
      <alignment horizontal="center"/>
    </xf>
    <xf numFmtId="167" fontId="2" fillId="0" borderId="10" xfId="1" applyNumberFormat="1" applyFont="1" applyBorder="1" applyAlignment="1">
      <alignment horizontal="center"/>
    </xf>
    <xf numFmtId="167" fontId="0" fillId="0" borderId="9" xfId="1" applyNumberFormat="1" applyFont="1" applyBorder="1" applyAlignment="1">
      <alignment horizontal="center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48"/>
  <sheetViews>
    <sheetView tabSelected="1" showOutlineSymbols="0" zoomScaleNormal="100" workbookViewId="0">
      <selection activeCell="A5" sqref="A5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8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1"/>
      <c r="L1" s="191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1"/>
      <c r="L2" s="191"/>
      <c r="M2" s="2"/>
      <c r="N2" s="2"/>
      <c r="O2" s="2"/>
      <c r="P2" s="2"/>
      <c r="Q2" s="2"/>
      <c r="R2" s="2"/>
    </row>
    <row r="3" spans="1:18" ht="18" x14ac:dyDescent="0.25">
      <c r="A3" s="276" t="s">
        <v>72</v>
      </c>
      <c r="B3" s="2"/>
      <c r="C3" s="2"/>
      <c r="D3" s="2"/>
      <c r="E3" s="2"/>
      <c r="F3" s="2"/>
      <c r="G3" s="2"/>
      <c r="H3" s="2"/>
      <c r="I3" s="2"/>
      <c r="J3" s="2"/>
      <c r="K3" s="191"/>
      <c r="L3" s="191"/>
      <c r="M3" s="2"/>
      <c r="N3" s="2"/>
      <c r="O3" s="2"/>
      <c r="P3" s="2"/>
      <c r="Q3" s="2"/>
      <c r="R3" s="2"/>
    </row>
    <row r="4" spans="1:18" x14ac:dyDescent="0.2">
      <c r="A4" s="277" t="s">
        <v>73</v>
      </c>
      <c r="B4" s="2"/>
      <c r="C4" s="2"/>
      <c r="D4" s="2"/>
      <c r="E4" s="2"/>
      <c r="F4" s="2"/>
      <c r="G4" s="2"/>
      <c r="H4" s="2"/>
      <c r="I4" s="2"/>
      <c r="J4" s="2"/>
      <c r="K4" s="191"/>
      <c r="L4" s="191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1"/>
      <c r="L5" s="191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2" t="s">
        <v>1</v>
      </c>
      <c r="L6" s="192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3" t="s">
        <v>12</v>
      </c>
      <c r="L7" s="193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4"/>
      <c r="L8" s="194"/>
      <c r="M8" s="18"/>
      <c r="N8" s="10"/>
      <c r="R8" s="2"/>
    </row>
    <row r="9" spans="1:18" ht="15.75" x14ac:dyDescent="0.25">
      <c r="A9" s="19" t="s">
        <v>13</v>
      </c>
      <c r="B9" s="20">
        <f>DATE(2025,7,1)</f>
        <v>45839</v>
      </c>
      <c r="C9" s="21">
        <v>180280</v>
      </c>
      <c r="D9" s="21">
        <v>182873</v>
      </c>
      <c r="E9" s="22">
        <f>(+C9-D9)/D9</f>
        <v>-1.4179239144105472E-2</v>
      </c>
      <c r="F9" s="21">
        <f>+C9-86141</f>
        <v>94139</v>
      </c>
      <c r="G9" s="21">
        <f>+D9-86094</f>
        <v>96779</v>
      </c>
      <c r="H9" s="22">
        <f>(+F9-G9)/G9</f>
        <v>-2.7278645160623689E-2</v>
      </c>
      <c r="I9" s="23">
        <f>K9/C9</f>
        <v>75.772670401597509</v>
      </c>
      <c r="J9" s="23">
        <f>K9/F9</f>
        <v>145.10773452023071</v>
      </c>
      <c r="K9" s="21">
        <v>13660297.02</v>
      </c>
      <c r="L9" s="21">
        <v>13370133.560000001</v>
      </c>
      <c r="M9" s="24">
        <f>(+K9-L9)/L9</f>
        <v>2.1702360615760297E-2</v>
      </c>
      <c r="N9" s="10"/>
      <c r="R9" s="2"/>
    </row>
    <row r="10" spans="1:18" ht="15.75" x14ac:dyDescent="0.25">
      <c r="A10" s="19"/>
      <c r="B10" s="20">
        <f>DATE(2025,8,1)</f>
        <v>45870</v>
      </c>
      <c r="C10" s="21">
        <v>189582</v>
      </c>
      <c r="D10" s="21">
        <v>193595</v>
      </c>
      <c r="E10" s="22">
        <f>(+C10-D10)/D10</f>
        <v>-2.0728841137426068E-2</v>
      </c>
      <c r="F10" s="21">
        <f>+C10-90399</f>
        <v>99183</v>
      </c>
      <c r="G10" s="21">
        <f>+D10-91892</f>
        <v>101703</v>
      </c>
      <c r="H10" s="22">
        <f>(+F10-G10)/G10</f>
        <v>-2.4778030146603344E-2</v>
      </c>
      <c r="I10" s="23">
        <f>K10/C10</f>
        <v>78.115140519669595</v>
      </c>
      <c r="J10" s="23">
        <f>K10/F10</f>
        <v>149.31212576752066</v>
      </c>
      <c r="K10" s="21">
        <v>14809224.57</v>
      </c>
      <c r="L10" s="21">
        <v>13993160.5</v>
      </c>
      <c r="M10" s="24">
        <f>(+K10-L10)/L10</f>
        <v>5.8318781521872795E-2</v>
      </c>
      <c r="N10" s="10"/>
      <c r="R10" s="2"/>
    </row>
    <row r="11" spans="1:18" ht="15.75" customHeight="1" thickBot="1" x14ac:dyDescent="0.3">
      <c r="A11" s="19"/>
      <c r="B11" s="20"/>
      <c r="C11" s="21"/>
      <c r="D11" s="21"/>
      <c r="E11" s="22"/>
      <c r="F11" s="21"/>
      <c r="G11" s="21"/>
      <c r="H11" s="22"/>
      <c r="I11" s="23"/>
      <c r="J11" s="23"/>
      <c r="K11" s="21"/>
      <c r="L11" s="21"/>
      <c r="M11" s="24"/>
      <c r="N11" s="10"/>
      <c r="R11" s="2"/>
    </row>
    <row r="12" spans="1:18" ht="17.25" thickTop="1" thickBot="1" x14ac:dyDescent="0.3">
      <c r="A12" s="25" t="s">
        <v>14</v>
      </c>
      <c r="B12" s="26"/>
      <c r="C12" s="27">
        <f>SUM(C9:C11)</f>
        <v>369862</v>
      </c>
      <c r="D12" s="27">
        <f>SUM(D9:D11)</f>
        <v>376468</v>
      </c>
      <c r="E12" s="278">
        <f>(+C12-D12)/D12</f>
        <v>-1.7547308137743446E-2</v>
      </c>
      <c r="F12" s="27">
        <f>SUM(F9:F11)</f>
        <v>193322</v>
      </c>
      <c r="G12" s="27">
        <f>SUM(G9:G11)</f>
        <v>198482</v>
      </c>
      <c r="H12" s="29">
        <f>(+F12-G12)/G12</f>
        <v>-2.5997319656190485E-2</v>
      </c>
      <c r="I12" s="30">
        <f>K12/C12</f>
        <v>76.973361929584541</v>
      </c>
      <c r="J12" s="30">
        <f>K12/F12</f>
        <v>147.26477891807451</v>
      </c>
      <c r="K12" s="27">
        <f>SUM(K9:K11)</f>
        <v>28469521.59</v>
      </c>
      <c r="L12" s="27">
        <f>SUM(L9:L11)</f>
        <v>27363294.060000002</v>
      </c>
      <c r="M12" s="31">
        <f>(+K12-L12)/L12</f>
        <v>4.0427425425255889E-2</v>
      </c>
      <c r="N12" s="10"/>
      <c r="R12" s="2"/>
    </row>
    <row r="13" spans="1:18" ht="15.75" customHeight="1" thickTop="1" x14ac:dyDescent="0.25">
      <c r="A13" s="15"/>
      <c r="B13" s="16"/>
      <c r="C13" s="16"/>
      <c r="D13" s="16"/>
      <c r="E13" s="17"/>
      <c r="F13" s="16"/>
      <c r="G13" s="16"/>
      <c r="H13" s="17"/>
      <c r="I13" s="16"/>
      <c r="J13" s="16"/>
      <c r="K13" s="194"/>
      <c r="L13" s="194"/>
      <c r="M13" s="18"/>
      <c r="N13" s="10"/>
      <c r="R13" s="2"/>
    </row>
    <row r="14" spans="1:18" ht="15.75" x14ac:dyDescent="0.25">
      <c r="A14" s="19" t="s">
        <v>15</v>
      </c>
      <c r="B14" s="20">
        <f>DATE(2025,7,1)</f>
        <v>45839</v>
      </c>
      <c r="C14" s="21">
        <v>107305</v>
      </c>
      <c r="D14" s="21">
        <v>94277</v>
      </c>
      <c r="E14" s="22">
        <f>(+C14-D14)/D14</f>
        <v>0.13818852954591257</v>
      </c>
      <c r="F14" s="21">
        <f>+C14-51168</f>
        <v>56137</v>
      </c>
      <c r="G14" s="21">
        <f>+D14-44772</f>
        <v>49505</v>
      </c>
      <c r="H14" s="22">
        <f>(+F14-G14)/G14</f>
        <v>0.13396626603373396</v>
      </c>
      <c r="I14" s="23">
        <f>K14/C14</f>
        <v>77.914331298634735</v>
      </c>
      <c r="J14" s="23">
        <f>K14/F14</f>
        <v>148.93202914298948</v>
      </c>
      <c r="K14" s="21">
        <v>8360597.3200000003</v>
      </c>
      <c r="L14" s="21">
        <v>6681618.7599999998</v>
      </c>
      <c r="M14" s="24">
        <f>(+K14-L14)/L14</f>
        <v>0.25128320251543362</v>
      </c>
      <c r="N14" s="10"/>
      <c r="R14" s="2"/>
    </row>
    <row r="15" spans="1:18" ht="15.75" x14ac:dyDescent="0.25">
      <c r="A15" s="19"/>
      <c r="B15" s="20">
        <f>DATE(2025,8,1)</f>
        <v>45870</v>
      </c>
      <c r="C15" s="21">
        <v>110037</v>
      </c>
      <c r="D15" s="21">
        <v>95698</v>
      </c>
      <c r="E15" s="22">
        <f>(+C15-D15)/D15</f>
        <v>0.14983594223494745</v>
      </c>
      <c r="F15" s="21">
        <f>+C15-52170</f>
        <v>57867</v>
      </c>
      <c r="G15" s="21">
        <f>+D15-45591</f>
        <v>50107</v>
      </c>
      <c r="H15" s="22">
        <f>(+F15-G15)/G15</f>
        <v>0.15486858123615463</v>
      </c>
      <c r="I15" s="23">
        <f>K15/C15</f>
        <v>75.953694484582456</v>
      </c>
      <c r="J15" s="23">
        <f>K15/F15</f>
        <v>144.42975581937893</v>
      </c>
      <c r="K15" s="21">
        <v>8357716.6799999997</v>
      </c>
      <c r="L15" s="21">
        <v>7224866.7999999998</v>
      </c>
      <c r="M15" s="24">
        <f>(+K15-L15)/L15</f>
        <v>0.15679872188093488</v>
      </c>
      <c r="N15" s="10"/>
      <c r="R15" s="2"/>
    </row>
    <row r="16" spans="1:18" ht="15.75" customHeight="1" thickBot="1" x14ac:dyDescent="0.3">
      <c r="A16" s="19"/>
      <c r="B16" s="20"/>
      <c r="C16" s="21"/>
      <c r="D16" s="21"/>
      <c r="E16" s="22"/>
      <c r="F16" s="21"/>
      <c r="G16" s="21"/>
      <c r="H16" s="22"/>
      <c r="I16" s="23"/>
      <c r="J16" s="23"/>
      <c r="K16" s="21"/>
      <c r="L16" s="21"/>
      <c r="M16" s="24"/>
      <c r="N16" s="10"/>
      <c r="R16" s="2"/>
    </row>
    <row r="17" spans="1:18" ht="17.25" customHeight="1" thickTop="1" thickBot="1" x14ac:dyDescent="0.3">
      <c r="A17" s="25" t="s">
        <v>14</v>
      </c>
      <c r="B17" s="26"/>
      <c r="C17" s="27">
        <f>SUM(C14:C16)</f>
        <v>217342</v>
      </c>
      <c r="D17" s="27">
        <f>SUM(D14:D16)</f>
        <v>189975</v>
      </c>
      <c r="E17" s="278">
        <f>(+C17-D17)/D17</f>
        <v>0.14405579681537045</v>
      </c>
      <c r="F17" s="27">
        <f>SUM(F14:F16)</f>
        <v>114004</v>
      </c>
      <c r="G17" s="27">
        <f>SUM(G14:G16)</f>
        <v>99612</v>
      </c>
      <c r="H17" s="29">
        <f>(+F17-G17)/G17</f>
        <v>0.14448058466851382</v>
      </c>
      <c r="I17" s="30">
        <f>K17/C17</f>
        <v>76.92169023934629</v>
      </c>
      <c r="J17" s="30">
        <f>K17/F17</f>
        <v>146.64673169362479</v>
      </c>
      <c r="K17" s="27">
        <f>SUM(K14:K16)</f>
        <v>16718314</v>
      </c>
      <c r="L17" s="27">
        <f>SUM(L14:L16)</f>
        <v>13906485.559999999</v>
      </c>
      <c r="M17" s="31">
        <f>(+K17-L17)/L17</f>
        <v>0.20219547403751101</v>
      </c>
      <c r="N17" s="10"/>
      <c r="R17" s="2"/>
    </row>
    <row r="18" spans="1:18" ht="15.75" customHeight="1" thickTop="1" x14ac:dyDescent="0.25">
      <c r="A18" s="32"/>
      <c r="B18" s="33"/>
      <c r="C18" s="34"/>
      <c r="D18" s="34"/>
      <c r="E18" s="28"/>
      <c r="F18" s="34"/>
      <c r="G18" s="34"/>
      <c r="H18" s="28"/>
      <c r="I18" s="35"/>
      <c r="J18" s="35"/>
      <c r="K18" s="34"/>
      <c r="L18" s="34"/>
      <c r="M18" s="36"/>
      <c r="N18" s="10"/>
      <c r="R18" s="2"/>
    </row>
    <row r="19" spans="1:18" ht="15.75" customHeight="1" x14ac:dyDescent="0.25">
      <c r="A19" s="19" t="s">
        <v>62</v>
      </c>
      <c r="B19" s="20">
        <f>DATE(2025,7,1)</f>
        <v>45839</v>
      </c>
      <c r="C19" s="21">
        <v>72536</v>
      </c>
      <c r="D19" s="21">
        <v>53756</v>
      </c>
      <c r="E19" s="22">
        <f>(+C19-D19)/D19</f>
        <v>0.34935635091896716</v>
      </c>
      <c r="F19" s="21">
        <f>+C19-42110</f>
        <v>30426</v>
      </c>
      <c r="G19" s="21">
        <f>+D19-27520</f>
        <v>26236</v>
      </c>
      <c r="H19" s="22">
        <f>(+F19-G19)/G19</f>
        <v>0.15970422320475683</v>
      </c>
      <c r="I19" s="23">
        <f>K19/C19</f>
        <v>70.35019562699901</v>
      </c>
      <c r="J19" s="23">
        <f>K19/F19</f>
        <v>167.7158282390061</v>
      </c>
      <c r="K19" s="21">
        <v>5102921.79</v>
      </c>
      <c r="L19" s="21">
        <v>3867138.09</v>
      </c>
      <c r="M19" s="24">
        <f>(+K19-L19)/L19</f>
        <v>0.31956027202535203</v>
      </c>
      <c r="N19" s="10"/>
      <c r="R19" s="2"/>
    </row>
    <row r="20" spans="1:18" ht="15.75" customHeight="1" x14ac:dyDescent="0.25">
      <c r="A20" s="19"/>
      <c r="B20" s="20">
        <f>DATE(2025,8,1)</f>
        <v>45870</v>
      </c>
      <c r="C20" s="21">
        <v>77461</v>
      </c>
      <c r="D20" s="21">
        <v>54520</v>
      </c>
      <c r="E20" s="22">
        <f>(+C20-D20)/D20</f>
        <v>0.42078136463683052</v>
      </c>
      <c r="F20" s="21">
        <f>+C20-45920</f>
        <v>31541</v>
      </c>
      <c r="G20" s="21">
        <f>+D20-28215</f>
        <v>26305</v>
      </c>
      <c r="H20" s="22">
        <f>(+F20-G20)/G20</f>
        <v>0.19904961034023949</v>
      </c>
      <c r="I20" s="23">
        <f>K20/C20</f>
        <v>69.311892565290918</v>
      </c>
      <c r="J20" s="23">
        <f>K20/F20</f>
        <v>170.22188611648329</v>
      </c>
      <c r="K20" s="21">
        <v>5368968.5099999998</v>
      </c>
      <c r="L20" s="21">
        <v>3925251.53</v>
      </c>
      <c r="M20" s="24">
        <f>(+K20-L20)/L20</f>
        <v>0.36780241188772939</v>
      </c>
      <c r="N20" s="10"/>
      <c r="R20" s="2"/>
    </row>
    <row r="21" spans="1:18" ht="15.75" customHeight="1" thickBot="1" x14ac:dyDescent="0.25">
      <c r="A21" s="37"/>
      <c r="B21" s="20"/>
      <c r="C21" s="21"/>
      <c r="D21" s="21"/>
      <c r="E21" s="22"/>
      <c r="F21" s="21"/>
      <c r="G21" s="21"/>
      <c r="H21" s="22"/>
      <c r="I21" s="23"/>
      <c r="J21" s="23"/>
      <c r="K21" s="21"/>
      <c r="L21" s="21"/>
      <c r="M21" s="24"/>
      <c r="N21" s="10"/>
      <c r="R21" s="2"/>
    </row>
    <row r="22" spans="1:18" ht="17.25" customHeight="1" thickTop="1" thickBot="1" x14ac:dyDescent="0.3">
      <c r="A22" s="38" t="s">
        <v>14</v>
      </c>
      <c r="B22" s="39"/>
      <c r="C22" s="40">
        <f>SUM(C19:C21)</f>
        <v>149997</v>
      </c>
      <c r="D22" s="40">
        <f>SUM(D19:D21)</f>
        <v>108276</v>
      </c>
      <c r="E22" s="279">
        <f>(+C22-D22)/D22</f>
        <v>0.38532084672503603</v>
      </c>
      <c r="F22" s="40">
        <f>SUM(F19:F21)</f>
        <v>61967</v>
      </c>
      <c r="G22" s="40">
        <f>SUM(G19:G21)</f>
        <v>52541</v>
      </c>
      <c r="H22" s="41">
        <f>(+F22-G22)/G22</f>
        <v>0.17940275213642679</v>
      </c>
      <c r="I22" s="42">
        <f>K22/C22</f>
        <v>69.813998279965602</v>
      </c>
      <c r="J22" s="42">
        <f>K22/F22</f>
        <v>168.99140348895381</v>
      </c>
      <c r="K22" s="40">
        <f>SUM(K19:K21)</f>
        <v>10471890.300000001</v>
      </c>
      <c r="L22" s="40">
        <f>SUM(L19:L21)</f>
        <v>7792389.6199999992</v>
      </c>
      <c r="M22" s="43">
        <f>(+K22-L22)/L22</f>
        <v>0.34386123008053615</v>
      </c>
      <c r="N22" s="10"/>
      <c r="R22" s="2"/>
    </row>
    <row r="23" spans="1:18" ht="15.75" customHeight="1" thickTop="1" x14ac:dyDescent="0.2">
      <c r="A23" s="37"/>
      <c r="B23" s="44"/>
      <c r="C23" s="21"/>
      <c r="D23" s="21"/>
      <c r="E23" s="22"/>
      <c r="F23" s="21"/>
      <c r="G23" s="21"/>
      <c r="H23" s="22"/>
      <c r="I23" s="23"/>
      <c r="J23" s="23"/>
      <c r="K23" s="21"/>
      <c r="L23" s="21"/>
      <c r="M23" s="24"/>
      <c r="N23" s="10"/>
      <c r="R23" s="2"/>
    </row>
    <row r="24" spans="1:18" ht="15.75" customHeight="1" x14ac:dyDescent="0.25">
      <c r="A24" s="176" t="s">
        <v>58</v>
      </c>
      <c r="B24" s="20">
        <f>DATE(2025,7,1)</f>
        <v>45839</v>
      </c>
      <c r="C24" s="21">
        <v>313256</v>
      </c>
      <c r="D24" s="21">
        <v>318097</v>
      </c>
      <c r="E24" s="22">
        <f>(+C24-D24)/D24</f>
        <v>-1.5218628280052941E-2</v>
      </c>
      <c r="F24" s="21">
        <f>+C24-156640</f>
        <v>156616</v>
      </c>
      <c r="G24" s="21">
        <f>+D24-155689</f>
        <v>162408</v>
      </c>
      <c r="H24" s="22">
        <f>(+F24-G24)/G24</f>
        <v>-3.5663267819319243E-2</v>
      </c>
      <c r="I24" s="23">
        <f>K24/C24</f>
        <v>70.419114494215592</v>
      </c>
      <c r="J24" s="23">
        <f>K24/F24</f>
        <v>140.84902008734738</v>
      </c>
      <c r="K24" s="21">
        <v>22059210.129999999</v>
      </c>
      <c r="L24" s="21">
        <v>20559621.309999999</v>
      </c>
      <c r="M24" s="24">
        <f>(+K24-L24)/L24</f>
        <v>7.2938542854902436E-2</v>
      </c>
      <c r="N24" s="10"/>
      <c r="R24" s="2"/>
    </row>
    <row r="25" spans="1:18" ht="15.75" customHeight="1" x14ac:dyDescent="0.25">
      <c r="A25" s="176"/>
      <c r="B25" s="20">
        <f>DATE(2025,8,1)</f>
        <v>45870</v>
      </c>
      <c r="C25" s="21">
        <v>334817</v>
      </c>
      <c r="D25" s="21">
        <v>340265</v>
      </c>
      <c r="E25" s="22">
        <f>(+C25-D25)/D25</f>
        <v>-1.601105021086506E-2</v>
      </c>
      <c r="F25" s="21">
        <f>+C25-170142</f>
        <v>164675</v>
      </c>
      <c r="G25" s="21">
        <f>+D25-163301</f>
        <v>176964</v>
      </c>
      <c r="H25" s="22">
        <f>(+F25-G25)/G25</f>
        <v>-6.9443502633303955E-2</v>
      </c>
      <c r="I25" s="23">
        <f>K25/C25</f>
        <v>70.867523214173715</v>
      </c>
      <c r="J25" s="23">
        <f>K25/F25</f>
        <v>144.08775782602095</v>
      </c>
      <c r="K25" s="21">
        <v>23727651.52</v>
      </c>
      <c r="L25" s="21">
        <v>22930250.41</v>
      </c>
      <c r="M25" s="24">
        <f>(+K25-L25)/L25</f>
        <v>3.4775072044230651E-2</v>
      </c>
      <c r="N25" s="10"/>
      <c r="R25" s="2"/>
    </row>
    <row r="26" spans="1:18" ht="15.75" thickBot="1" x14ac:dyDescent="0.25">
      <c r="A26" s="37"/>
      <c r="B26" s="44"/>
      <c r="C26" s="21"/>
      <c r="D26" s="21"/>
      <c r="E26" s="22"/>
      <c r="F26" s="21"/>
      <c r="G26" s="21"/>
      <c r="H26" s="22"/>
      <c r="I26" s="23"/>
      <c r="J26" s="23"/>
      <c r="K26" s="21"/>
      <c r="L26" s="21"/>
      <c r="M26" s="24"/>
      <c r="N26" s="10"/>
      <c r="R26" s="2"/>
    </row>
    <row r="27" spans="1:18" ht="17.25" thickTop="1" thickBot="1" x14ac:dyDescent="0.3">
      <c r="A27" s="38" t="s">
        <v>14</v>
      </c>
      <c r="B27" s="39"/>
      <c r="C27" s="40">
        <f>SUM(C24:C26)</f>
        <v>648073</v>
      </c>
      <c r="D27" s="40">
        <f>SUM(D24:D26)</f>
        <v>658362</v>
      </c>
      <c r="E27" s="279">
        <f>(+C27-D27)/D27</f>
        <v>-1.5628180241265444E-2</v>
      </c>
      <c r="F27" s="40">
        <f>SUM(F24:F26)</f>
        <v>321291</v>
      </c>
      <c r="G27" s="40">
        <f>SUM(G24:G26)</f>
        <v>339372</v>
      </c>
      <c r="H27" s="41">
        <f>(+F27-G27)/G27</f>
        <v>-5.327781903044447E-2</v>
      </c>
      <c r="I27" s="42">
        <f>K27/C27</f>
        <v>70.650777998774828</v>
      </c>
      <c r="J27" s="42">
        <f>K27/F27</f>
        <v>142.50900787759383</v>
      </c>
      <c r="K27" s="40">
        <f>SUM(K24:K26)</f>
        <v>45786861.649999999</v>
      </c>
      <c r="L27" s="40">
        <f>SUM(L24:L26)</f>
        <v>43489871.719999999</v>
      </c>
      <c r="M27" s="43">
        <f>(+K27-L27)/L27</f>
        <v>5.2816663723192048E-2</v>
      </c>
      <c r="N27" s="10"/>
      <c r="R27" s="2"/>
    </row>
    <row r="28" spans="1:18" ht="15.75" thickTop="1" x14ac:dyDescent="0.2">
      <c r="A28" s="37"/>
      <c r="B28" s="44"/>
      <c r="C28" s="21"/>
      <c r="D28" s="21"/>
      <c r="E28" s="22"/>
      <c r="F28" s="21"/>
      <c r="G28" s="21"/>
      <c r="H28" s="22"/>
      <c r="I28" s="23"/>
      <c r="J28" s="23"/>
      <c r="K28" s="21"/>
      <c r="L28" s="21"/>
      <c r="M28" s="24"/>
      <c r="N28" s="10"/>
      <c r="R28" s="2"/>
    </row>
    <row r="29" spans="1:18" ht="15.75" x14ac:dyDescent="0.25">
      <c r="A29" s="19" t="s">
        <v>60</v>
      </c>
      <c r="B29" s="20">
        <f>DATE(2025,7,1)</f>
        <v>45839</v>
      </c>
      <c r="C29" s="21">
        <v>189028</v>
      </c>
      <c r="D29" s="21">
        <v>164838</v>
      </c>
      <c r="E29" s="22">
        <f>(+C29-D29)/D29</f>
        <v>0.14675014256421456</v>
      </c>
      <c r="F29" s="21">
        <f>+C29-89606</f>
        <v>99422</v>
      </c>
      <c r="G29" s="21">
        <f>+D29-73814</f>
        <v>91024</v>
      </c>
      <c r="H29" s="22">
        <f>(+F29-G29)/G29</f>
        <v>9.2261381613640364E-2</v>
      </c>
      <c r="I29" s="23">
        <f>K29/C29</f>
        <v>76.743073089700999</v>
      </c>
      <c r="J29" s="23">
        <f>K29/F29</f>
        <v>145.90925167467964</v>
      </c>
      <c r="K29" s="21">
        <v>14506589.619999999</v>
      </c>
      <c r="L29" s="21">
        <v>12724515.279999999</v>
      </c>
      <c r="M29" s="24">
        <f>(+K29-L29)/L29</f>
        <v>0.14005046956884945</v>
      </c>
      <c r="N29" s="10"/>
      <c r="R29" s="2"/>
    </row>
    <row r="30" spans="1:18" ht="15.75" x14ac:dyDescent="0.25">
      <c r="A30" s="19"/>
      <c r="B30" s="20">
        <f>DATE(2025,8,1)</f>
        <v>45870</v>
      </c>
      <c r="C30" s="21">
        <v>194053</v>
      </c>
      <c r="D30" s="21">
        <v>175348</v>
      </c>
      <c r="E30" s="22">
        <f>(+C30-D30)/D30</f>
        <v>0.1066735862399343</v>
      </c>
      <c r="F30" s="21">
        <f>+C30-90254</f>
        <v>103799</v>
      </c>
      <c r="G30" s="21">
        <f>+D30-80823</f>
        <v>94525</v>
      </c>
      <c r="H30" s="22">
        <f>(+F30-G30)/G30</f>
        <v>9.8111610685003972E-2</v>
      </c>
      <c r="I30" s="23">
        <f>K30/C30</f>
        <v>83.202486691780081</v>
      </c>
      <c r="J30" s="23">
        <f>K30/F30</f>
        <v>155.54766568078691</v>
      </c>
      <c r="K30" s="21">
        <v>16145692.15</v>
      </c>
      <c r="L30" s="21">
        <v>13808966.68</v>
      </c>
      <c r="M30" s="24">
        <f>(+K30-L30)/L30</f>
        <v>0.16921798163104851</v>
      </c>
      <c r="N30" s="10"/>
      <c r="R30" s="2"/>
    </row>
    <row r="31" spans="1:18" ht="15.75" thickBot="1" x14ac:dyDescent="0.25">
      <c r="A31" s="37"/>
      <c r="B31" s="20"/>
      <c r="C31" s="21"/>
      <c r="D31" s="21"/>
      <c r="E31" s="22"/>
      <c r="F31" s="21"/>
      <c r="G31" s="21"/>
      <c r="H31" s="22"/>
      <c r="I31" s="23"/>
      <c r="J31" s="23"/>
      <c r="K31" s="21"/>
      <c r="L31" s="21"/>
      <c r="M31" s="24"/>
      <c r="N31" s="10"/>
      <c r="R31" s="2"/>
    </row>
    <row r="32" spans="1:18" ht="17.25" thickTop="1" thickBot="1" x14ac:dyDescent="0.3">
      <c r="A32" s="38" t="s">
        <v>14</v>
      </c>
      <c r="B32" s="39"/>
      <c r="C32" s="40">
        <f>SUM(C29:C31)</f>
        <v>383081</v>
      </c>
      <c r="D32" s="40">
        <f>SUM(D29:D31)</f>
        <v>340186</v>
      </c>
      <c r="E32" s="280">
        <f>(+C32-D32)/D32</f>
        <v>0.12609278453551881</v>
      </c>
      <c r="F32" s="46">
        <f>SUM(F29:F31)</f>
        <v>203221</v>
      </c>
      <c r="G32" s="47">
        <f>SUM(G29:G31)</f>
        <v>185549</v>
      </c>
      <c r="H32" s="48">
        <f>(+F32-G32)/G32</f>
        <v>9.5241688179402748E-2</v>
      </c>
      <c r="I32" s="49">
        <f>K32/C32</f>
        <v>80.01514502154896</v>
      </c>
      <c r="J32" s="50">
        <f>K32/F32</f>
        <v>150.83225537715097</v>
      </c>
      <c r="K32" s="47">
        <f>SUM(K29:K31)</f>
        <v>30652281.77</v>
      </c>
      <c r="L32" s="46">
        <f>SUM(L29:L31)</f>
        <v>26533481.960000001</v>
      </c>
      <c r="M32" s="43">
        <f>(+K32-L32)/L32</f>
        <v>0.15523027909451198</v>
      </c>
      <c r="N32" s="10"/>
      <c r="R32" s="2"/>
    </row>
    <row r="33" spans="1:18" ht="15.75" customHeight="1" thickTop="1" x14ac:dyDescent="0.25">
      <c r="A33" s="272"/>
      <c r="B33" s="44"/>
      <c r="C33" s="21"/>
      <c r="D33" s="21"/>
      <c r="E33" s="22"/>
      <c r="F33" s="21"/>
      <c r="G33" s="21"/>
      <c r="H33" s="22"/>
      <c r="I33" s="23"/>
      <c r="J33" s="23"/>
      <c r="K33" s="21"/>
      <c r="L33" s="21"/>
      <c r="M33" s="24"/>
      <c r="N33" s="10"/>
      <c r="R33" s="2"/>
    </row>
    <row r="34" spans="1:18" ht="15.75" x14ac:dyDescent="0.25">
      <c r="A34" s="273" t="s">
        <v>61</v>
      </c>
      <c r="B34" s="20">
        <f>DATE(2025,7,1)</f>
        <v>45839</v>
      </c>
      <c r="C34" s="21">
        <v>94878</v>
      </c>
      <c r="D34" s="21">
        <v>92648</v>
      </c>
      <c r="E34" s="22">
        <f>(+C34-D34)/D34</f>
        <v>2.4069596753302825E-2</v>
      </c>
      <c r="F34" s="21">
        <f>+C34-48029</f>
        <v>46849</v>
      </c>
      <c r="G34" s="21">
        <f>+D34-46627</f>
        <v>46021</v>
      </c>
      <c r="H34" s="22">
        <f>(+F34-G34)/G34</f>
        <v>1.7991786358401599E-2</v>
      </c>
      <c r="I34" s="23">
        <f>K34/C34</f>
        <v>61.843469613609052</v>
      </c>
      <c r="J34" s="23">
        <f>K34/F34</f>
        <v>125.24460949006382</v>
      </c>
      <c r="K34" s="21">
        <v>5867584.71</v>
      </c>
      <c r="L34" s="21">
        <v>5846003.7300000004</v>
      </c>
      <c r="M34" s="24">
        <f>(+K34-L34)/L34</f>
        <v>3.6915782125235687E-3</v>
      </c>
      <c r="N34" s="10"/>
      <c r="R34" s="2"/>
    </row>
    <row r="35" spans="1:18" ht="15.75" x14ac:dyDescent="0.25">
      <c r="A35" s="273"/>
      <c r="B35" s="20">
        <f>DATE(2025,8,1)</f>
        <v>45870</v>
      </c>
      <c r="C35" s="21">
        <v>97250</v>
      </c>
      <c r="D35" s="21">
        <v>95306</v>
      </c>
      <c r="E35" s="22">
        <f>(+C35-D35)/D35</f>
        <v>2.039745661343462E-2</v>
      </c>
      <c r="F35" s="21">
        <f>+C35-49642</f>
        <v>47608</v>
      </c>
      <c r="G35" s="21">
        <f>+D35-47322</f>
        <v>47984</v>
      </c>
      <c r="H35" s="22">
        <f>(+F35-G35)/G35</f>
        <v>-7.8359453151050345E-3</v>
      </c>
      <c r="I35" s="23">
        <f>K35/C35</f>
        <v>62.609686169665814</v>
      </c>
      <c r="J35" s="23">
        <f>K35/F35</f>
        <v>127.89430305830953</v>
      </c>
      <c r="K35" s="21">
        <v>6088791.9800000004</v>
      </c>
      <c r="L35" s="21">
        <v>6105616.8799999999</v>
      </c>
      <c r="M35" s="24">
        <f>(+K35-L35)/L35</f>
        <v>-2.7556429318571071E-3</v>
      </c>
      <c r="N35" s="10"/>
      <c r="R35" s="2"/>
    </row>
    <row r="36" spans="1:18" ht="15.75" customHeight="1" thickBot="1" x14ac:dyDescent="0.3">
      <c r="A36" s="19"/>
      <c r="B36" s="20"/>
      <c r="C36" s="21"/>
      <c r="D36" s="21"/>
      <c r="E36" s="22"/>
      <c r="F36" s="21"/>
      <c r="G36" s="21"/>
      <c r="H36" s="22"/>
      <c r="I36" s="23"/>
      <c r="J36" s="23"/>
      <c r="K36" s="21"/>
      <c r="L36" s="21"/>
      <c r="M36" s="24"/>
      <c r="N36" s="10"/>
      <c r="R36" s="2"/>
    </row>
    <row r="37" spans="1:18" ht="17.45" customHeight="1" thickTop="1" thickBot="1" x14ac:dyDescent="0.3">
      <c r="A37" s="38" t="s">
        <v>14</v>
      </c>
      <c r="B37" s="51"/>
      <c r="C37" s="46">
        <f>SUM(C34:C36)</f>
        <v>192128</v>
      </c>
      <c r="D37" s="47">
        <f>SUM(D34:D36)</f>
        <v>187954</v>
      </c>
      <c r="E37" s="280">
        <f>(+C37-D37)/D37</f>
        <v>2.2207561424603891E-2</v>
      </c>
      <c r="F37" s="47">
        <f>SUM(F34:F36)</f>
        <v>94457</v>
      </c>
      <c r="G37" s="46">
        <f>SUM(G34:G36)</f>
        <v>94005</v>
      </c>
      <c r="H37" s="45">
        <f>(+F37-G37)/G37</f>
        <v>4.8082548800595709E-3</v>
      </c>
      <c r="I37" s="50">
        <f>K37/C37</f>
        <v>62.23130772193538</v>
      </c>
      <c r="J37" s="49">
        <f>K37/F37</f>
        <v>126.58010195115239</v>
      </c>
      <c r="K37" s="46">
        <f>SUM(K34:K36)</f>
        <v>11956376.690000001</v>
      </c>
      <c r="L37" s="47">
        <f>SUM(L34:L36)</f>
        <v>11951620.609999999</v>
      </c>
      <c r="M37" s="43">
        <f>(+K37-L37)/L37</f>
        <v>3.9794435877779568E-4</v>
      </c>
      <c r="N37" s="10"/>
      <c r="R37" s="2"/>
    </row>
    <row r="38" spans="1:18" ht="15.75" customHeight="1" thickTop="1" x14ac:dyDescent="0.25">
      <c r="A38" s="19"/>
      <c r="B38" s="44"/>
      <c r="C38" s="21"/>
      <c r="D38" s="21"/>
      <c r="E38" s="22"/>
      <c r="F38" s="21"/>
      <c r="G38" s="21"/>
      <c r="H38" s="22"/>
      <c r="I38" s="23"/>
      <c r="J38" s="23"/>
      <c r="K38" s="21"/>
      <c r="L38" s="21"/>
      <c r="M38" s="24"/>
      <c r="N38" s="10"/>
      <c r="R38" s="2"/>
    </row>
    <row r="39" spans="1:18" ht="15.75" x14ac:dyDescent="0.25">
      <c r="A39" s="19" t="s">
        <v>67</v>
      </c>
      <c r="B39" s="20">
        <f>DATE(2025,7,1)</f>
        <v>45839</v>
      </c>
      <c r="C39" s="21">
        <v>204452</v>
      </c>
      <c r="D39" s="21">
        <v>257776</v>
      </c>
      <c r="E39" s="22">
        <f>(+C39-D39)/D39</f>
        <v>-0.20686177146049284</v>
      </c>
      <c r="F39" s="21">
        <f>+C39-91736</f>
        <v>112716</v>
      </c>
      <c r="G39" s="21">
        <f>+D39-114796</f>
        <v>142980</v>
      </c>
      <c r="H39" s="22">
        <f>(+F39-G39)/G39</f>
        <v>-0.2116659672681494</v>
      </c>
      <c r="I39" s="23">
        <f>K39/C39</f>
        <v>54.137227124214974</v>
      </c>
      <c r="J39" s="23">
        <f>K39/F39</f>
        <v>98.197810071329712</v>
      </c>
      <c r="K39" s="21">
        <v>11068464.359999999</v>
      </c>
      <c r="L39" s="21">
        <v>11751251.060000001</v>
      </c>
      <c r="M39" s="24">
        <f>(+K39-L39)/L39</f>
        <v>-5.8103319937068985E-2</v>
      </c>
      <c r="N39" s="10"/>
      <c r="R39" s="2"/>
    </row>
    <row r="40" spans="1:18" ht="15.75" x14ac:dyDescent="0.25">
      <c r="A40" s="19"/>
      <c r="B40" s="20">
        <f>DATE(2025,8,1)</f>
        <v>45870</v>
      </c>
      <c r="C40" s="21">
        <v>206639</v>
      </c>
      <c r="D40" s="21">
        <v>262210</v>
      </c>
      <c r="E40" s="22">
        <f>(+C40-D40)/D40</f>
        <v>-0.21193318332634148</v>
      </c>
      <c r="F40" s="21">
        <f>+C40-94997</f>
        <v>111642</v>
      </c>
      <c r="G40" s="21">
        <f>+D40-116032</f>
        <v>146178</v>
      </c>
      <c r="H40" s="22">
        <f>(+F40-G40)/G40</f>
        <v>-0.23625990231088126</v>
      </c>
      <c r="I40" s="23">
        <f>K40/C40</f>
        <v>54.63845542225814</v>
      </c>
      <c r="J40" s="23">
        <f>K40/F40</f>
        <v>101.13071953207573</v>
      </c>
      <c r="K40" s="21">
        <v>11290435.789999999</v>
      </c>
      <c r="L40" s="21">
        <v>11860379.300000001</v>
      </c>
      <c r="M40" s="24">
        <f>(+K40-L40)/L40</f>
        <v>-4.8054408344259412E-2</v>
      </c>
      <c r="N40" s="10"/>
      <c r="R40" s="2"/>
    </row>
    <row r="41" spans="1:18" ht="15.75" customHeight="1" thickBot="1" x14ac:dyDescent="0.3">
      <c r="A41" s="19"/>
      <c r="B41" s="44"/>
      <c r="C41" s="21"/>
      <c r="D41" s="21"/>
      <c r="E41" s="22"/>
      <c r="F41" s="21"/>
      <c r="G41" s="21"/>
      <c r="H41" s="22"/>
      <c r="I41" s="23"/>
      <c r="J41" s="23"/>
      <c r="K41" s="21"/>
      <c r="L41" s="21"/>
      <c r="M41" s="24"/>
      <c r="N41" s="10"/>
      <c r="R41" s="2"/>
    </row>
    <row r="42" spans="1:18" ht="17.45" customHeight="1" thickTop="1" thickBot="1" x14ac:dyDescent="0.3">
      <c r="A42" s="38" t="s">
        <v>14</v>
      </c>
      <c r="B42" s="51"/>
      <c r="C42" s="46">
        <f>SUM(C39:C41)</f>
        <v>411091</v>
      </c>
      <c r="D42" s="47">
        <f>SUM(D39:D41)</f>
        <v>519986</v>
      </c>
      <c r="E42" s="280">
        <f>(+C42-D42)/D42</f>
        <v>-0.20941909974499315</v>
      </c>
      <c r="F42" s="47">
        <f>SUM(F39:F41)</f>
        <v>224358</v>
      </c>
      <c r="G42" s="46">
        <f>SUM(G39:G41)</f>
        <v>289158</v>
      </c>
      <c r="H42" s="52">
        <f>(+F42-G42)/G42</f>
        <v>-0.22409893553005622</v>
      </c>
      <c r="I42" s="50">
        <f>K42/C42</f>
        <v>54.389174537997668</v>
      </c>
      <c r="J42" s="49">
        <f>K42/F42</f>
        <v>99.657244894320684</v>
      </c>
      <c r="K42" s="46">
        <f>SUM(K39:K41)</f>
        <v>22358900.149999999</v>
      </c>
      <c r="L42" s="47">
        <f>SUM(L39:L41)</f>
        <v>23611630.359999999</v>
      </c>
      <c r="M42" s="43">
        <f>(+K42-L42)/L42</f>
        <v>-5.305564210941683E-2</v>
      </c>
      <c r="N42" s="10"/>
      <c r="R42" s="2"/>
    </row>
    <row r="43" spans="1:18" ht="15.75" customHeight="1" thickTop="1" x14ac:dyDescent="0.25">
      <c r="A43" s="19"/>
      <c r="B43" s="44"/>
      <c r="C43" s="21"/>
      <c r="D43" s="21"/>
      <c r="E43" s="22"/>
      <c r="F43" s="21"/>
      <c r="G43" s="21"/>
      <c r="H43" s="22"/>
      <c r="I43" s="23"/>
      <c r="J43" s="23"/>
      <c r="K43" s="21"/>
      <c r="L43" s="21"/>
      <c r="M43" s="24"/>
      <c r="N43" s="10"/>
      <c r="R43" s="2"/>
    </row>
    <row r="44" spans="1:18" ht="15.75" customHeight="1" x14ac:dyDescent="0.25">
      <c r="A44" s="19" t="s">
        <v>69</v>
      </c>
      <c r="B44" s="20">
        <f>DATE(2025,7,1)</f>
        <v>45839</v>
      </c>
      <c r="C44" s="21">
        <v>216398</v>
      </c>
      <c r="D44" s="21">
        <v>179532</v>
      </c>
      <c r="E44" s="22">
        <f>(+C44-D44)/D44</f>
        <v>0.20534500813225498</v>
      </c>
      <c r="F44" s="21">
        <f>+C44-97090</f>
        <v>119308</v>
      </c>
      <c r="G44" s="21">
        <f>+D44-80702</f>
        <v>98830</v>
      </c>
      <c r="H44" s="22">
        <f>(+F44-G44)/G44</f>
        <v>0.20720429019528483</v>
      </c>
      <c r="I44" s="23">
        <f>K44/C44</f>
        <v>66.817602658065226</v>
      </c>
      <c r="J44" s="23">
        <f>K44/F44</f>
        <v>121.19217135481276</v>
      </c>
      <c r="K44" s="21">
        <v>14459195.58</v>
      </c>
      <c r="L44" s="21">
        <v>11941116.9</v>
      </c>
      <c r="M44" s="24">
        <f>(+K44-L44)/L44</f>
        <v>0.21087463602336895</v>
      </c>
      <c r="N44" s="10"/>
      <c r="R44" s="2"/>
    </row>
    <row r="45" spans="1:18" ht="15.75" customHeight="1" x14ac:dyDescent="0.25">
      <c r="A45" s="19"/>
      <c r="B45" s="20">
        <f>DATE(2025,8,1)</f>
        <v>45870</v>
      </c>
      <c r="C45" s="21">
        <v>230610</v>
      </c>
      <c r="D45" s="21">
        <v>184933</v>
      </c>
      <c r="E45" s="22">
        <f>(+C45-D45)/D45</f>
        <v>0.24699215391520171</v>
      </c>
      <c r="F45" s="21">
        <f>+C45-104945</f>
        <v>125665</v>
      </c>
      <c r="G45" s="21">
        <f>+D45-83211</f>
        <v>101722</v>
      </c>
      <c r="H45" s="22">
        <f>(+F45-G45)/G45</f>
        <v>0.23537681130925464</v>
      </c>
      <c r="I45" s="23">
        <f>K45/C45</f>
        <v>66.546834439096315</v>
      </c>
      <c r="J45" s="23">
        <f>K45/F45</f>
        <v>122.12123892889826</v>
      </c>
      <c r="K45" s="21">
        <v>15346365.49</v>
      </c>
      <c r="L45" s="21">
        <v>11618380.869999999</v>
      </c>
      <c r="M45" s="24">
        <f>(+K45-L45)/L45</f>
        <v>0.32086954815073138</v>
      </c>
      <c r="N45" s="10"/>
      <c r="R45" s="2"/>
    </row>
    <row r="46" spans="1:18" ht="15.75" customHeight="1" thickBot="1" x14ac:dyDescent="0.3">
      <c r="A46" s="19"/>
      <c r="B46" s="44"/>
      <c r="C46" s="21"/>
      <c r="D46" s="21"/>
      <c r="E46" s="22"/>
      <c r="F46" s="21"/>
      <c r="G46" s="21"/>
      <c r="H46" s="22"/>
      <c r="I46" s="23"/>
      <c r="J46" s="23"/>
      <c r="K46" s="21"/>
      <c r="L46" s="21"/>
      <c r="M46" s="24"/>
      <c r="N46" s="10"/>
      <c r="R46" s="2"/>
    </row>
    <row r="47" spans="1:18" ht="17.25" thickTop="1" thickBot="1" x14ac:dyDescent="0.3">
      <c r="A47" s="38" t="s">
        <v>14</v>
      </c>
      <c r="B47" s="39"/>
      <c r="C47" s="40">
        <f>SUM(C44:C46)</f>
        <v>447008</v>
      </c>
      <c r="D47" s="40">
        <f>SUM(D44:D46)</f>
        <v>364465</v>
      </c>
      <c r="E47" s="279">
        <f>(+C47-D47)/D47</f>
        <v>0.22647716515989189</v>
      </c>
      <c r="F47" s="40">
        <f>SUM(F44:F46)</f>
        <v>244973</v>
      </c>
      <c r="G47" s="40">
        <f>SUM(G44:G46)</f>
        <v>200552</v>
      </c>
      <c r="H47" s="41">
        <f>(+F47-G47)/G47</f>
        <v>0.22149367745023735</v>
      </c>
      <c r="I47" s="42">
        <f>K47/C47</f>
        <v>66.677914198403613</v>
      </c>
      <c r="J47" s="42">
        <f>K47/F47</f>
        <v>121.66875970004858</v>
      </c>
      <c r="K47" s="40">
        <f>SUM(K44:K46)</f>
        <v>29805561.07</v>
      </c>
      <c r="L47" s="40">
        <f>SUM(L44:L46)</f>
        <v>23559497.77</v>
      </c>
      <c r="M47" s="43">
        <f>(+K47-L47)/L47</f>
        <v>0.26511869484559053</v>
      </c>
      <c r="N47" s="10"/>
      <c r="R47" s="2"/>
    </row>
    <row r="48" spans="1:18" ht="15.75" customHeight="1" thickTop="1" x14ac:dyDescent="0.2">
      <c r="A48" s="53"/>
      <c r="B48" s="54"/>
      <c r="C48" s="54"/>
      <c r="D48" s="54"/>
      <c r="E48" s="55"/>
      <c r="F48" s="54"/>
      <c r="G48" s="54"/>
      <c r="H48" s="55"/>
      <c r="I48" s="54"/>
      <c r="J48" s="54"/>
      <c r="K48" s="195"/>
      <c r="L48" s="195"/>
      <c r="M48" s="56"/>
      <c r="N48" s="10"/>
      <c r="R48" s="2"/>
    </row>
    <row r="49" spans="1:18" ht="15.75" customHeight="1" x14ac:dyDescent="0.25">
      <c r="A49" s="19" t="s">
        <v>16</v>
      </c>
      <c r="B49" s="20">
        <f>DATE(2025,7,1)</f>
        <v>45839</v>
      </c>
      <c r="C49" s="21">
        <v>256392</v>
      </c>
      <c r="D49" s="21">
        <v>241251</v>
      </c>
      <c r="E49" s="22">
        <f>(+C49-D49)/D49</f>
        <v>6.2760361615081389E-2</v>
      </c>
      <c r="F49" s="21">
        <f>+C49-136380</f>
        <v>120012</v>
      </c>
      <c r="G49" s="21">
        <f>+D49-122029</f>
        <v>119222</v>
      </c>
      <c r="H49" s="22">
        <f>(+F49-G49)/G49</f>
        <v>6.6262938048346782E-3</v>
      </c>
      <c r="I49" s="23">
        <f>K49/C49</f>
        <v>68.159802372928951</v>
      </c>
      <c r="J49" s="23">
        <f>K49/F49</f>
        <v>145.61567218278174</v>
      </c>
      <c r="K49" s="21">
        <v>17475628.050000001</v>
      </c>
      <c r="L49" s="21">
        <v>16833896.640000001</v>
      </c>
      <c r="M49" s="24">
        <f>(+K49-L49)/L49</f>
        <v>3.8121382334922078E-2</v>
      </c>
      <c r="N49" s="10"/>
      <c r="R49" s="2"/>
    </row>
    <row r="50" spans="1:18" ht="15.75" customHeight="1" x14ac:dyDescent="0.25">
      <c r="A50" s="19"/>
      <c r="B50" s="20">
        <f>DATE(2025,8,1)</f>
        <v>45870</v>
      </c>
      <c r="C50" s="21">
        <v>264680</v>
      </c>
      <c r="D50" s="21">
        <v>252387</v>
      </c>
      <c r="E50" s="22">
        <f>(+C50-D50)/D50</f>
        <v>4.8706946078839242E-2</v>
      </c>
      <c r="F50" s="21">
        <f>+C50-139345</f>
        <v>125335</v>
      </c>
      <c r="G50" s="21">
        <f>+D50-128448</f>
        <v>123939</v>
      </c>
      <c r="H50" s="22">
        <f>(+F50-G50)/G50</f>
        <v>1.1263605483342612E-2</v>
      </c>
      <c r="I50" s="23">
        <f>K50/C50</f>
        <v>67.181025615837996</v>
      </c>
      <c r="J50" s="23">
        <f>K50/F50</f>
        <v>141.8715750588423</v>
      </c>
      <c r="K50" s="21">
        <v>17781473.859999999</v>
      </c>
      <c r="L50" s="21">
        <v>17738787.879999999</v>
      </c>
      <c r="M50" s="24">
        <f>(+K50-L50)/L50</f>
        <v>2.4063639685396841E-3</v>
      </c>
      <c r="N50" s="10"/>
      <c r="R50" s="2"/>
    </row>
    <row r="51" spans="1:18" ht="15.75" customHeight="1" thickBot="1" x14ac:dyDescent="0.3">
      <c r="A51" s="19"/>
      <c r="B51" s="44"/>
      <c r="C51" s="21"/>
      <c r="D51" s="21"/>
      <c r="E51" s="22"/>
      <c r="F51" s="21"/>
      <c r="G51" s="21"/>
      <c r="H51" s="22"/>
      <c r="I51" s="23"/>
      <c r="J51" s="23"/>
      <c r="K51" s="21"/>
      <c r="L51" s="21"/>
      <c r="M51" s="24"/>
      <c r="N51" s="10"/>
      <c r="R51" s="2"/>
    </row>
    <row r="52" spans="1:18" ht="17.25" thickTop="1" thickBot="1" x14ac:dyDescent="0.3">
      <c r="A52" s="38" t="s">
        <v>14</v>
      </c>
      <c r="B52" s="39"/>
      <c r="C52" s="40">
        <f>SUM(C49:C51)</f>
        <v>521072</v>
      </c>
      <c r="D52" s="40">
        <f>SUM(D49:D51)</f>
        <v>493638</v>
      </c>
      <c r="E52" s="279">
        <f>(+C52-D52)/D52</f>
        <v>5.5575138056632591E-2</v>
      </c>
      <c r="F52" s="40">
        <f>SUM(F49:F51)</f>
        <v>245347</v>
      </c>
      <c r="G52" s="40">
        <f>SUM(G49:G51)</f>
        <v>243161</v>
      </c>
      <c r="H52" s="41">
        <f>(+F52-G52)/G52</f>
        <v>8.9899284835972867E-3</v>
      </c>
      <c r="I52" s="42">
        <f>K52/C52</f>
        <v>67.662629943654608</v>
      </c>
      <c r="J52" s="42">
        <f>K52/F52</f>
        <v>143.70300802536815</v>
      </c>
      <c r="K52" s="40">
        <f>SUM(K49:K51)</f>
        <v>35257101.909999996</v>
      </c>
      <c r="L52" s="40">
        <f>SUM(L49:L51)</f>
        <v>34572684.519999996</v>
      </c>
      <c r="M52" s="43">
        <f>(+K52-L52)/L52</f>
        <v>1.9796478043354462E-2</v>
      </c>
      <c r="N52" s="10"/>
      <c r="R52" s="2"/>
    </row>
    <row r="53" spans="1:18" ht="15.75" customHeight="1" thickTop="1" x14ac:dyDescent="0.2">
      <c r="A53" s="53"/>
      <c r="B53" s="54"/>
      <c r="C53" s="54"/>
      <c r="D53" s="54"/>
      <c r="E53" s="55"/>
      <c r="F53" s="54"/>
      <c r="G53" s="54"/>
      <c r="H53" s="55"/>
      <c r="I53" s="54"/>
      <c r="J53" s="54"/>
      <c r="K53" s="195"/>
      <c r="L53" s="195"/>
      <c r="M53" s="56"/>
      <c r="N53" s="10"/>
      <c r="R53" s="2"/>
    </row>
    <row r="54" spans="1:18" ht="15.75" customHeight="1" x14ac:dyDescent="0.25">
      <c r="A54" s="19" t="s">
        <v>53</v>
      </c>
      <c r="B54" s="20">
        <f>DATE(2025,7,1)</f>
        <v>45839</v>
      </c>
      <c r="C54" s="21">
        <v>334577</v>
      </c>
      <c r="D54" s="21">
        <v>331492</v>
      </c>
      <c r="E54" s="22">
        <f>(+C54-D54)/D54</f>
        <v>9.3064086011125455E-3</v>
      </c>
      <c r="F54" s="21">
        <f>+C54-156657</f>
        <v>177920</v>
      </c>
      <c r="G54" s="21">
        <f>+D54-154270</f>
        <v>177222</v>
      </c>
      <c r="H54" s="22">
        <f>(+F54-G54)/G54</f>
        <v>3.9385629323673132E-3</v>
      </c>
      <c r="I54" s="23">
        <f>K54/C54</f>
        <v>66.550795661387355</v>
      </c>
      <c r="J54" s="23">
        <f>K54/F54</f>
        <v>125.14818772482013</v>
      </c>
      <c r="K54" s="21">
        <v>22266365.559999999</v>
      </c>
      <c r="L54" s="21">
        <v>20666135.579999998</v>
      </c>
      <c r="M54" s="24">
        <f>(+K54-L54)/L54</f>
        <v>7.7432472742927805E-2</v>
      </c>
      <c r="N54" s="10"/>
      <c r="R54" s="2"/>
    </row>
    <row r="55" spans="1:18" ht="15.75" customHeight="1" x14ac:dyDescent="0.25">
      <c r="A55" s="19"/>
      <c r="B55" s="20">
        <f>DATE(2025,8,1)</f>
        <v>45870</v>
      </c>
      <c r="C55" s="21">
        <v>344204</v>
      </c>
      <c r="D55" s="21">
        <v>357343</v>
      </c>
      <c r="E55" s="22">
        <f>(+C55-D55)/D55</f>
        <v>-3.6768594879429566E-2</v>
      </c>
      <c r="F55" s="21">
        <f>+C55-159754</f>
        <v>184450</v>
      </c>
      <c r="G55" s="21">
        <f>+D55-161766</f>
        <v>195577</v>
      </c>
      <c r="H55" s="22">
        <f>(+F55-G55)/G55</f>
        <v>-5.689319296236265E-2</v>
      </c>
      <c r="I55" s="23">
        <f>K55/C55</f>
        <v>69.857439803139997</v>
      </c>
      <c r="J55" s="23">
        <f>K55/F55</f>
        <v>130.36167096774193</v>
      </c>
      <c r="K55" s="21">
        <v>24045210.210000001</v>
      </c>
      <c r="L55" s="21">
        <v>21638089.190000001</v>
      </c>
      <c r="M55" s="24">
        <f>(+K55-L55)/L55</f>
        <v>0.11124462048675007</v>
      </c>
      <c r="N55" s="10"/>
      <c r="R55" s="2"/>
    </row>
    <row r="56" spans="1:18" ht="15.75" customHeight="1" thickBot="1" x14ac:dyDescent="0.3">
      <c r="A56" s="19"/>
      <c r="B56" s="44"/>
      <c r="C56" s="21"/>
      <c r="D56" s="21"/>
      <c r="E56" s="22"/>
      <c r="F56" s="21"/>
      <c r="G56" s="21"/>
      <c r="H56" s="22"/>
      <c r="I56" s="23"/>
      <c r="J56" s="23"/>
      <c r="K56" s="21"/>
      <c r="L56" s="21"/>
      <c r="M56" s="24"/>
      <c r="N56" s="10"/>
      <c r="R56" s="2"/>
    </row>
    <row r="57" spans="1:18" ht="17.25" thickTop="1" thickBot="1" x14ac:dyDescent="0.3">
      <c r="A57" s="38" t="s">
        <v>14</v>
      </c>
      <c r="B57" s="39"/>
      <c r="C57" s="40">
        <f>SUM(C54:C56)</f>
        <v>678781</v>
      </c>
      <c r="D57" s="40">
        <f>SUM(D54:D56)</f>
        <v>688835</v>
      </c>
      <c r="E57" s="279">
        <f>(+C57-D57)/D57</f>
        <v>-1.4595657886141093E-2</v>
      </c>
      <c r="F57" s="40">
        <f>SUM(F54:F56)</f>
        <v>362370</v>
      </c>
      <c r="G57" s="40">
        <f>SUM(G54:G56)</f>
        <v>372799</v>
      </c>
      <c r="H57" s="41">
        <f>(+F57-G57)/G57</f>
        <v>-2.7974860447587038E-2</v>
      </c>
      <c r="I57" s="42">
        <f>K57/C57</f>
        <v>68.227566431588386</v>
      </c>
      <c r="J57" s="42">
        <f>K57/F57</f>
        <v>127.80190349642629</v>
      </c>
      <c r="K57" s="40">
        <f>SUM(K54:K56)</f>
        <v>46311575.769999996</v>
      </c>
      <c r="L57" s="40">
        <f>SUM(L54:L56)</f>
        <v>42304224.769999996</v>
      </c>
      <c r="M57" s="43">
        <f>(+K57-L57)/L57</f>
        <v>9.4726969275224948E-2</v>
      </c>
      <c r="N57" s="10"/>
      <c r="R57" s="2"/>
    </row>
    <row r="58" spans="1:18" ht="15.75" customHeight="1" thickTop="1" x14ac:dyDescent="0.2">
      <c r="A58" s="57"/>
      <c r="B58" s="58"/>
      <c r="C58" s="58"/>
      <c r="D58" s="58"/>
      <c r="E58" s="59"/>
      <c r="F58" s="58"/>
      <c r="G58" s="58"/>
      <c r="H58" s="59"/>
      <c r="I58" s="58"/>
      <c r="J58" s="58"/>
      <c r="K58" s="196"/>
      <c r="L58" s="196"/>
      <c r="M58" s="60"/>
      <c r="N58" s="10"/>
      <c r="R58" s="2"/>
    </row>
    <row r="59" spans="1:18" ht="15" customHeight="1" x14ac:dyDescent="0.25">
      <c r="A59" s="19" t="s">
        <v>54</v>
      </c>
      <c r="B59" s="20">
        <f>DATE(2025,7,1)</f>
        <v>45839</v>
      </c>
      <c r="C59" s="21">
        <v>42805</v>
      </c>
      <c r="D59" s="21">
        <v>39024</v>
      </c>
      <c r="E59" s="22">
        <f>(+C59-D59)/D59</f>
        <v>9.6889093890938915E-2</v>
      </c>
      <c r="F59" s="21">
        <f>+C59-21502</f>
        <v>21303</v>
      </c>
      <c r="G59" s="21">
        <f>+D59-19863</f>
        <v>19161</v>
      </c>
      <c r="H59" s="22">
        <f>(+F59-G59)/G59</f>
        <v>0.11178957256928135</v>
      </c>
      <c r="I59" s="23">
        <f>K59/C59</f>
        <v>68.823005957247986</v>
      </c>
      <c r="J59" s="23">
        <f>K59/F59</f>
        <v>138.28891564568372</v>
      </c>
      <c r="K59" s="21">
        <v>2945968.77</v>
      </c>
      <c r="L59" s="21">
        <v>2829692.37</v>
      </c>
      <c r="M59" s="24">
        <f>(+K59-L59)/L59</f>
        <v>4.1091533918225856E-2</v>
      </c>
      <c r="N59" s="10"/>
      <c r="R59" s="2"/>
    </row>
    <row r="60" spans="1:18" ht="15" customHeight="1" x14ac:dyDescent="0.25">
      <c r="A60" s="19"/>
      <c r="B60" s="20">
        <f>DATE(2025,8,1)</f>
        <v>45870</v>
      </c>
      <c r="C60" s="21">
        <v>43476</v>
      </c>
      <c r="D60" s="21">
        <v>37405</v>
      </c>
      <c r="E60" s="22">
        <f>(+C60-D60)/D60</f>
        <v>0.16230450474535491</v>
      </c>
      <c r="F60" s="21">
        <f>+C60-21927</f>
        <v>21549</v>
      </c>
      <c r="G60" s="21">
        <f>+D60-18960</f>
        <v>18445</v>
      </c>
      <c r="H60" s="22">
        <f>(+F60-G60)/G60</f>
        <v>0.16828408782867985</v>
      </c>
      <c r="I60" s="23">
        <f>K60/C60</f>
        <v>69.474783788757023</v>
      </c>
      <c r="J60" s="23">
        <f>K60/F60</f>
        <v>140.16825374727367</v>
      </c>
      <c r="K60" s="21">
        <v>3020485.7</v>
      </c>
      <c r="L60" s="21">
        <v>2718513.58</v>
      </c>
      <c r="M60" s="24">
        <f>(+K60-L60)/L60</f>
        <v>0.11107986446034238</v>
      </c>
      <c r="N60" s="10"/>
      <c r="R60" s="2"/>
    </row>
    <row r="61" spans="1:18" ht="15.75" thickBot="1" x14ac:dyDescent="0.25">
      <c r="A61" s="37"/>
      <c r="B61" s="20"/>
      <c r="C61" s="21"/>
      <c r="D61" s="21"/>
      <c r="E61" s="22"/>
      <c r="F61" s="21"/>
      <c r="G61" s="21"/>
      <c r="H61" s="22"/>
      <c r="I61" s="23"/>
      <c r="J61" s="23"/>
      <c r="K61" s="21"/>
      <c r="L61" s="21"/>
      <c r="M61" s="24"/>
      <c r="N61" s="10"/>
      <c r="R61" s="2"/>
    </row>
    <row r="62" spans="1:18" ht="17.25" thickTop="1" thickBot="1" x14ac:dyDescent="0.3">
      <c r="A62" s="61" t="s">
        <v>14</v>
      </c>
      <c r="B62" s="51"/>
      <c r="C62" s="47">
        <f>SUM(C59:C61)</f>
        <v>86281</v>
      </c>
      <c r="D62" s="47">
        <f>SUM(D59:D61)</f>
        <v>76429</v>
      </c>
      <c r="E62" s="279">
        <f>(+C62-D62)/D62</f>
        <v>0.128903950071308</v>
      </c>
      <c r="F62" s="47">
        <f>SUM(F59:F61)</f>
        <v>42852</v>
      </c>
      <c r="G62" s="47">
        <f>SUM(G59:G61)</f>
        <v>37606</v>
      </c>
      <c r="H62" s="41">
        <f>(+F62-G62)/G62</f>
        <v>0.13949901611444981</v>
      </c>
      <c r="I62" s="49">
        <f>K62/C62</f>
        <v>69.151429283388012</v>
      </c>
      <c r="J62" s="49">
        <f>K62/F62</f>
        <v>139.23397904415199</v>
      </c>
      <c r="K62" s="47">
        <f>SUM(K59:K61)</f>
        <v>5966454.4700000007</v>
      </c>
      <c r="L62" s="47">
        <f>SUM(L59:L61)</f>
        <v>5548205.9500000002</v>
      </c>
      <c r="M62" s="43">
        <f>(+K62-L62)/L62</f>
        <v>7.5384461890784793E-2</v>
      </c>
      <c r="N62" s="10"/>
      <c r="R62" s="2"/>
    </row>
    <row r="63" spans="1:18" ht="15.75" customHeight="1" thickTop="1" x14ac:dyDescent="0.25">
      <c r="A63" s="19"/>
      <c r="B63" s="44"/>
      <c r="C63" s="21"/>
      <c r="D63" s="21"/>
      <c r="E63" s="22"/>
      <c r="F63" s="21"/>
      <c r="G63" s="21"/>
      <c r="H63" s="22"/>
      <c r="I63" s="23"/>
      <c r="J63" s="23"/>
      <c r="K63" s="21"/>
      <c r="L63" s="21"/>
      <c r="M63" s="24"/>
      <c r="N63" s="10"/>
      <c r="R63" s="2"/>
    </row>
    <row r="64" spans="1:18" ht="15.75" x14ac:dyDescent="0.25">
      <c r="A64" s="19" t="s">
        <v>17</v>
      </c>
      <c r="B64" s="20">
        <f>DATE(2025,7,1)</f>
        <v>45839</v>
      </c>
      <c r="C64" s="21">
        <v>332760</v>
      </c>
      <c r="D64" s="21">
        <v>318851</v>
      </c>
      <c r="E64" s="22">
        <f>(+C64-D64)/D64</f>
        <v>4.3622256163537203E-2</v>
      </c>
      <c r="F64" s="21">
        <f>+C64-168404</f>
        <v>164356</v>
      </c>
      <c r="G64" s="21">
        <f>+D64-161525</f>
        <v>157326</v>
      </c>
      <c r="H64" s="22">
        <f>(+F64-G64)/G64</f>
        <v>4.4684286131980729E-2</v>
      </c>
      <c r="I64" s="23">
        <f>K64/C64</f>
        <v>76.969005679769197</v>
      </c>
      <c r="J64" s="23">
        <f>K64/F64</f>
        <v>155.83371662732117</v>
      </c>
      <c r="K64" s="21">
        <v>25612206.329999998</v>
      </c>
      <c r="L64" s="21">
        <v>24087952.09</v>
      </c>
      <c r="M64" s="24">
        <f>(+K64-L64)/L64</f>
        <v>6.3278697761640995E-2</v>
      </c>
      <c r="N64" s="10"/>
      <c r="R64" s="2"/>
    </row>
    <row r="65" spans="1:18" ht="15.75" x14ac:dyDescent="0.25">
      <c r="A65" s="19"/>
      <c r="B65" s="20">
        <f>DATE(2025,8,1)</f>
        <v>45870</v>
      </c>
      <c r="C65" s="21">
        <v>337923</v>
      </c>
      <c r="D65" s="21">
        <v>333739</v>
      </c>
      <c r="E65" s="22">
        <f>(+C65-D65)/D65</f>
        <v>1.2536742784031833E-2</v>
      </c>
      <c r="F65" s="21">
        <f>+C65-170971</f>
        <v>166952</v>
      </c>
      <c r="G65" s="21">
        <f>+D65-170693</f>
        <v>163046</v>
      </c>
      <c r="H65" s="22">
        <f>(+F65-G65)/G65</f>
        <v>2.3956429473890803E-2</v>
      </c>
      <c r="I65" s="23">
        <f>K65/C65</f>
        <v>80.768315829345738</v>
      </c>
      <c r="J65" s="23">
        <f>K65/F65</f>
        <v>163.48095015333749</v>
      </c>
      <c r="K65" s="21">
        <v>27293471.59</v>
      </c>
      <c r="L65" s="21">
        <v>25503125.370000001</v>
      </c>
      <c r="M65" s="24">
        <f>(+K65-L65)/L65</f>
        <v>7.0201051597622244E-2</v>
      </c>
      <c r="N65" s="10"/>
      <c r="R65" s="2"/>
    </row>
    <row r="66" spans="1:18" ht="15.75" thickBot="1" x14ac:dyDescent="0.25">
      <c r="A66" s="37"/>
      <c r="B66" s="44"/>
      <c r="C66" s="21"/>
      <c r="D66" s="21"/>
      <c r="E66" s="22"/>
      <c r="F66" s="21"/>
      <c r="G66" s="21"/>
      <c r="H66" s="22"/>
      <c r="I66" s="23"/>
      <c r="J66" s="23"/>
      <c r="K66" s="21"/>
      <c r="L66" s="21"/>
      <c r="M66" s="24"/>
      <c r="N66" s="10"/>
      <c r="R66" s="2"/>
    </row>
    <row r="67" spans="1:18" ht="17.25" thickTop="1" thickBot="1" x14ac:dyDescent="0.3">
      <c r="A67" s="38" t="s">
        <v>14</v>
      </c>
      <c r="B67" s="39"/>
      <c r="C67" s="40">
        <f>SUM(C64:C66)</f>
        <v>670683</v>
      </c>
      <c r="D67" s="40">
        <f>SUM(D64:D66)</f>
        <v>652590</v>
      </c>
      <c r="E67" s="279">
        <f>(+C67-D67)/D67</f>
        <v>2.772491150645888E-2</v>
      </c>
      <c r="F67" s="40">
        <f>SUM(F64:F66)</f>
        <v>331308</v>
      </c>
      <c r="G67" s="40">
        <f>SUM(G64:G66)</f>
        <v>320372</v>
      </c>
      <c r="H67" s="41">
        <f>(+F67-G67)/G67</f>
        <v>3.4135317693181677E-2</v>
      </c>
      <c r="I67" s="42">
        <f>K67/C67</f>
        <v>78.883284532334955</v>
      </c>
      <c r="J67" s="42">
        <f>K67/F67</f>
        <v>159.68729375686672</v>
      </c>
      <c r="K67" s="40">
        <f>SUM(K64:K66)</f>
        <v>52905677.920000002</v>
      </c>
      <c r="L67" s="40">
        <f>SUM(L64:L66)</f>
        <v>49591077.460000001</v>
      </c>
      <c r="M67" s="43">
        <f>(+K67-L67)/L67</f>
        <v>6.6838645776017808E-2</v>
      </c>
      <c r="N67" s="10"/>
      <c r="R67" s="2"/>
    </row>
    <row r="68" spans="1:18" ht="15.75" customHeight="1" thickTop="1" x14ac:dyDescent="0.25">
      <c r="A68" s="19"/>
      <c r="B68" s="44"/>
      <c r="C68" s="21"/>
      <c r="D68" s="21"/>
      <c r="E68" s="22"/>
      <c r="F68" s="21"/>
      <c r="G68" s="21"/>
      <c r="H68" s="22"/>
      <c r="I68" s="23"/>
      <c r="J68" s="23"/>
      <c r="K68" s="21"/>
      <c r="L68" s="21"/>
      <c r="M68" s="24"/>
      <c r="N68" s="10"/>
      <c r="R68" s="2"/>
    </row>
    <row r="69" spans="1:18" ht="15.75" x14ac:dyDescent="0.25">
      <c r="A69" s="19" t="s">
        <v>56</v>
      </c>
      <c r="B69" s="20">
        <f>DATE(2025,7,1)</f>
        <v>45839</v>
      </c>
      <c r="C69" s="21">
        <v>62531</v>
      </c>
      <c r="D69" s="21">
        <v>61692</v>
      </c>
      <c r="E69" s="22">
        <f>(+C69-D69)/D69</f>
        <v>1.3599818452959865E-2</v>
      </c>
      <c r="F69" s="21">
        <f>+C69-28002</f>
        <v>34529</v>
      </c>
      <c r="G69" s="21">
        <f>+D69-26929</f>
        <v>34763</v>
      </c>
      <c r="H69" s="22">
        <f>(+F69-G69)/G69</f>
        <v>-6.7312947674251361E-3</v>
      </c>
      <c r="I69" s="23">
        <f>K69/C69</f>
        <v>69.151710991348281</v>
      </c>
      <c r="J69" s="23">
        <f>K69/F69</f>
        <v>125.23170783978684</v>
      </c>
      <c r="K69" s="21">
        <v>4324125.6399999997</v>
      </c>
      <c r="L69" s="21">
        <v>4020687.4</v>
      </c>
      <c r="M69" s="24">
        <f>(+K69-L69)/L69</f>
        <v>7.546924438840974E-2</v>
      </c>
      <c r="N69" s="10"/>
      <c r="R69" s="2"/>
    </row>
    <row r="70" spans="1:18" ht="15.75" x14ac:dyDescent="0.25">
      <c r="A70" s="19"/>
      <c r="B70" s="20">
        <f>DATE(2025,8,1)</f>
        <v>45870</v>
      </c>
      <c r="C70" s="21">
        <v>65265</v>
      </c>
      <c r="D70" s="21">
        <v>66178</v>
      </c>
      <c r="E70" s="22">
        <f>(+C70-D70)/D70</f>
        <v>-1.3796125600652786E-2</v>
      </c>
      <c r="F70" s="21">
        <f>+C70-29137</f>
        <v>36128</v>
      </c>
      <c r="G70" s="21">
        <f>+D70-28897</f>
        <v>37281</v>
      </c>
      <c r="H70" s="22">
        <f>(+F70-G70)/G70</f>
        <v>-3.0927281993508759E-2</v>
      </c>
      <c r="I70" s="23">
        <f>K70/C70</f>
        <v>64.341791618784953</v>
      </c>
      <c r="J70" s="23">
        <f>K70/F70</f>
        <v>116.2330333813109</v>
      </c>
      <c r="K70" s="21">
        <v>4199267.03</v>
      </c>
      <c r="L70" s="21">
        <v>4282672.42</v>
      </c>
      <c r="M70" s="24">
        <f>(+K70-L70)/L70</f>
        <v>-1.9475080468563988E-2</v>
      </c>
      <c r="N70" s="10"/>
      <c r="R70" s="2"/>
    </row>
    <row r="71" spans="1:18" ht="15.75" thickBot="1" x14ac:dyDescent="0.25">
      <c r="A71" s="37"/>
      <c r="B71" s="44"/>
      <c r="C71" s="21"/>
      <c r="D71" s="21"/>
      <c r="E71" s="22"/>
      <c r="F71" s="21"/>
      <c r="G71" s="21"/>
      <c r="H71" s="22"/>
      <c r="I71" s="23"/>
      <c r="J71" s="23"/>
      <c r="K71" s="21"/>
      <c r="L71" s="21"/>
      <c r="M71" s="24"/>
      <c r="N71" s="10"/>
      <c r="R71" s="2"/>
    </row>
    <row r="72" spans="1:18" ht="17.25" thickTop="1" thickBot="1" x14ac:dyDescent="0.3">
      <c r="A72" s="25" t="s">
        <v>14</v>
      </c>
      <c r="B72" s="26"/>
      <c r="C72" s="27">
        <f>SUM(C69:C71)</f>
        <v>127796</v>
      </c>
      <c r="D72" s="27">
        <f>SUM(D69:D71)</f>
        <v>127870</v>
      </c>
      <c r="E72" s="279">
        <f>(+C72-D72)/D72</f>
        <v>-5.7871275514194105E-4</v>
      </c>
      <c r="F72" s="27">
        <f>SUM(F69:F71)</f>
        <v>70657</v>
      </c>
      <c r="G72" s="27">
        <f>SUM(G69:G71)</f>
        <v>72044</v>
      </c>
      <c r="H72" s="41">
        <f>(+F72-G72)/G72</f>
        <v>-1.9252123702182E-2</v>
      </c>
      <c r="I72" s="42">
        <f>K72/C72</f>
        <v>66.695300870136776</v>
      </c>
      <c r="J72" s="42">
        <f>K72/F72</f>
        <v>120.63054856560566</v>
      </c>
      <c r="K72" s="27">
        <f>SUM(K69:K71)</f>
        <v>8523392.6699999999</v>
      </c>
      <c r="L72" s="27">
        <f>SUM(L69:L71)</f>
        <v>8303359.8200000003</v>
      </c>
      <c r="M72" s="43">
        <f>(+K72-L72)/L72</f>
        <v>2.6499255093102737E-2</v>
      </c>
      <c r="N72" s="10"/>
      <c r="R72" s="2"/>
    </row>
    <row r="73" spans="1:18" ht="16.5" thickTop="1" thickBot="1" x14ac:dyDescent="0.25">
      <c r="A73" s="62"/>
      <c r="B73" s="33"/>
      <c r="C73" s="34"/>
      <c r="D73" s="34"/>
      <c r="E73" s="28"/>
      <c r="F73" s="34"/>
      <c r="G73" s="34"/>
      <c r="H73" s="28"/>
      <c r="I73" s="35"/>
      <c r="J73" s="35"/>
      <c r="K73" s="34"/>
      <c r="L73" s="34"/>
      <c r="M73" s="36"/>
      <c r="N73" s="10"/>
      <c r="R73" s="2"/>
    </row>
    <row r="74" spans="1:18" ht="17.25" thickTop="1" thickBot="1" x14ac:dyDescent="0.3">
      <c r="A74" s="63" t="s">
        <v>18</v>
      </c>
      <c r="B74" s="64"/>
      <c r="C74" s="27">
        <f>C72+C67+C32+C42+C47+C22+C12+C52+C57+C27+C62+C17+C37</f>
        <v>4903195</v>
      </c>
      <c r="D74" s="27">
        <f>D72+D67+D32+D42+D47+D22+D12+D52+D57+D27+D62+D17+D37</f>
        <v>4785034</v>
      </c>
      <c r="E74" s="278">
        <f>(+C74-D74)/D74</f>
        <v>2.4693868423923425E-2</v>
      </c>
      <c r="F74" s="27">
        <f>F72+F67+F32+F42+F47+F22+F12+F52+F57+F27+F62+F17+F37</f>
        <v>2510127</v>
      </c>
      <c r="G74" s="27">
        <f>G72+G67+G32+G42+G47+G22+G12+G52+G57+G27+G62+G17+G37</f>
        <v>2505253</v>
      </c>
      <c r="H74" s="29">
        <f>(+F74-G74)/G74</f>
        <v>1.9455120899964993E-3</v>
      </c>
      <c r="I74" s="30">
        <f>K74/C74</f>
        <v>70.399792372116551</v>
      </c>
      <c r="J74" s="30">
        <f>K74/F74</f>
        <v>137.51651209679829</v>
      </c>
      <c r="K74" s="27">
        <f>K72+K67+K32+K42+K47+K22+K12+K52+K57+K27+K62+K17+K37</f>
        <v>345183909.95999998</v>
      </c>
      <c r="L74" s="27">
        <f>L72+L67+L32+L42+L47+L22+L12+L52+L57+L27+L62+L17+L37</f>
        <v>318527824.17999995</v>
      </c>
      <c r="M74" s="31">
        <f>(+K74-L74)/L74</f>
        <v>8.3685266267152503E-2</v>
      </c>
      <c r="N74" s="10"/>
      <c r="R74" s="2"/>
    </row>
    <row r="75" spans="1:18" ht="17.25" thickTop="1" thickBot="1" x14ac:dyDescent="0.3">
      <c r="A75" s="63"/>
      <c r="B75" s="64"/>
      <c r="C75" s="27"/>
      <c r="D75" s="27"/>
      <c r="E75" s="28"/>
      <c r="F75" s="27"/>
      <c r="G75" s="27"/>
      <c r="H75" s="29"/>
      <c r="I75" s="30"/>
      <c r="J75" s="30"/>
      <c r="K75" s="27"/>
      <c r="L75" s="27"/>
      <c r="M75" s="31"/>
      <c r="N75" s="10"/>
      <c r="R75" s="2"/>
    </row>
    <row r="76" spans="1:18" ht="17.25" thickTop="1" thickBot="1" x14ac:dyDescent="0.3">
      <c r="A76" s="63" t="s">
        <v>19</v>
      </c>
      <c r="B76" s="64"/>
      <c r="C76" s="27">
        <f>+C10+C15+C20+C25+C30+C35+C40+C45+C50+C55+C60+C65+C70</f>
        <v>2495997</v>
      </c>
      <c r="D76" s="27">
        <f>+D10+D15+D20+D25+D30+D35+D40+D45+D50+D55+D60+D65+D70</f>
        <v>2448927</v>
      </c>
      <c r="E76" s="278">
        <f>(+C76-D76)/D76</f>
        <v>1.9220662763732851E-2</v>
      </c>
      <c r="F76" s="27">
        <f>+F10+F15+F20+F25+F30+F35+F40+F45+F50+F55+F60+F65+F70</f>
        <v>1276394</v>
      </c>
      <c r="G76" s="27">
        <f>+G10+G15+G20+G25+G30+G35+G40+G45+G50+G55+G60+G65+G70</f>
        <v>1283776</v>
      </c>
      <c r="H76" s="29">
        <f>(+F76-G76)/G76</f>
        <v>-5.7502243382023029E-3</v>
      </c>
      <c r="I76" s="290">
        <f>K76/C76</f>
        <v>71.103753361883051</v>
      </c>
      <c r="J76" s="30">
        <f>K76/F76</f>
        <v>139.04386504480593</v>
      </c>
      <c r="K76" s="27">
        <f>+K10+K15+K20+K25+K30+K35+K40+K45+K50+K55+K60+K65+K70</f>
        <v>177474755.08000001</v>
      </c>
      <c r="L76" s="27">
        <f>+L10+L15+L20+L25+L30+L35+L40+L45+L50+L55+L60+L65+L70</f>
        <v>163348061.40999997</v>
      </c>
      <c r="M76" s="31">
        <f>(+K76-L76)/L76</f>
        <v>8.6482162984122368E-2</v>
      </c>
      <c r="N76" s="10"/>
      <c r="R76" s="2"/>
    </row>
    <row r="77" spans="1:18" ht="15.75" thickTop="1" x14ac:dyDescent="0.2">
      <c r="A77" s="65"/>
      <c r="B77" s="66"/>
      <c r="C77" s="67"/>
      <c r="D77" s="66"/>
      <c r="E77" s="66"/>
      <c r="F77" s="66"/>
      <c r="G77" s="66"/>
      <c r="H77" s="66"/>
      <c r="I77" s="66"/>
      <c r="J77" s="66"/>
      <c r="K77" s="67"/>
      <c r="L77" s="67"/>
      <c r="M77" s="66"/>
      <c r="R77" s="2"/>
    </row>
    <row r="78" spans="1:18" ht="18.75" x14ac:dyDescent="0.3">
      <c r="A78" s="263" t="s">
        <v>20</v>
      </c>
      <c r="B78" s="69"/>
      <c r="C78" s="70"/>
      <c r="D78" s="70"/>
      <c r="E78" s="70"/>
      <c r="F78" s="70"/>
      <c r="G78" s="70"/>
      <c r="H78" s="70"/>
      <c r="I78" s="70"/>
      <c r="J78" s="70"/>
      <c r="K78" s="197"/>
      <c r="L78" s="197"/>
      <c r="M78" s="70"/>
      <c r="N78" s="2"/>
      <c r="O78" s="2"/>
      <c r="P78" s="2"/>
      <c r="Q78" s="2"/>
      <c r="R78" s="2"/>
    </row>
    <row r="79" spans="1:18" ht="18" x14ac:dyDescent="0.25">
      <c r="A79" s="68"/>
      <c r="B79" s="69"/>
      <c r="C79" s="70"/>
      <c r="D79" s="70"/>
      <c r="E79" s="70"/>
      <c r="F79" s="70"/>
      <c r="G79" s="70"/>
      <c r="H79" s="70"/>
      <c r="I79" s="70"/>
      <c r="J79" s="70"/>
      <c r="K79" s="197"/>
      <c r="L79" s="197"/>
      <c r="M79" s="70"/>
      <c r="N79" s="2"/>
      <c r="O79" s="2"/>
      <c r="P79" s="2"/>
      <c r="Q79" s="2"/>
      <c r="R79" s="2"/>
    </row>
    <row r="80" spans="1:18" ht="15.75" x14ac:dyDescent="0.25">
      <c r="A80" s="71"/>
      <c r="B80" s="72"/>
      <c r="C80" s="73"/>
      <c r="D80" s="73"/>
      <c r="E80" s="73"/>
      <c r="F80" s="73"/>
      <c r="G80" s="73"/>
      <c r="H80" s="73"/>
      <c r="I80" s="73"/>
      <c r="J80" s="73"/>
      <c r="K80" s="191"/>
      <c r="L80" s="191"/>
      <c r="M80" s="74"/>
      <c r="N80" s="2"/>
      <c r="O80" s="2"/>
      <c r="P80" s="2"/>
      <c r="Q80" s="2"/>
      <c r="R80" s="2"/>
    </row>
    <row r="81" spans="1:18" x14ac:dyDescent="0.2">
      <c r="A81" s="2"/>
      <c r="B81" s="72"/>
      <c r="C81" s="73"/>
      <c r="D81" s="73"/>
      <c r="E81" s="73"/>
      <c r="F81" s="73"/>
      <c r="G81" s="73"/>
      <c r="H81" s="73"/>
      <c r="I81" s="73"/>
      <c r="J81" s="73"/>
      <c r="K81" s="191"/>
      <c r="L81" s="191"/>
      <c r="M81" s="74"/>
      <c r="N81" s="2"/>
      <c r="O81" s="2"/>
      <c r="P81" s="2"/>
      <c r="Q81" s="2"/>
      <c r="R81" s="2"/>
    </row>
    <row r="82" spans="1:18" x14ac:dyDescent="0.2">
      <c r="A82" s="2"/>
      <c r="B82" s="72"/>
      <c r="C82" s="73"/>
      <c r="D82" s="73"/>
      <c r="E82" s="73"/>
      <c r="F82" s="73"/>
      <c r="G82" s="73"/>
      <c r="H82" s="73"/>
      <c r="I82" s="73"/>
      <c r="J82" s="73"/>
      <c r="K82" s="191"/>
      <c r="L82" s="191"/>
      <c r="M82" s="74"/>
      <c r="N82" s="2"/>
      <c r="O82" s="2"/>
      <c r="P82" s="2"/>
      <c r="Q82" s="2"/>
      <c r="R82" s="2"/>
    </row>
    <row r="83" spans="1:18" x14ac:dyDescent="0.2">
      <c r="A83" s="2"/>
      <c r="B83" s="72"/>
      <c r="C83" s="73"/>
      <c r="D83" s="73"/>
      <c r="E83" s="73"/>
      <c r="F83" s="73"/>
      <c r="G83" s="73"/>
      <c r="H83" s="73"/>
      <c r="I83" s="73"/>
      <c r="J83" s="73"/>
      <c r="K83" s="191"/>
      <c r="L83" s="191"/>
      <c r="M83" s="74"/>
      <c r="N83" s="2"/>
      <c r="O83" s="2"/>
      <c r="P83" s="2"/>
      <c r="Q83" s="2"/>
      <c r="R83" s="2"/>
    </row>
    <row r="84" spans="1:18" x14ac:dyDescent="0.2">
      <c r="A84" s="2"/>
      <c r="B84" s="72"/>
      <c r="C84" s="73"/>
      <c r="D84" s="73"/>
      <c r="E84" s="73"/>
      <c r="F84" s="73"/>
      <c r="G84" s="73"/>
      <c r="H84" s="73"/>
      <c r="I84" s="73"/>
      <c r="J84" s="73"/>
      <c r="K84" s="191"/>
      <c r="L84" s="191"/>
      <c r="M84" s="74"/>
      <c r="N84" s="2"/>
      <c r="O84" s="2"/>
      <c r="P84" s="2"/>
      <c r="Q84" s="2"/>
      <c r="R84" s="2"/>
    </row>
    <row r="85" spans="1:18" x14ac:dyDescent="0.2">
      <c r="A85" s="2"/>
      <c r="B85" s="72"/>
      <c r="C85" s="73"/>
      <c r="D85" s="73"/>
      <c r="E85" s="73"/>
      <c r="F85" s="73"/>
      <c r="G85" s="73"/>
      <c r="H85" s="73"/>
      <c r="I85" s="73"/>
      <c r="J85" s="73"/>
      <c r="K85" s="191"/>
      <c r="L85" s="191"/>
      <c r="M85" s="74"/>
      <c r="N85" s="2"/>
      <c r="O85" s="2"/>
      <c r="P85" s="2"/>
      <c r="Q85" s="2"/>
      <c r="R85" s="2"/>
    </row>
    <row r="86" spans="1:18" x14ac:dyDescent="0.2">
      <c r="A86" s="2"/>
      <c r="B86" s="72"/>
      <c r="C86" s="73"/>
      <c r="D86" s="73"/>
      <c r="E86" s="73"/>
      <c r="F86" s="73"/>
      <c r="G86" s="73"/>
      <c r="H86" s="73"/>
      <c r="I86" s="73"/>
      <c r="J86" s="73"/>
      <c r="K86" s="191"/>
      <c r="L86" s="191"/>
      <c r="M86" s="74"/>
      <c r="N86" s="2"/>
      <c r="O86" s="2"/>
      <c r="P86" s="2"/>
      <c r="Q86" s="2"/>
      <c r="R86" s="2"/>
    </row>
    <row r="87" spans="1:18" x14ac:dyDescent="0.2">
      <c r="A87" s="2"/>
      <c r="B87" s="72"/>
      <c r="C87" s="73"/>
      <c r="D87" s="73"/>
      <c r="E87" s="73"/>
      <c r="F87" s="73"/>
      <c r="G87" s="73"/>
      <c r="H87" s="73"/>
      <c r="I87" s="73"/>
      <c r="J87" s="73"/>
      <c r="K87" s="191"/>
      <c r="L87" s="191"/>
      <c r="M87" s="74"/>
      <c r="N87" s="2"/>
      <c r="O87" s="2"/>
      <c r="P87" s="2"/>
      <c r="Q87" s="2"/>
      <c r="R87" s="2"/>
    </row>
    <row r="88" spans="1:18" x14ac:dyDescent="0.2">
      <c r="A88" s="2"/>
      <c r="B88" s="72"/>
      <c r="C88" s="73"/>
      <c r="D88" s="73"/>
      <c r="E88" s="73"/>
      <c r="F88" s="73"/>
      <c r="G88" s="73"/>
      <c r="H88" s="73"/>
      <c r="I88" s="73"/>
      <c r="J88" s="73"/>
      <c r="K88" s="191"/>
      <c r="L88" s="191"/>
      <c r="M88" s="74"/>
      <c r="N88" s="2"/>
      <c r="O88" s="2"/>
      <c r="P88" s="2"/>
      <c r="Q88" s="2"/>
      <c r="R88" s="2"/>
    </row>
    <row r="89" spans="1:18" x14ac:dyDescent="0.2">
      <c r="A89" s="2"/>
      <c r="B89" s="72"/>
      <c r="C89" s="73"/>
      <c r="D89" s="73"/>
      <c r="E89" s="73"/>
      <c r="F89" s="73"/>
      <c r="G89" s="73"/>
      <c r="H89" s="73"/>
      <c r="I89" s="73"/>
      <c r="J89" s="73"/>
      <c r="K89" s="191"/>
      <c r="L89" s="191"/>
      <c r="M89" s="73"/>
      <c r="N89" s="2"/>
      <c r="O89" s="2"/>
      <c r="P89" s="2"/>
      <c r="Q89" s="2"/>
      <c r="R89" s="2"/>
    </row>
    <row r="90" spans="1:18" x14ac:dyDescent="0.2">
      <c r="A90" s="2"/>
      <c r="B90" s="72"/>
      <c r="C90" s="73"/>
      <c r="D90" s="73"/>
      <c r="E90" s="73"/>
      <c r="F90" s="73"/>
      <c r="G90" s="73"/>
      <c r="H90" s="73"/>
      <c r="I90" s="73"/>
      <c r="J90" s="73"/>
      <c r="K90" s="191"/>
      <c r="L90" s="191"/>
      <c r="M90" s="73"/>
      <c r="N90" s="2"/>
      <c r="O90" s="2"/>
      <c r="P90" s="2"/>
      <c r="Q90" s="2"/>
      <c r="R90" s="2"/>
    </row>
    <row r="91" spans="1:18" x14ac:dyDescent="0.2">
      <c r="A91" s="2"/>
      <c r="B91" s="69"/>
      <c r="C91" s="73"/>
      <c r="D91" s="73"/>
      <c r="E91" s="73"/>
      <c r="F91" s="73"/>
      <c r="G91" s="73"/>
      <c r="H91" s="73"/>
      <c r="I91" s="73"/>
      <c r="J91" s="73"/>
      <c r="K91" s="191"/>
      <c r="L91" s="191"/>
      <c r="M91" s="73"/>
      <c r="N91" s="2"/>
      <c r="O91" s="2"/>
      <c r="P91" s="2"/>
      <c r="Q91" s="2"/>
      <c r="R91" s="2"/>
    </row>
    <row r="92" spans="1:18" ht="15.75" x14ac:dyDescent="0.25">
      <c r="A92" s="75"/>
      <c r="B92" s="69"/>
      <c r="C92" s="73"/>
      <c r="D92" s="73"/>
      <c r="E92" s="73"/>
      <c r="F92" s="73"/>
      <c r="G92" s="73"/>
      <c r="H92" s="73"/>
      <c r="I92" s="73"/>
      <c r="J92" s="73"/>
      <c r="K92" s="191"/>
      <c r="L92" s="191"/>
      <c r="M92" s="74"/>
      <c r="N92" s="2"/>
      <c r="O92" s="2"/>
      <c r="P92" s="2"/>
      <c r="Q92" s="2"/>
      <c r="R92" s="2"/>
    </row>
    <row r="93" spans="1:18" ht="15.75" x14ac:dyDescent="0.25">
      <c r="A93" s="75"/>
      <c r="B93" s="69"/>
      <c r="C93" s="73"/>
      <c r="D93" s="73"/>
      <c r="E93" s="73"/>
      <c r="F93" s="73"/>
      <c r="G93" s="73"/>
      <c r="H93" s="73"/>
      <c r="I93" s="73"/>
      <c r="J93" s="73"/>
      <c r="K93" s="191"/>
      <c r="L93" s="191"/>
      <c r="M93" s="74"/>
      <c r="N93" s="2"/>
      <c r="O93" s="2"/>
      <c r="P93" s="2"/>
      <c r="Q93" s="2"/>
      <c r="R93" s="2"/>
    </row>
    <row r="94" spans="1:18" ht="15.75" x14ac:dyDescent="0.25">
      <c r="A94" s="75"/>
      <c r="B94" s="69"/>
      <c r="C94" s="73"/>
      <c r="D94" s="73"/>
      <c r="E94" s="73"/>
      <c r="F94" s="73"/>
      <c r="G94" s="73"/>
      <c r="H94" s="73"/>
      <c r="I94" s="73"/>
      <c r="J94" s="73"/>
      <c r="K94" s="191"/>
      <c r="L94" s="191"/>
      <c r="M94" s="74"/>
      <c r="N94" s="2"/>
      <c r="O94" s="2"/>
      <c r="P94" s="2"/>
      <c r="Q94" s="2"/>
      <c r="R94" s="2"/>
    </row>
    <row r="95" spans="1:18" x14ac:dyDescent="0.2">
      <c r="A95" s="2"/>
      <c r="B95" s="69"/>
      <c r="C95" s="73"/>
      <c r="D95" s="73"/>
      <c r="E95" s="73"/>
      <c r="F95" s="73"/>
      <c r="G95" s="73"/>
      <c r="H95" s="73"/>
      <c r="I95" s="73"/>
      <c r="J95" s="73"/>
      <c r="K95" s="191"/>
      <c r="L95" s="191"/>
      <c r="M95" s="74"/>
      <c r="N95" s="2"/>
      <c r="O95" s="2"/>
      <c r="P95" s="2"/>
      <c r="Q95" s="2"/>
      <c r="R95" s="2"/>
    </row>
    <row r="96" spans="1:18" ht="15.75" x14ac:dyDescent="0.25">
      <c r="A96" s="75"/>
      <c r="B96" s="72"/>
      <c r="C96" s="73"/>
      <c r="D96" s="73"/>
      <c r="E96" s="73"/>
      <c r="F96" s="73"/>
      <c r="G96" s="73"/>
      <c r="H96" s="73"/>
      <c r="I96" s="73"/>
      <c r="J96" s="73"/>
      <c r="K96" s="191"/>
      <c r="L96" s="191"/>
      <c r="M96" s="74"/>
      <c r="N96" s="2"/>
      <c r="O96" s="2"/>
      <c r="P96" s="2"/>
      <c r="Q96" s="2"/>
      <c r="R96" s="2"/>
    </row>
    <row r="97" spans="1:18" x14ac:dyDescent="0.2">
      <c r="A97" s="2"/>
      <c r="B97" s="72"/>
      <c r="C97" s="73"/>
      <c r="D97" s="73"/>
      <c r="E97" s="73"/>
      <c r="F97" s="73"/>
      <c r="G97" s="73"/>
      <c r="H97" s="73"/>
      <c r="I97" s="73"/>
      <c r="J97" s="73"/>
      <c r="K97" s="191"/>
      <c r="L97" s="191"/>
      <c r="M97" s="74"/>
      <c r="N97" s="2"/>
      <c r="O97" s="2"/>
      <c r="P97" s="2"/>
      <c r="Q97" s="2"/>
      <c r="R97" s="2"/>
    </row>
    <row r="98" spans="1:18" x14ac:dyDescent="0.2">
      <c r="A98" s="2"/>
      <c r="B98" s="72"/>
      <c r="C98" s="73"/>
      <c r="D98" s="73"/>
      <c r="E98" s="73"/>
      <c r="F98" s="73"/>
      <c r="G98" s="73"/>
      <c r="H98" s="73"/>
      <c r="I98" s="73"/>
      <c r="J98" s="73"/>
      <c r="K98" s="191"/>
      <c r="L98" s="191"/>
      <c r="M98" s="74"/>
      <c r="N98" s="2"/>
      <c r="O98" s="2"/>
      <c r="P98" s="2"/>
      <c r="Q98" s="2"/>
      <c r="R98" s="2"/>
    </row>
    <row r="99" spans="1:18" x14ac:dyDescent="0.2">
      <c r="A99" s="2"/>
      <c r="B99" s="76"/>
      <c r="C99" s="73"/>
      <c r="D99" s="73"/>
      <c r="E99" s="73"/>
      <c r="F99" s="73"/>
      <c r="G99" s="73"/>
      <c r="H99" s="73"/>
      <c r="I99" s="73"/>
      <c r="J99" s="73"/>
      <c r="K99" s="191"/>
      <c r="L99" s="191"/>
      <c r="M99" s="74"/>
      <c r="N99" s="2"/>
      <c r="O99" s="2"/>
      <c r="P99" s="2"/>
      <c r="Q99" s="2"/>
      <c r="R99" s="2"/>
    </row>
    <row r="100" spans="1:18" x14ac:dyDescent="0.2">
      <c r="A100" s="2"/>
      <c r="B100" s="76"/>
      <c r="C100" s="73"/>
      <c r="D100" s="73"/>
      <c r="E100" s="73"/>
      <c r="F100" s="73"/>
      <c r="G100" s="73"/>
      <c r="H100" s="73"/>
      <c r="I100" s="73"/>
      <c r="J100" s="73"/>
      <c r="K100" s="191"/>
      <c r="L100" s="191"/>
      <c r="M100" s="74"/>
      <c r="N100" s="2"/>
      <c r="O100" s="2"/>
      <c r="P100" s="2"/>
      <c r="Q100" s="2"/>
      <c r="R100" s="2"/>
    </row>
    <row r="101" spans="1:18" x14ac:dyDescent="0.2">
      <c r="A101" s="2"/>
      <c r="B101" s="76"/>
      <c r="C101" s="73"/>
      <c r="D101" s="73"/>
      <c r="E101" s="73"/>
      <c r="F101" s="73"/>
      <c r="G101" s="73"/>
      <c r="H101" s="73"/>
      <c r="I101" s="73"/>
      <c r="J101" s="73"/>
      <c r="K101" s="191"/>
      <c r="L101" s="191"/>
      <c r="M101" s="74"/>
      <c r="N101" s="2"/>
      <c r="O101" s="2"/>
      <c r="P101" s="2"/>
      <c r="Q101" s="2"/>
      <c r="R101" s="2"/>
    </row>
    <row r="102" spans="1:18" x14ac:dyDescent="0.2">
      <c r="A102" s="2"/>
      <c r="B102" s="76"/>
      <c r="C102" s="73"/>
      <c r="D102" s="73"/>
      <c r="E102" s="73"/>
      <c r="F102" s="73"/>
      <c r="G102" s="73"/>
      <c r="H102" s="73"/>
      <c r="I102" s="73"/>
      <c r="J102" s="73"/>
      <c r="K102" s="191"/>
      <c r="L102" s="191"/>
      <c r="M102" s="74"/>
      <c r="N102" s="2"/>
      <c r="O102" s="2"/>
      <c r="P102" s="2"/>
      <c r="Q102" s="2"/>
      <c r="R102" s="2"/>
    </row>
    <row r="103" spans="1:18" x14ac:dyDescent="0.2">
      <c r="A103" s="2"/>
      <c r="B103" s="76"/>
      <c r="C103" s="73"/>
      <c r="D103" s="73"/>
      <c r="E103" s="73"/>
      <c r="F103" s="73"/>
      <c r="G103" s="73"/>
      <c r="H103" s="73"/>
      <c r="I103" s="73"/>
      <c r="J103" s="73"/>
      <c r="K103" s="191"/>
      <c r="L103" s="191"/>
      <c r="M103" s="74"/>
      <c r="N103" s="2"/>
      <c r="O103" s="2"/>
      <c r="P103" s="2"/>
      <c r="Q103" s="2"/>
      <c r="R103" s="2"/>
    </row>
    <row r="104" spans="1:18" x14ac:dyDescent="0.2">
      <c r="A104" s="2"/>
      <c r="B104" s="76"/>
      <c r="C104" s="73"/>
      <c r="D104" s="73"/>
      <c r="E104" s="73"/>
      <c r="F104" s="73"/>
      <c r="G104" s="73"/>
      <c r="H104" s="73"/>
      <c r="I104" s="73"/>
      <c r="J104" s="73"/>
      <c r="K104" s="191"/>
      <c r="L104" s="191"/>
      <c r="M104" s="74"/>
      <c r="N104" s="2"/>
      <c r="O104" s="2"/>
      <c r="P104" s="2"/>
      <c r="Q104" s="2"/>
      <c r="R104" s="2"/>
    </row>
    <row r="105" spans="1:18" x14ac:dyDescent="0.2">
      <c r="A105" s="2"/>
      <c r="B105" s="76"/>
      <c r="C105" s="73"/>
      <c r="D105" s="73"/>
      <c r="E105" s="73"/>
      <c r="F105" s="73"/>
      <c r="G105" s="73"/>
      <c r="H105" s="73"/>
      <c r="I105" s="73"/>
      <c r="J105" s="73"/>
      <c r="K105" s="191"/>
      <c r="L105" s="191"/>
      <c r="M105" s="74"/>
      <c r="N105" s="2"/>
      <c r="O105" s="2"/>
      <c r="P105" s="2"/>
      <c r="Q105" s="2"/>
      <c r="R105" s="2"/>
    </row>
    <row r="106" spans="1:18" x14ac:dyDescent="0.2">
      <c r="A106" s="2"/>
      <c r="B106" s="76"/>
      <c r="C106" s="73"/>
      <c r="D106" s="73"/>
      <c r="E106" s="73"/>
      <c r="F106" s="73"/>
      <c r="G106" s="73"/>
      <c r="H106" s="73"/>
      <c r="I106" s="73"/>
      <c r="J106" s="73"/>
      <c r="K106" s="191"/>
      <c r="L106" s="191"/>
      <c r="M106" s="74"/>
      <c r="N106" s="2"/>
      <c r="O106" s="2"/>
      <c r="P106" s="2"/>
      <c r="Q106" s="2"/>
      <c r="R106" s="2"/>
    </row>
    <row r="107" spans="1:18" x14ac:dyDescent="0.2">
      <c r="A107" s="2"/>
      <c r="B107" s="76"/>
      <c r="C107" s="73"/>
      <c r="D107" s="73"/>
      <c r="E107" s="73"/>
      <c r="F107" s="73"/>
      <c r="G107" s="73"/>
      <c r="H107" s="73"/>
      <c r="I107" s="73"/>
      <c r="J107" s="73"/>
      <c r="K107" s="191"/>
      <c r="L107" s="191"/>
      <c r="M107" s="74"/>
      <c r="N107" s="2"/>
      <c r="O107" s="2"/>
      <c r="P107" s="2"/>
      <c r="Q107" s="2"/>
      <c r="R107" s="2"/>
    </row>
    <row r="108" spans="1:18" x14ac:dyDescent="0.2">
      <c r="A108" s="2"/>
      <c r="B108" s="2"/>
      <c r="C108" s="73"/>
      <c r="D108" s="73"/>
      <c r="E108" s="73"/>
      <c r="F108" s="73"/>
      <c r="G108" s="73"/>
      <c r="H108" s="73"/>
      <c r="I108" s="73"/>
      <c r="J108" s="73"/>
      <c r="K108" s="191"/>
      <c r="L108" s="191"/>
      <c r="M108" s="74"/>
      <c r="N108" s="2"/>
      <c r="O108" s="2"/>
      <c r="P108" s="2"/>
      <c r="Q108" s="2"/>
      <c r="R108" s="2"/>
    </row>
    <row r="109" spans="1:18" ht="15.75" x14ac:dyDescent="0.25">
      <c r="A109" s="75"/>
      <c r="B109" s="2"/>
      <c r="C109" s="73"/>
      <c r="D109" s="73"/>
      <c r="E109" s="73"/>
      <c r="F109" s="73"/>
      <c r="G109" s="73"/>
      <c r="H109" s="73"/>
      <c r="I109" s="73"/>
      <c r="J109" s="73"/>
      <c r="K109" s="191"/>
      <c r="L109" s="191"/>
      <c r="M109" s="74"/>
      <c r="N109" s="2"/>
      <c r="O109" s="2"/>
      <c r="P109" s="2"/>
      <c r="Q109" s="2"/>
      <c r="R109" s="2"/>
    </row>
    <row r="110" spans="1:18" x14ac:dyDescent="0.2">
      <c r="A110" s="2"/>
      <c r="B110" s="2"/>
      <c r="C110" s="73"/>
      <c r="D110" s="73"/>
      <c r="E110" s="73"/>
      <c r="F110" s="73"/>
      <c r="G110" s="73"/>
      <c r="H110" s="73"/>
      <c r="I110" s="73"/>
      <c r="J110" s="73"/>
      <c r="K110" s="191"/>
      <c r="L110" s="191"/>
      <c r="M110" s="74"/>
      <c r="N110" s="2"/>
      <c r="O110" s="2"/>
      <c r="P110" s="2"/>
      <c r="Q110" s="2"/>
      <c r="R110" s="2"/>
    </row>
    <row r="111" spans="1:18" x14ac:dyDescent="0.2">
      <c r="A111" s="2"/>
      <c r="B111" s="2"/>
      <c r="C111" s="73"/>
      <c r="D111" s="73"/>
      <c r="E111" s="73"/>
      <c r="F111" s="73"/>
      <c r="G111" s="73"/>
      <c r="H111" s="73"/>
      <c r="I111" s="73"/>
      <c r="J111" s="73"/>
      <c r="K111" s="191"/>
      <c r="L111" s="191"/>
      <c r="M111" s="74"/>
      <c r="N111" s="2"/>
      <c r="O111" s="2"/>
      <c r="P111" s="2"/>
      <c r="Q111" s="2"/>
      <c r="R111" s="2"/>
    </row>
    <row r="112" spans="1:18" ht="15.75" x14ac:dyDescent="0.25">
      <c r="A112" s="75"/>
      <c r="B112" s="2"/>
      <c r="C112" s="73"/>
      <c r="D112" s="73"/>
      <c r="E112" s="73"/>
      <c r="F112" s="73"/>
      <c r="G112" s="73"/>
      <c r="H112" s="73"/>
      <c r="I112" s="73"/>
      <c r="J112" s="73"/>
      <c r="K112" s="191"/>
      <c r="L112" s="191"/>
      <c r="M112" s="74"/>
      <c r="N112" s="2"/>
      <c r="O112" s="2"/>
      <c r="P112" s="2"/>
      <c r="Q112" s="2"/>
      <c r="R112" s="2"/>
    </row>
    <row r="113" spans="1:18" ht="15.75" x14ac:dyDescent="0.25">
      <c r="A113" s="75"/>
      <c r="B113" s="2"/>
      <c r="C113" s="73"/>
      <c r="D113" s="73"/>
      <c r="E113" s="73"/>
      <c r="F113" s="73"/>
      <c r="G113" s="73"/>
      <c r="H113" s="73"/>
      <c r="I113" s="73"/>
      <c r="J113" s="73"/>
      <c r="K113" s="191"/>
      <c r="L113" s="191"/>
      <c r="M113" s="74"/>
      <c r="N113" s="2"/>
      <c r="O113" s="2"/>
      <c r="P113" s="2"/>
      <c r="Q113" s="2"/>
      <c r="R113" s="2"/>
    </row>
    <row r="114" spans="1:18" ht="15.75" x14ac:dyDescent="0.25">
      <c r="A114" s="75"/>
      <c r="B114" s="76"/>
      <c r="C114" s="73"/>
      <c r="D114" s="73"/>
      <c r="E114" s="73"/>
      <c r="F114" s="73"/>
      <c r="G114" s="73"/>
      <c r="H114" s="73"/>
      <c r="I114" s="73"/>
      <c r="J114" s="73"/>
      <c r="K114" s="191"/>
      <c r="L114" s="191"/>
      <c r="M114" s="74"/>
      <c r="N114" s="2"/>
      <c r="O114" s="2"/>
      <c r="P114" s="2"/>
      <c r="Q114" s="2"/>
      <c r="R114" s="2"/>
    </row>
    <row r="115" spans="1:18" x14ac:dyDescent="0.2">
      <c r="A115" s="2"/>
      <c r="B115" s="76"/>
      <c r="C115" s="73"/>
      <c r="D115" s="73"/>
      <c r="E115" s="73"/>
      <c r="F115" s="73"/>
      <c r="G115" s="73"/>
      <c r="H115" s="73"/>
      <c r="I115" s="73"/>
      <c r="J115" s="73"/>
      <c r="K115" s="191"/>
      <c r="L115" s="191"/>
      <c r="M115" s="74"/>
      <c r="N115" s="2"/>
      <c r="O115" s="2"/>
      <c r="P115" s="2"/>
      <c r="Q115" s="2"/>
      <c r="R115" s="2"/>
    </row>
    <row r="116" spans="1:18" x14ac:dyDescent="0.2">
      <c r="A116" s="2"/>
      <c r="B116" s="76"/>
      <c r="C116" s="73"/>
      <c r="D116" s="73"/>
      <c r="E116" s="73"/>
      <c r="F116" s="73"/>
      <c r="G116" s="73"/>
      <c r="H116" s="73"/>
      <c r="I116" s="73"/>
      <c r="J116" s="73"/>
      <c r="K116" s="191"/>
      <c r="L116" s="191"/>
      <c r="M116" s="74"/>
      <c r="N116" s="2"/>
      <c r="O116" s="2"/>
      <c r="P116" s="2"/>
      <c r="Q116" s="2"/>
      <c r="R116" s="2"/>
    </row>
    <row r="117" spans="1:18" x14ac:dyDescent="0.2">
      <c r="A117" s="2"/>
      <c r="B117" s="76"/>
      <c r="C117" s="73"/>
      <c r="D117" s="73"/>
      <c r="E117" s="73"/>
      <c r="F117" s="73"/>
      <c r="G117" s="73"/>
      <c r="H117" s="73"/>
      <c r="I117" s="73"/>
      <c r="J117" s="73"/>
      <c r="K117" s="191"/>
      <c r="L117" s="191"/>
      <c r="M117" s="74"/>
      <c r="N117" s="2"/>
      <c r="O117" s="2"/>
      <c r="P117" s="2"/>
      <c r="Q117" s="2"/>
      <c r="R117" s="2"/>
    </row>
    <row r="118" spans="1:18" x14ac:dyDescent="0.2">
      <c r="A118" s="2"/>
      <c r="B118" s="76"/>
      <c r="C118" s="73"/>
      <c r="D118" s="73"/>
      <c r="E118" s="73"/>
      <c r="F118" s="73"/>
      <c r="G118" s="73"/>
      <c r="H118" s="73"/>
      <c r="I118" s="73"/>
      <c r="J118" s="73"/>
      <c r="K118" s="191"/>
      <c r="L118" s="191"/>
      <c r="M118" s="74"/>
      <c r="N118" s="2"/>
      <c r="O118" s="2"/>
      <c r="P118" s="2"/>
      <c r="Q118" s="2"/>
      <c r="R118" s="2"/>
    </row>
    <row r="119" spans="1:18" x14ac:dyDescent="0.2">
      <c r="A119" s="2"/>
      <c r="B119" s="76"/>
      <c r="C119" s="73"/>
      <c r="D119" s="73"/>
      <c r="E119" s="73"/>
      <c r="F119" s="73"/>
      <c r="G119" s="73"/>
      <c r="H119" s="73"/>
      <c r="I119" s="73"/>
      <c r="J119" s="73"/>
      <c r="K119" s="191"/>
      <c r="L119" s="191"/>
      <c r="M119" s="74"/>
      <c r="N119" s="2"/>
      <c r="O119" s="2"/>
      <c r="P119" s="2"/>
      <c r="Q119" s="2"/>
      <c r="R119" s="2"/>
    </row>
    <row r="120" spans="1:18" x14ac:dyDescent="0.2">
      <c r="A120" s="2"/>
      <c r="B120" s="76"/>
      <c r="C120" s="73"/>
      <c r="D120" s="73"/>
      <c r="E120" s="73"/>
      <c r="F120" s="73"/>
      <c r="G120" s="73"/>
      <c r="H120" s="73"/>
      <c r="I120" s="73"/>
      <c r="J120" s="73"/>
      <c r="K120" s="191"/>
      <c r="L120" s="191"/>
      <c r="M120" s="74"/>
      <c r="N120" s="2"/>
      <c r="O120" s="2"/>
      <c r="P120" s="2"/>
      <c r="Q120" s="2"/>
      <c r="R120" s="2"/>
    </row>
    <row r="121" spans="1:18" x14ac:dyDescent="0.2">
      <c r="A121" s="2"/>
      <c r="B121" s="76"/>
      <c r="C121" s="73"/>
      <c r="D121" s="73"/>
      <c r="E121" s="73"/>
      <c r="F121" s="73"/>
      <c r="G121" s="73"/>
      <c r="H121" s="73"/>
      <c r="I121" s="73"/>
      <c r="J121" s="73"/>
      <c r="K121" s="191"/>
      <c r="L121" s="191"/>
      <c r="M121" s="74"/>
      <c r="N121" s="2"/>
      <c r="O121" s="2"/>
      <c r="P121" s="2"/>
      <c r="Q121" s="2"/>
      <c r="R121" s="2"/>
    </row>
    <row r="122" spans="1:18" x14ac:dyDescent="0.2">
      <c r="A122" s="2"/>
      <c r="B122" s="76"/>
      <c r="C122" s="73"/>
      <c r="D122" s="73"/>
      <c r="E122" s="73"/>
      <c r="F122" s="73"/>
      <c r="G122" s="73"/>
      <c r="H122" s="73"/>
      <c r="I122" s="73"/>
      <c r="J122" s="73"/>
      <c r="K122" s="191"/>
      <c r="L122" s="191"/>
      <c r="M122" s="74"/>
      <c r="N122" s="2"/>
      <c r="O122" s="2"/>
      <c r="P122" s="2"/>
      <c r="Q122" s="2"/>
      <c r="R122" s="2"/>
    </row>
    <row r="123" spans="1:18" x14ac:dyDescent="0.2">
      <c r="A123" s="2"/>
      <c r="B123" s="76"/>
      <c r="C123" s="73"/>
      <c r="D123" s="73"/>
      <c r="E123" s="73"/>
      <c r="F123" s="73"/>
      <c r="G123" s="73"/>
      <c r="H123" s="73"/>
      <c r="I123" s="73"/>
      <c r="J123" s="73"/>
      <c r="K123" s="191"/>
      <c r="L123" s="191"/>
      <c r="M123" s="74"/>
      <c r="N123" s="2"/>
      <c r="O123" s="2"/>
      <c r="P123" s="2"/>
      <c r="Q123" s="2"/>
      <c r="R123" s="2"/>
    </row>
    <row r="124" spans="1:18" x14ac:dyDescent="0.2">
      <c r="A124" s="2"/>
      <c r="B124" s="76"/>
      <c r="C124" s="73"/>
      <c r="D124" s="73"/>
      <c r="E124" s="73"/>
      <c r="F124" s="73"/>
      <c r="G124" s="73"/>
      <c r="H124" s="73"/>
      <c r="I124" s="73"/>
      <c r="J124" s="73"/>
      <c r="K124" s="191"/>
      <c r="L124" s="191"/>
      <c r="M124" s="74"/>
      <c r="N124" s="2"/>
      <c r="O124" s="2"/>
      <c r="P124" s="2"/>
      <c r="Q124" s="2"/>
      <c r="R124" s="2"/>
    </row>
    <row r="125" spans="1:18" x14ac:dyDescent="0.2">
      <c r="A125" s="2"/>
      <c r="B125" s="76"/>
      <c r="C125" s="73"/>
      <c r="D125" s="73"/>
      <c r="E125" s="73"/>
      <c r="F125" s="73"/>
      <c r="G125" s="73"/>
      <c r="H125" s="73"/>
      <c r="I125" s="73"/>
      <c r="J125" s="73"/>
      <c r="K125" s="191"/>
      <c r="L125" s="191"/>
      <c r="M125" s="74"/>
      <c r="N125" s="2"/>
      <c r="O125" s="2"/>
      <c r="P125" s="2"/>
      <c r="Q125" s="2"/>
      <c r="R125" s="2"/>
    </row>
    <row r="126" spans="1:18" x14ac:dyDescent="0.2">
      <c r="A126" s="2"/>
      <c r="B126" s="2"/>
      <c r="C126" s="73"/>
      <c r="D126" s="73"/>
      <c r="E126" s="73"/>
      <c r="F126" s="73"/>
      <c r="G126" s="73"/>
      <c r="H126" s="73"/>
      <c r="I126" s="73"/>
      <c r="J126" s="73"/>
      <c r="K126" s="191"/>
      <c r="L126" s="191"/>
      <c r="M126" s="74"/>
      <c r="N126" s="2"/>
      <c r="O126" s="2"/>
      <c r="P126" s="2"/>
      <c r="Q126" s="2"/>
      <c r="R126" s="2"/>
    </row>
    <row r="127" spans="1:18" ht="15.75" x14ac:dyDescent="0.25">
      <c r="A127" s="75"/>
      <c r="B127" s="2"/>
      <c r="C127" s="73"/>
      <c r="D127" s="73"/>
      <c r="E127" s="73"/>
      <c r="F127" s="73"/>
      <c r="G127" s="73"/>
      <c r="H127" s="73"/>
      <c r="I127" s="73"/>
      <c r="J127" s="73"/>
      <c r="K127" s="191"/>
      <c r="L127" s="191"/>
      <c r="M127" s="74"/>
      <c r="N127" s="2"/>
      <c r="O127" s="2"/>
      <c r="P127" s="2"/>
      <c r="Q127" s="2"/>
      <c r="R127" s="2"/>
    </row>
    <row r="128" spans="1:18" x14ac:dyDescent="0.2">
      <c r="A128" s="2"/>
      <c r="B128" s="2"/>
      <c r="C128" s="73"/>
      <c r="D128" s="73"/>
      <c r="E128" s="73"/>
      <c r="F128" s="73"/>
      <c r="G128" s="73"/>
      <c r="H128" s="73"/>
      <c r="I128" s="73"/>
      <c r="J128" s="73"/>
      <c r="K128" s="191"/>
      <c r="L128" s="191"/>
      <c r="M128" s="74"/>
      <c r="N128" s="2"/>
      <c r="O128" s="2"/>
      <c r="P128" s="2"/>
      <c r="Q128" s="2"/>
      <c r="R128" s="2"/>
    </row>
    <row r="129" spans="1:18" x14ac:dyDescent="0.2">
      <c r="A129" s="2"/>
      <c r="B129" s="2"/>
      <c r="C129" s="73"/>
      <c r="D129" s="73"/>
      <c r="E129" s="73"/>
      <c r="F129" s="73"/>
      <c r="G129" s="73"/>
      <c r="H129" s="73"/>
      <c r="I129" s="73"/>
      <c r="J129" s="73"/>
      <c r="K129" s="191"/>
      <c r="L129" s="191"/>
      <c r="M129" s="74"/>
      <c r="N129" s="2"/>
      <c r="O129" s="2"/>
      <c r="P129" s="2"/>
      <c r="Q129" s="2"/>
      <c r="R129" s="2"/>
    </row>
    <row r="130" spans="1:18" ht="15.75" x14ac:dyDescent="0.25">
      <c r="A130" s="75"/>
      <c r="B130" s="76"/>
      <c r="C130" s="73"/>
      <c r="D130" s="73"/>
      <c r="E130" s="73"/>
      <c r="F130" s="73"/>
      <c r="G130" s="73"/>
      <c r="H130" s="73"/>
      <c r="I130" s="73"/>
      <c r="J130" s="73"/>
      <c r="K130" s="191"/>
      <c r="L130" s="191"/>
      <c r="M130" s="74"/>
      <c r="N130" s="2"/>
      <c r="O130" s="2"/>
      <c r="P130" s="2"/>
      <c r="Q130" s="2"/>
      <c r="R130" s="2"/>
    </row>
    <row r="131" spans="1:18" x14ac:dyDescent="0.2">
      <c r="A131" s="2"/>
      <c r="B131" s="76"/>
      <c r="C131" s="73"/>
      <c r="D131" s="73"/>
      <c r="E131" s="73"/>
      <c r="F131" s="73"/>
      <c r="G131" s="73"/>
      <c r="H131" s="73"/>
      <c r="I131" s="73"/>
      <c r="J131" s="73"/>
      <c r="K131" s="191"/>
      <c r="L131" s="191"/>
      <c r="M131" s="74"/>
      <c r="N131" s="2"/>
      <c r="O131" s="2"/>
      <c r="P131" s="2"/>
      <c r="Q131" s="2"/>
      <c r="R131" s="2"/>
    </row>
    <row r="132" spans="1:18" x14ac:dyDescent="0.2">
      <c r="A132" s="2"/>
      <c r="B132" s="76"/>
      <c r="C132" s="73"/>
      <c r="D132" s="73"/>
      <c r="E132" s="73"/>
      <c r="F132" s="73"/>
      <c r="G132" s="73"/>
      <c r="H132" s="73"/>
      <c r="I132" s="73"/>
      <c r="J132" s="73"/>
      <c r="K132" s="191"/>
      <c r="L132" s="191"/>
      <c r="M132" s="74"/>
      <c r="N132" s="2"/>
      <c r="O132" s="2"/>
      <c r="P132" s="2"/>
      <c r="Q132" s="2"/>
      <c r="R132" s="2"/>
    </row>
    <row r="133" spans="1:18" x14ac:dyDescent="0.2">
      <c r="A133" s="2"/>
      <c r="B133" s="2"/>
      <c r="C133" s="73"/>
      <c r="D133" s="73"/>
      <c r="E133" s="73"/>
      <c r="F133" s="73"/>
      <c r="G133" s="73"/>
      <c r="H133" s="73"/>
      <c r="I133" s="73"/>
      <c r="J133" s="73"/>
      <c r="K133" s="191"/>
      <c r="L133" s="191"/>
      <c r="M133" s="74"/>
      <c r="N133" s="2"/>
      <c r="O133" s="2"/>
      <c r="P133" s="2"/>
      <c r="Q133" s="2"/>
      <c r="R133" s="2"/>
    </row>
    <row r="134" spans="1:18" x14ac:dyDescent="0.2">
      <c r="A134" s="2"/>
      <c r="B134" s="2"/>
      <c r="C134" s="73"/>
      <c r="D134" s="73"/>
      <c r="E134" s="73"/>
      <c r="F134" s="73"/>
      <c r="G134" s="73"/>
      <c r="H134" s="73"/>
      <c r="I134" s="73"/>
      <c r="J134" s="73"/>
      <c r="K134" s="191"/>
      <c r="L134" s="191"/>
      <c r="M134" s="74"/>
      <c r="N134" s="2"/>
      <c r="O134" s="2"/>
      <c r="P134" s="2"/>
      <c r="Q134" s="2"/>
      <c r="R134" s="2"/>
    </row>
    <row r="135" spans="1:18" x14ac:dyDescent="0.2">
      <c r="A135" s="2"/>
      <c r="B135" s="2"/>
      <c r="C135" s="73"/>
      <c r="D135" s="73"/>
      <c r="E135" s="73"/>
      <c r="F135" s="73"/>
      <c r="G135" s="73"/>
      <c r="H135" s="73"/>
      <c r="I135" s="73"/>
      <c r="J135" s="73"/>
      <c r="K135" s="191"/>
      <c r="L135" s="191"/>
      <c r="M135" s="74"/>
      <c r="N135" s="2"/>
      <c r="O135" s="2"/>
      <c r="P135" s="2"/>
      <c r="Q135" s="2"/>
      <c r="R135" s="2"/>
    </row>
    <row r="136" spans="1:18" ht="15.75" x14ac:dyDescent="0.25">
      <c r="A136" s="75"/>
      <c r="B136" s="2"/>
      <c r="C136" s="73"/>
      <c r="D136" s="73"/>
      <c r="E136" s="73"/>
      <c r="F136" s="73"/>
      <c r="G136" s="73"/>
      <c r="H136" s="73"/>
      <c r="I136" s="73"/>
      <c r="J136" s="73"/>
      <c r="K136" s="191"/>
      <c r="L136" s="191"/>
      <c r="M136" s="74"/>
      <c r="N136" s="2"/>
      <c r="O136" s="2"/>
      <c r="P136" s="2"/>
      <c r="Q136" s="2"/>
      <c r="R136" s="2"/>
    </row>
    <row r="137" spans="1:18" x14ac:dyDescent="0.2">
      <c r="A137" s="2"/>
      <c r="B137" s="2"/>
      <c r="C137" s="73"/>
      <c r="D137" s="73"/>
      <c r="E137" s="73"/>
      <c r="F137" s="73"/>
      <c r="G137" s="73"/>
      <c r="H137" s="73"/>
      <c r="I137" s="73"/>
      <c r="J137" s="73"/>
      <c r="K137" s="191"/>
      <c r="L137" s="191"/>
      <c r="M137" s="74"/>
      <c r="N137" s="2"/>
      <c r="O137" s="2"/>
      <c r="P137" s="2"/>
      <c r="Q137" s="2"/>
      <c r="R137" s="2"/>
    </row>
    <row r="138" spans="1:18" x14ac:dyDescent="0.2">
      <c r="A138" s="2"/>
      <c r="B138" s="2"/>
      <c r="C138" s="73"/>
      <c r="D138" s="73"/>
      <c r="E138" s="73"/>
      <c r="F138" s="73"/>
      <c r="G138" s="73"/>
      <c r="H138" s="73"/>
      <c r="I138" s="73"/>
      <c r="J138" s="73"/>
      <c r="K138" s="191"/>
      <c r="L138" s="191"/>
      <c r="M138" s="74"/>
      <c r="N138" s="2"/>
      <c r="O138" s="2"/>
      <c r="P138" s="2"/>
      <c r="Q138" s="2"/>
      <c r="R138" s="2"/>
    </row>
    <row r="139" spans="1:18" ht="15.75" x14ac:dyDescent="0.25">
      <c r="A139" s="75"/>
      <c r="B139" s="75"/>
      <c r="C139" s="73"/>
      <c r="D139" s="73"/>
      <c r="E139" s="73"/>
      <c r="F139" s="73"/>
      <c r="G139" s="73"/>
      <c r="H139" s="73"/>
      <c r="I139" s="73"/>
      <c r="J139" s="73"/>
      <c r="K139" s="191"/>
      <c r="L139" s="191"/>
      <c r="M139" s="74"/>
      <c r="N139" s="2"/>
      <c r="O139" s="2"/>
      <c r="P139" s="2"/>
      <c r="Q139" s="2"/>
      <c r="R139" s="2"/>
    </row>
    <row r="140" spans="1:18" x14ac:dyDescent="0.2">
      <c r="A140" s="2"/>
      <c r="B140" s="2"/>
      <c r="C140" s="73"/>
      <c r="D140" s="73"/>
      <c r="E140" s="73"/>
      <c r="F140" s="73"/>
      <c r="G140" s="73"/>
      <c r="H140" s="73"/>
      <c r="I140" s="73"/>
      <c r="J140" s="73"/>
      <c r="K140" s="191"/>
      <c r="L140" s="191"/>
      <c r="M140" s="74"/>
      <c r="N140" s="2"/>
      <c r="O140" s="2"/>
      <c r="P140" s="2"/>
      <c r="Q140" s="2"/>
      <c r="R140" s="2"/>
    </row>
    <row r="141" spans="1:18" x14ac:dyDescent="0.2">
      <c r="A141" s="2"/>
      <c r="B141" s="2"/>
      <c r="C141" s="73"/>
      <c r="D141" s="73"/>
      <c r="E141" s="73"/>
      <c r="F141" s="73"/>
      <c r="G141" s="73"/>
      <c r="H141" s="73"/>
      <c r="I141" s="73"/>
      <c r="J141" s="73"/>
      <c r="K141" s="191"/>
      <c r="L141" s="191"/>
      <c r="M141" s="74"/>
      <c r="N141" s="2"/>
      <c r="O141" s="2"/>
      <c r="P141" s="2"/>
      <c r="Q141" s="2"/>
      <c r="R141" s="2"/>
    </row>
    <row r="142" spans="1:18" x14ac:dyDescent="0.2">
      <c r="A142" s="2"/>
      <c r="B142" s="2"/>
      <c r="C142" s="73"/>
      <c r="D142" s="73"/>
      <c r="E142" s="73"/>
      <c r="F142" s="73"/>
      <c r="G142" s="73"/>
      <c r="H142" s="73"/>
      <c r="I142" s="73"/>
      <c r="J142" s="73"/>
      <c r="K142" s="191"/>
      <c r="L142" s="191"/>
      <c r="M142" s="74"/>
      <c r="N142" s="2"/>
      <c r="O142" s="2"/>
      <c r="P142" s="2"/>
      <c r="Q142" s="2"/>
      <c r="R142" s="2"/>
    </row>
    <row r="143" spans="1:18" x14ac:dyDescent="0.2">
      <c r="A143" s="2"/>
      <c r="B143" s="2"/>
      <c r="C143" s="73"/>
      <c r="D143" s="73"/>
      <c r="E143" s="73"/>
      <c r="F143" s="73"/>
      <c r="G143" s="73"/>
      <c r="H143" s="73"/>
      <c r="I143" s="73"/>
      <c r="J143" s="73"/>
      <c r="K143" s="191"/>
      <c r="L143" s="191"/>
      <c r="M143" s="74"/>
      <c r="N143" s="2"/>
      <c r="O143" s="2"/>
      <c r="P143" s="2"/>
      <c r="Q143" s="2"/>
      <c r="R143" s="2"/>
    </row>
    <row r="144" spans="1:18" x14ac:dyDescent="0.2">
      <c r="A144" s="2"/>
      <c r="B144" s="2"/>
      <c r="C144" s="73"/>
      <c r="D144" s="73"/>
      <c r="E144" s="73"/>
      <c r="F144" s="73"/>
      <c r="G144" s="73"/>
      <c r="H144" s="73"/>
      <c r="I144" s="73"/>
      <c r="J144" s="73"/>
      <c r="K144" s="191"/>
      <c r="L144" s="191"/>
      <c r="M144" s="74"/>
      <c r="N144" s="2"/>
      <c r="O144" s="2"/>
      <c r="P144" s="2"/>
      <c r="Q144" s="2"/>
      <c r="R144" s="2"/>
    </row>
    <row r="145" spans="1:18" x14ac:dyDescent="0.2">
      <c r="A145" s="2"/>
      <c r="B145" s="2"/>
      <c r="C145" s="73"/>
      <c r="D145" s="73"/>
      <c r="E145" s="73"/>
      <c r="F145" s="73"/>
      <c r="G145" s="73"/>
      <c r="H145" s="73"/>
      <c r="I145" s="73"/>
      <c r="J145" s="73"/>
      <c r="K145" s="191"/>
      <c r="L145" s="191"/>
      <c r="M145" s="74"/>
      <c r="N145" s="2"/>
      <c r="O145" s="2"/>
      <c r="P145" s="2"/>
      <c r="Q145" s="2"/>
      <c r="R145" s="2"/>
    </row>
    <row r="146" spans="1:18" x14ac:dyDescent="0.2">
      <c r="A146" s="2"/>
      <c r="B146" s="2"/>
      <c r="C146" s="73"/>
      <c r="D146" s="73"/>
      <c r="E146" s="73"/>
      <c r="F146" s="73"/>
      <c r="G146" s="73"/>
      <c r="H146" s="73"/>
      <c r="I146" s="73"/>
      <c r="J146" s="73"/>
      <c r="K146" s="191"/>
      <c r="L146" s="191"/>
      <c r="M146" s="74"/>
      <c r="N146" s="2"/>
      <c r="O146" s="2"/>
      <c r="P146" s="2"/>
      <c r="Q146" s="2"/>
      <c r="R146" s="2"/>
    </row>
    <row r="147" spans="1:18" x14ac:dyDescent="0.2">
      <c r="A147" s="2"/>
      <c r="B147" s="2"/>
      <c r="C147" s="73"/>
      <c r="D147" s="73"/>
      <c r="E147" s="73"/>
      <c r="F147" s="73"/>
      <c r="G147" s="73"/>
      <c r="H147" s="73"/>
      <c r="I147" s="73"/>
      <c r="J147" s="73"/>
      <c r="K147" s="191"/>
      <c r="L147" s="191"/>
      <c r="M147" s="74"/>
      <c r="N147" s="2"/>
      <c r="O147" s="2"/>
      <c r="P147" s="2"/>
      <c r="Q147" s="2"/>
      <c r="R147" s="2"/>
    </row>
    <row r="148" spans="1:18" x14ac:dyDescent="0.2">
      <c r="A148" s="2"/>
      <c r="B148" s="2"/>
      <c r="C148" s="73"/>
      <c r="D148" s="73"/>
      <c r="E148" s="73"/>
      <c r="F148" s="73"/>
      <c r="G148" s="73"/>
      <c r="H148" s="73"/>
      <c r="I148" s="73"/>
      <c r="J148" s="73"/>
      <c r="K148" s="191"/>
      <c r="L148" s="191"/>
      <c r="M148" s="74"/>
      <c r="N148" s="2"/>
      <c r="O148" s="2"/>
      <c r="P148" s="2"/>
      <c r="Q148" s="2"/>
      <c r="R148" s="2"/>
    </row>
    <row r="149" spans="1:18" x14ac:dyDescent="0.2">
      <c r="A149" s="2"/>
      <c r="B149" s="2"/>
      <c r="C149" s="73"/>
      <c r="D149" s="73"/>
      <c r="E149" s="73"/>
      <c r="F149" s="73"/>
      <c r="G149" s="73"/>
      <c r="H149" s="73"/>
      <c r="I149" s="73"/>
      <c r="J149" s="73"/>
      <c r="K149" s="191"/>
      <c r="L149" s="191"/>
      <c r="M149" s="74"/>
      <c r="N149" s="2"/>
      <c r="O149" s="2"/>
      <c r="P149" s="2"/>
      <c r="Q149" s="2"/>
      <c r="R149" s="2"/>
    </row>
    <row r="150" spans="1:18" x14ac:dyDescent="0.2">
      <c r="A150" s="2"/>
      <c r="B150" s="2"/>
      <c r="C150" s="73"/>
      <c r="D150" s="73"/>
      <c r="E150" s="73"/>
      <c r="F150" s="73"/>
      <c r="G150" s="73"/>
      <c r="H150" s="73"/>
      <c r="I150" s="73"/>
      <c r="J150" s="73"/>
      <c r="K150" s="191"/>
      <c r="L150" s="191"/>
      <c r="M150" s="74"/>
      <c r="N150" s="2"/>
      <c r="O150" s="2"/>
      <c r="P150" s="2"/>
      <c r="Q150" s="2"/>
      <c r="R150" s="2"/>
    </row>
    <row r="151" spans="1:18" x14ac:dyDescent="0.2">
      <c r="A151" s="2"/>
      <c r="B151" s="2"/>
      <c r="C151" s="73"/>
      <c r="D151" s="73"/>
      <c r="E151" s="73"/>
      <c r="F151" s="73"/>
      <c r="G151" s="73"/>
      <c r="H151" s="73"/>
      <c r="I151" s="73"/>
      <c r="J151" s="73"/>
      <c r="K151" s="191"/>
      <c r="L151" s="191"/>
      <c r="M151" s="74"/>
      <c r="N151" s="2"/>
      <c r="O151" s="2"/>
      <c r="P151" s="2"/>
      <c r="Q151" s="2"/>
      <c r="R151" s="2"/>
    </row>
    <row r="152" spans="1:18" x14ac:dyDescent="0.2">
      <c r="A152" s="2"/>
      <c r="B152" s="2"/>
      <c r="C152" s="73"/>
      <c r="D152" s="73"/>
      <c r="E152" s="73"/>
      <c r="F152" s="73"/>
      <c r="G152" s="73"/>
      <c r="H152" s="73"/>
      <c r="I152" s="73"/>
      <c r="J152" s="73"/>
      <c r="K152" s="191"/>
      <c r="L152" s="191"/>
      <c r="M152" s="74"/>
      <c r="N152" s="2"/>
      <c r="O152" s="2"/>
      <c r="P152" s="2"/>
      <c r="Q152" s="2"/>
      <c r="R152" s="2"/>
    </row>
    <row r="153" spans="1:18" x14ac:dyDescent="0.2">
      <c r="A153" s="2"/>
      <c r="B153" s="2"/>
      <c r="C153" s="73"/>
      <c r="D153" s="73"/>
      <c r="E153" s="73"/>
      <c r="F153" s="73"/>
      <c r="G153" s="73"/>
      <c r="H153" s="73"/>
      <c r="I153" s="73"/>
      <c r="J153" s="73"/>
      <c r="K153" s="191"/>
      <c r="L153" s="191"/>
      <c r="M153" s="74"/>
      <c r="N153" s="2"/>
      <c r="O153" s="2"/>
      <c r="P153" s="2"/>
      <c r="Q153" s="2"/>
      <c r="R153" s="2"/>
    </row>
    <row r="154" spans="1:18" x14ac:dyDescent="0.2">
      <c r="A154" s="2"/>
      <c r="B154" s="2"/>
      <c r="C154" s="73"/>
      <c r="D154" s="73"/>
      <c r="E154" s="73"/>
      <c r="F154" s="73"/>
      <c r="G154" s="73"/>
      <c r="H154" s="73"/>
      <c r="I154" s="73"/>
      <c r="J154" s="73"/>
      <c r="K154" s="191"/>
      <c r="L154" s="191"/>
      <c r="M154" s="74"/>
      <c r="N154" s="2"/>
      <c r="O154" s="2"/>
      <c r="P154" s="2"/>
      <c r="Q154" s="2"/>
      <c r="R154" s="2"/>
    </row>
    <row r="155" spans="1:18" x14ac:dyDescent="0.2">
      <c r="A155" s="2"/>
      <c r="B155" s="2"/>
      <c r="C155" s="73"/>
      <c r="D155" s="73"/>
      <c r="E155" s="73"/>
      <c r="F155" s="73"/>
      <c r="G155" s="73"/>
      <c r="H155" s="73"/>
      <c r="I155" s="73"/>
      <c r="J155" s="73"/>
      <c r="K155" s="191"/>
      <c r="L155" s="191"/>
      <c r="M155" s="74"/>
      <c r="N155" s="2"/>
      <c r="O155" s="2"/>
      <c r="P155" s="2"/>
      <c r="Q155" s="2"/>
      <c r="R155" s="2"/>
    </row>
    <row r="156" spans="1:18" x14ac:dyDescent="0.2">
      <c r="A156" s="2"/>
      <c r="B156" s="2"/>
      <c r="C156" s="73"/>
      <c r="D156" s="73"/>
      <c r="E156" s="73"/>
      <c r="F156" s="73"/>
      <c r="G156" s="73"/>
      <c r="H156" s="73"/>
      <c r="I156" s="73"/>
      <c r="J156" s="73"/>
      <c r="K156" s="191"/>
      <c r="L156" s="191"/>
      <c r="M156" s="74"/>
      <c r="N156" s="2"/>
      <c r="O156" s="2"/>
      <c r="P156" s="2"/>
      <c r="Q156" s="2"/>
      <c r="R156" s="2"/>
    </row>
    <row r="157" spans="1:18" x14ac:dyDescent="0.2">
      <c r="A157" s="2"/>
      <c r="B157" s="2"/>
      <c r="C157" s="73"/>
      <c r="D157" s="73"/>
      <c r="E157" s="73"/>
      <c r="F157" s="73"/>
      <c r="G157" s="73"/>
      <c r="H157" s="73"/>
      <c r="I157" s="73"/>
      <c r="J157" s="73"/>
      <c r="K157" s="191"/>
      <c r="L157" s="191"/>
      <c r="M157" s="74"/>
      <c r="N157" s="2"/>
      <c r="O157" s="2"/>
      <c r="P157" s="2"/>
      <c r="Q157" s="2"/>
      <c r="R157" s="2"/>
    </row>
    <row r="158" spans="1:18" x14ac:dyDescent="0.2">
      <c r="A158" s="2"/>
      <c r="B158" s="2"/>
      <c r="C158" s="73"/>
      <c r="D158" s="73"/>
      <c r="E158" s="73"/>
      <c r="F158" s="73"/>
      <c r="G158" s="73"/>
      <c r="H158" s="73"/>
      <c r="I158" s="73"/>
      <c r="J158" s="73"/>
      <c r="K158" s="191"/>
      <c r="L158" s="191"/>
      <c r="M158" s="74"/>
      <c r="N158" s="2"/>
      <c r="O158" s="2"/>
      <c r="P158" s="2"/>
      <c r="Q158" s="2"/>
      <c r="R158" s="2"/>
    </row>
    <row r="159" spans="1:18" x14ac:dyDescent="0.2">
      <c r="A159" s="2"/>
      <c r="B159" s="2"/>
      <c r="C159" s="73"/>
      <c r="D159" s="73"/>
      <c r="E159" s="73"/>
      <c r="F159" s="73"/>
      <c r="G159" s="73"/>
      <c r="H159" s="73"/>
      <c r="I159" s="73"/>
      <c r="J159" s="73"/>
      <c r="K159" s="191"/>
      <c r="L159" s="191"/>
      <c r="M159" s="74"/>
      <c r="N159" s="2"/>
      <c r="O159" s="2"/>
      <c r="P159" s="2"/>
      <c r="Q159" s="2"/>
      <c r="R159" s="2"/>
    </row>
    <row r="160" spans="1:18" x14ac:dyDescent="0.2">
      <c r="A160" s="2"/>
      <c r="B160" s="2"/>
      <c r="C160" s="73"/>
      <c r="D160" s="73"/>
      <c r="E160" s="73"/>
      <c r="F160" s="73"/>
      <c r="G160" s="73"/>
      <c r="H160" s="73"/>
      <c r="I160" s="73"/>
      <c r="J160" s="73"/>
      <c r="K160" s="191"/>
      <c r="L160" s="191"/>
      <c r="M160" s="74"/>
      <c r="N160" s="2"/>
      <c r="O160" s="2"/>
      <c r="P160" s="2"/>
      <c r="Q160" s="2"/>
      <c r="R160" s="2"/>
    </row>
    <row r="161" spans="1:18" x14ac:dyDescent="0.2">
      <c r="A161" s="2"/>
      <c r="B161" s="2"/>
      <c r="C161" s="73"/>
      <c r="D161" s="73"/>
      <c r="E161" s="73"/>
      <c r="F161" s="73"/>
      <c r="G161" s="73"/>
      <c r="H161" s="73"/>
      <c r="I161" s="73"/>
      <c r="J161" s="73"/>
      <c r="K161" s="191"/>
      <c r="L161" s="191"/>
      <c r="M161" s="74"/>
      <c r="N161" s="2"/>
      <c r="O161" s="2"/>
      <c r="P161" s="2"/>
      <c r="Q161" s="2"/>
      <c r="R161" s="2"/>
    </row>
    <row r="162" spans="1:18" x14ac:dyDescent="0.2">
      <c r="A162" s="2"/>
      <c r="B162" s="2"/>
      <c r="C162" s="73"/>
      <c r="D162" s="73"/>
      <c r="E162" s="73"/>
      <c r="F162" s="73"/>
      <c r="G162" s="73"/>
      <c r="H162" s="73"/>
      <c r="I162" s="73"/>
      <c r="J162" s="73"/>
      <c r="K162" s="191"/>
      <c r="L162" s="191"/>
      <c r="M162" s="74"/>
      <c r="N162" s="2"/>
      <c r="O162" s="2"/>
      <c r="P162" s="2"/>
      <c r="Q162" s="2"/>
      <c r="R162" s="2"/>
    </row>
    <row r="163" spans="1:18" x14ac:dyDescent="0.2">
      <c r="A163" s="2"/>
      <c r="B163" s="2"/>
      <c r="C163" s="73"/>
      <c r="D163" s="73"/>
      <c r="E163" s="73"/>
      <c r="F163" s="73"/>
      <c r="G163" s="73"/>
      <c r="H163" s="73"/>
      <c r="I163" s="73"/>
      <c r="J163" s="73"/>
      <c r="K163" s="191"/>
      <c r="L163" s="191"/>
      <c r="M163" s="74"/>
      <c r="N163" s="2"/>
      <c r="O163" s="2"/>
      <c r="P163" s="2"/>
      <c r="Q163" s="2"/>
      <c r="R163" s="2"/>
    </row>
    <row r="164" spans="1:18" x14ac:dyDescent="0.2">
      <c r="A164" s="2"/>
      <c r="B164" s="2"/>
      <c r="C164" s="73"/>
      <c r="D164" s="73"/>
      <c r="E164" s="73"/>
      <c r="F164" s="73"/>
      <c r="G164" s="73"/>
      <c r="H164" s="73"/>
      <c r="I164" s="73"/>
      <c r="J164" s="73"/>
      <c r="K164" s="191"/>
      <c r="L164" s="191"/>
      <c r="M164" s="74"/>
      <c r="N164" s="2"/>
      <c r="O164" s="2"/>
      <c r="P164" s="2"/>
      <c r="Q164" s="2"/>
      <c r="R164" s="2"/>
    </row>
    <row r="165" spans="1:18" x14ac:dyDescent="0.2">
      <c r="A165" s="2"/>
      <c r="B165" s="2"/>
      <c r="C165" s="73"/>
      <c r="D165" s="73"/>
      <c r="E165" s="73"/>
      <c r="F165" s="73"/>
      <c r="G165" s="73"/>
      <c r="H165" s="73"/>
      <c r="I165" s="73"/>
      <c r="J165" s="73"/>
      <c r="K165" s="191"/>
      <c r="L165" s="191"/>
      <c r="M165" s="74"/>
      <c r="N165" s="2"/>
      <c r="O165" s="2"/>
      <c r="P165" s="2"/>
      <c r="Q165" s="2"/>
      <c r="R165" s="2"/>
    </row>
    <row r="166" spans="1:18" x14ac:dyDescent="0.2">
      <c r="A166" s="2"/>
      <c r="B166" s="2"/>
      <c r="C166" s="73"/>
      <c r="D166" s="73"/>
      <c r="E166" s="73"/>
      <c r="F166" s="73"/>
      <c r="G166" s="73"/>
      <c r="H166" s="73"/>
      <c r="I166" s="73"/>
      <c r="J166" s="73"/>
      <c r="K166" s="191"/>
      <c r="L166" s="191"/>
      <c r="M166" s="74"/>
      <c r="N166" s="2"/>
      <c r="O166" s="2"/>
      <c r="P166" s="2"/>
      <c r="Q166" s="2"/>
      <c r="R166" s="2"/>
    </row>
    <row r="167" spans="1:18" x14ac:dyDescent="0.2">
      <c r="A167" s="2"/>
      <c r="B167" s="2"/>
      <c r="C167" s="73"/>
      <c r="D167" s="73"/>
      <c r="E167" s="73"/>
      <c r="F167" s="73"/>
      <c r="G167" s="73"/>
      <c r="H167" s="73"/>
      <c r="I167" s="73"/>
      <c r="J167" s="73"/>
      <c r="K167" s="191"/>
      <c r="L167" s="191"/>
      <c r="M167" s="74"/>
      <c r="N167" s="2"/>
      <c r="O167" s="2"/>
      <c r="P167" s="2"/>
      <c r="Q167" s="2"/>
      <c r="R167" s="2"/>
    </row>
    <row r="168" spans="1:18" x14ac:dyDescent="0.2">
      <c r="A168" s="2"/>
      <c r="B168" s="2"/>
      <c r="C168" s="73"/>
      <c r="D168" s="73"/>
      <c r="E168" s="73"/>
      <c r="F168" s="73"/>
      <c r="G168" s="73"/>
      <c r="H168" s="73"/>
      <c r="I168" s="73"/>
      <c r="J168" s="73"/>
      <c r="K168" s="191"/>
      <c r="L168" s="191"/>
      <c r="M168" s="74"/>
      <c r="N168" s="2"/>
      <c r="O168" s="2"/>
      <c r="P168" s="2"/>
      <c r="Q168" s="2"/>
      <c r="R168" s="2"/>
    </row>
    <row r="169" spans="1:18" x14ac:dyDescent="0.2">
      <c r="A169" s="2"/>
      <c r="B169" s="2"/>
      <c r="C169" s="73"/>
      <c r="D169" s="73"/>
      <c r="E169" s="73"/>
      <c r="F169" s="73"/>
      <c r="G169" s="73"/>
      <c r="H169" s="73"/>
      <c r="I169" s="73"/>
      <c r="J169" s="73"/>
      <c r="K169" s="191"/>
      <c r="L169" s="191"/>
      <c r="M169" s="74"/>
      <c r="N169" s="2"/>
      <c r="O169" s="2"/>
      <c r="P169" s="2"/>
      <c r="Q169" s="2"/>
      <c r="R169" s="2"/>
    </row>
    <row r="170" spans="1:18" x14ac:dyDescent="0.2">
      <c r="A170" s="2"/>
      <c r="B170" s="2"/>
      <c r="C170" s="73"/>
      <c r="D170" s="73"/>
      <c r="E170" s="73"/>
      <c r="F170" s="73"/>
      <c r="G170" s="73"/>
      <c r="H170" s="73"/>
      <c r="I170" s="73"/>
      <c r="J170" s="73"/>
      <c r="K170" s="191"/>
      <c r="L170" s="191"/>
      <c r="M170" s="74"/>
      <c r="N170" s="2"/>
      <c r="O170" s="2"/>
      <c r="P170" s="2"/>
      <c r="Q170" s="2"/>
      <c r="R170" s="2"/>
    </row>
    <row r="171" spans="1:18" x14ac:dyDescent="0.2">
      <c r="A171" s="2"/>
      <c r="B171" s="2"/>
      <c r="C171" s="73"/>
      <c r="D171" s="73"/>
      <c r="E171" s="73"/>
      <c r="F171" s="73"/>
      <c r="G171" s="73"/>
      <c r="H171" s="73"/>
      <c r="I171" s="73"/>
      <c r="J171" s="73"/>
      <c r="K171" s="191"/>
      <c r="L171" s="191"/>
      <c r="M171" s="74"/>
      <c r="N171" s="2"/>
      <c r="O171" s="2"/>
      <c r="P171" s="2"/>
      <c r="Q171" s="2"/>
      <c r="R171" s="2"/>
    </row>
    <row r="172" spans="1:18" x14ac:dyDescent="0.2">
      <c r="A172" s="2"/>
      <c r="B172" s="2"/>
      <c r="C172" s="73"/>
      <c r="D172" s="73"/>
      <c r="E172" s="73"/>
      <c r="F172" s="73"/>
      <c r="G172" s="73"/>
      <c r="H172" s="73"/>
      <c r="I172" s="73"/>
      <c r="J172" s="73"/>
      <c r="K172" s="191"/>
      <c r="L172" s="191"/>
      <c r="M172" s="74"/>
      <c r="N172" s="2"/>
      <c r="O172" s="2"/>
      <c r="P172" s="2"/>
      <c r="Q172" s="2"/>
      <c r="R172" s="2"/>
    </row>
    <row r="173" spans="1:18" x14ac:dyDescent="0.2">
      <c r="A173" s="2"/>
      <c r="B173" s="2"/>
      <c r="C173" s="73"/>
      <c r="D173" s="73"/>
      <c r="E173" s="73"/>
      <c r="F173" s="73"/>
      <c r="G173" s="73"/>
      <c r="H173" s="73"/>
      <c r="I173" s="73"/>
      <c r="J173" s="73"/>
      <c r="K173" s="191"/>
      <c r="L173" s="191"/>
      <c r="M173" s="74"/>
      <c r="N173" s="2"/>
      <c r="O173" s="2"/>
      <c r="P173" s="2"/>
      <c r="Q173" s="2"/>
      <c r="R173" s="2"/>
    </row>
    <row r="174" spans="1:18" x14ac:dyDescent="0.2">
      <c r="A174" s="2"/>
      <c r="B174" s="2"/>
      <c r="C174" s="73"/>
      <c r="D174" s="73"/>
      <c r="E174" s="73"/>
      <c r="F174" s="73"/>
      <c r="G174" s="73"/>
      <c r="H174" s="73"/>
      <c r="I174" s="73"/>
      <c r="J174" s="73"/>
      <c r="K174" s="191"/>
      <c r="L174" s="191"/>
      <c r="M174" s="74"/>
      <c r="N174" s="2"/>
      <c r="O174" s="2"/>
      <c r="P174" s="2"/>
      <c r="Q174" s="2"/>
      <c r="R174" s="2"/>
    </row>
    <row r="175" spans="1:18" x14ac:dyDescent="0.2">
      <c r="A175" s="2"/>
      <c r="B175" s="2"/>
      <c r="C175" s="73"/>
      <c r="D175" s="73"/>
      <c r="E175" s="73"/>
      <c r="F175" s="73"/>
      <c r="G175" s="73"/>
      <c r="H175" s="73"/>
      <c r="I175" s="73"/>
      <c r="J175" s="73"/>
      <c r="K175" s="191"/>
      <c r="L175" s="191"/>
      <c r="M175" s="74"/>
      <c r="N175" s="2"/>
      <c r="O175" s="2"/>
      <c r="P175" s="2"/>
      <c r="Q175" s="2"/>
      <c r="R175" s="2"/>
    </row>
    <row r="176" spans="1:18" x14ac:dyDescent="0.2">
      <c r="A176" s="2"/>
      <c r="B176" s="2"/>
      <c r="C176" s="73"/>
      <c r="D176" s="73"/>
      <c r="E176" s="73"/>
      <c r="F176" s="73"/>
      <c r="G176" s="73"/>
      <c r="H176" s="73"/>
      <c r="I176" s="73"/>
      <c r="J176" s="73"/>
      <c r="K176" s="191"/>
      <c r="L176" s="191"/>
      <c r="M176" s="74"/>
      <c r="N176" s="2"/>
      <c r="O176" s="2"/>
      <c r="P176" s="2"/>
      <c r="Q176" s="2"/>
      <c r="R176" s="2"/>
    </row>
    <row r="177" spans="1:18" x14ac:dyDescent="0.2">
      <c r="A177" s="2"/>
      <c r="B177" s="2"/>
      <c r="C177" s="73"/>
      <c r="D177" s="73"/>
      <c r="E177" s="73"/>
      <c r="F177" s="73"/>
      <c r="G177" s="73"/>
      <c r="H177" s="73"/>
      <c r="I177" s="73"/>
      <c r="J177" s="73"/>
      <c r="K177" s="191"/>
      <c r="L177" s="191"/>
      <c r="M177" s="74"/>
      <c r="N177" s="2"/>
      <c r="O177" s="2"/>
      <c r="P177" s="2"/>
      <c r="Q177" s="2"/>
      <c r="R177" s="2"/>
    </row>
    <row r="178" spans="1:18" x14ac:dyDescent="0.2">
      <c r="A178" s="2"/>
      <c r="B178" s="2"/>
      <c r="C178" s="73"/>
      <c r="D178" s="73"/>
      <c r="E178" s="73"/>
      <c r="F178" s="73"/>
      <c r="G178" s="73"/>
      <c r="H178" s="73"/>
      <c r="I178" s="73"/>
      <c r="J178" s="73"/>
      <c r="K178" s="191"/>
      <c r="L178" s="191"/>
      <c r="M178" s="74"/>
      <c r="N178" s="2"/>
      <c r="O178" s="2"/>
      <c r="P178" s="2"/>
      <c r="Q178" s="2"/>
      <c r="R178" s="2"/>
    </row>
    <row r="179" spans="1:18" x14ac:dyDescent="0.2">
      <c r="A179" s="2"/>
      <c r="B179" s="2"/>
      <c r="C179" s="73"/>
      <c r="D179" s="73"/>
      <c r="E179" s="73"/>
      <c r="F179" s="73"/>
      <c r="G179" s="73"/>
      <c r="H179" s="73"/>
      <c r="I179" s="73"/>
      <c r="J179" s="73"/>
      <c r="K179" s="191"/>
      <c r="L179" s="191"/>
      <c r="M179" s="74"/>
      <c r="N179" s="2"/>
      <c r="O179" s="2"/>
      <c r="P179" s="2"/>
      <c r="Q179" s="2"/>
      <c r="R179" s="2"/>
    </row>
    <row r="180" spans="1:18" x14ac:dyDescent="0.2">
      <c r="A180" s="2"/>
      <c r="B180" s="2"/>
      <c r="C180" s="73"/>
      <c r="D180" s="73"/>
      <c r="E180" s="73"/>
      <c r="F180" s="73"/>
      <c r="G180" s="73"/>
      <c r="H180" s="73"/>
      <c r="I180" s="73"/>
      <c r="J180" s="73"/>
      <c r="K180" s="191"/>
      <c r="L180" s="191"/>
      <c r="M180" s="74"/>
      <c r="N180" s="2"/>
      <c r="O180" s="2"/>
      <c r="P180" s="2"/>
      <c r="Q180" s="2"/>
      <c r="R180" s="2"/>
    </row>
    <row r="181" spans="1:18" x14ac:dyDescent="0.2">
      <c r="A181" s="2"/>
      <c r="B181" s="2"/>
      <c r="C181" s="73"/>
      <c r="D181" s="73"/>
      <c r="E181" s="73"/>
      <c r="F181" s="73"/>
      <c r="G181" s="73"/>
      <c r="H181" s="73"/>
      <c r="I181" s="73"/>
      <c r="J181" s="73"/>
      <c r="K181" s="191"/>
      <c r="L181" s="191"/>
      <c r="M181" s="74"/>
      <c r="N181" s="2"/>
      <c r="O181" s="2"/>
      <c r="P181" s="2"/>
      <c r="Q181" s="2"/>
      <c r="R181" s="2"/>
    </row>
    <row r="182" spans="1:18" x14ac:dyDescent="0.2">
      <c r="A182" s="2"/>
      <c r="B182" s="2"/>
      <c r="C182" s="73"/>
      <c r="D182" s="73"/>
      <c r="E182" s="73"/>
      <c r="F182" s="73"/>
      <c r="G182" s="73"/>
      <c r="H182" s="73"/>
      <c r="I182" s="73"/>
      <c r="J182" s="73"/>
      <c r="K182" s="191"/>
      <c r="L182" s="191"/>
      <c r="M182" s="74"/>
      <c r="N182" s="2"/>
      <c r="O182" s="2"/>
      <c r="P182" s="2"/>
      <c r="Q182" s="2"/>
      <c r="R182" s="2"/>
    </row>
    <row r="183" spans="1:18" x14ac:dyDescent="0.2">
      <c r="A183" s="2"/>
      <c r="B183" s="2"/>
      <c r="C183" s="73"/>
      <c r="D183" s="73"/>
      <c r="E183" s="73"/>
      <c r="F183" s="73"/>
      <c r="G183" s="73"/>
      <c r="H183" s="73"/>
      <c r="I183" s="73"/>
      <c r="J183" s="73"/>
      <c r="K183" s="191"/>
      <c r="L183" s="191"/>
      <c r="M183" s="74"/>
      <c r="N183" s="2"/>
      <c r="O183" s="2"/>
      <c r="P183" s="2"/>
      <c r="Q183" s="2"/>
      <c r="R183" s="2"/>
    </row>
    <row r="184" spans="1:18" x14ac:dyDescent="0.2">
      <c r="A184" s="2"/>
      <c r="B184" s="2"/>
      <c r="C184" s="73"/>
      <c r="D184" s="73"/>
      <c r="E184" s="73"/>
      <c r="F184" s="73"/>
      <c r="G184" s="73"/>
      <c r="H184" s="73"/>
      <c r="I184" s="73"/>
      <c r="J184" s="73"/>
      <c r="K184" s="191"/>
      <c r="L184" s="191"/>
      <c r="M184" s="74"/>
      <c r="N184" s="2"/>
      <c r="O184" s="2"/>
      <c r="P184" s="2"/>
      <c r="Q184" s="2"/>
      <c r="R184" s="2"/>
    </row>
    <row r="185" spans="1:18" x14ac:dyDescent="0.2">
      <c r="A185" s="2"/>
      <c r="B185" s="2"/>
      <c r="C185" s="73"/>
      <c r="D185" s="73"/>
      <c r="E185" s="73"/>
      <c r="F185" s="73"/>
      <c r="G185" s="73"/>
      <c r="H185" s="73"/>
      <c r="I185" s="73"/>
      <c r="J185" s="73"/>
      <c r="K185" s="191"/>
      <c r="L185" s="191"/>
      <c r="M185" s="74"/>
      <c r="N185" s="2"/>
      <c r="O185" s="2"/>
      <c r="P185" s="2"/>
      <c r="Q185" s="2"/>
      <c r="R185" s="2"/>
    </row>
    <row r="186" spans="1:18" x14ac:dyDescent="0.2">
      <c r="A186" s="2"/>
      <c r="B186" s="2"/>
      <c r="C186" s="73"/>
      <c r="D186" s="73"/>
      <c r="E186" s="73"/>
      <c r="F186" s="73"/>
      <c r="G186" s="73"/>
      <c r="H186" s="73"/>
      <c r="I186" s="73"/>
      <c r="J186" s="73"/>
      <c r="K186" s="191"/>
      <c r="L186" s="191"/>
      <c r="M186" s="74"/>
      <c r="N186" s="2"/>
      <c r="O186" s="2"/>
      <c r="P186" s="2"/>
      <c r="Q186" s="2"/>
      <c r="R186" s="2"/>
    </row>
    <row r="187" spans="1:18" x14ac:dyDescent="0.2">
      <c r="A187" s="2"/>
      <c r="B187" s="2"/>
      <c r="C187" s="73"/>
      <c r="D187" s="73"/>
      <c r="E187" s="73"/>
      <c r="F187" s="73"/>
      <c r="G187" s="73"/>
      <c r="H187" s="73"/>
      <c r="I187" s="73"/>
      <c r="J187" s="73"/>
      <c r="K187" s="191"/>
      <c r="L187" s="191"/>
      <c r="M187" s="74"/>
      <c r="N187" s="2"/>
      <c r="O187" s="2"/>
      <c r="P187" s="2"/>
      <c r="Q187" s="2"/>
      <c r="R187" s="2"/>
    </row>
    <row r="188" spans="1:18" x14ac:dyDescent="0.2">
      <c r="A188" s="2"/>
      <c r="B188" s="2"/>
      <c r="C188" s="73"/>
      <c r="D188" s="73"/>
      <c r="E188" s="73"/>
      <c r="F188" s="73"/>
      <c r="G188" s="73"/>
      <c r="H188" s="73"/>
      <c r="I188" s="73"/>
      <c r="J188" s="73"/>
      <c r="K188" s="191"/>
      <c r="L188" s="191"/>
      <c r="M188" s="74"/>
      <c r="N188" s="2"/>
      <c r="O188" s="2"/>
      <c r="P188" s="2"/>
      <c r="Q188" s="2"/>
      <c r="R188" s="2"/>
    </row>
    <row r="189" spans="1:18" x14ac:dyDescent="0.2">
      <c r="A189" s="2"/>
      <c r="B189" s="2"/>
      <c r="C189" s="73"/>
      <c r="D189" s="73"/>
      <c r="E189" s="73"/>
      <c r="F189" s="73"/>
      <c r="G189" s="73"/>
      <c r="H189" s="73"/>
      <c r="I189" s="73"/>
      <c r="J189" s="73"/>
      <c r="K189" s="191"/>
      <c r="L189" s="191"/>
      <c r="M189" s="74"/>
      <c r="N189" s="2"/>
      <c r="O189" s="2"/>
      <c r="P189" s="2"/>
      <c r="Q189" s="2"/>
      <c r="R189" s="2"/>
    </row>
    <row r="190" spans="1:18" x14ac:dyDescent="0.2">
      <c r="A190" s="2"/>
      <c r="B190" s="2"/>
      <c r="C190" s="73"/>
      <c r="D190" s="73"/>
      <c r="E190" s="73"/>
      <c r="F190" s="73"/>
      <c r="G190" s="73"/>
      <c r="H190" s="73"/>
      <c r="I190" s="73"/>
      <c r="J190" s="73"/>
      <c r="K190" s="191"/>
      <c r="L190" s="191"/>
      <c r="M190" s="74"/>
      <c r="N190" s="2"/>
      <c r="O190" s="2"/>
      <c r="P190" s="2"/>
      <c r="Q190" s="2"/>
      <c r="R190" s="2"/>
    </row>
    <row r="191" spans="1:18" x14ac:dyDescent="0.2">
      <c r="A191" s="2"/>
      <c r="B191" s="2"/>
      <c r="C191" s="73"/>
      <c r="D191" s="73"/>
      <c r="E191" s="73"/>
      <c r="F191" s="73"/>
      <c r="G191" s="73"/>
      <c r="H191" s="73"/>
      <c r="I191" s="73"/>
      <c r="J191" s="73"/>
      <c r="K191" s="191"/>
      <c r="L191" s="191"/>
      <c r="M191" s="74"/>
      <c r="N191" s="2"/>
      <c r="O191" s="2"/>
      <c r="P191" s="2"/>
      <c r="Q191" s="2"/>
      <c r="R191" s="2"/>
    </row>
    <row r="192" spans="1:18" x14ac:dyDescent="0.2">
      <c r="A192" s="2"/>
      <c r="B192" s="2"/>
      <c r="C192" s="73"/>
      <c r="D192" s="73"/>
      <c r="E192" s="73"/>
      <c r="F192" s="73"/>
      <c r="G192" s="73"/>
      <c r="H192" s="73"/>
      <c r="I192" s="73"/>
      <c r="J192" s="73"/>
      <c r="K192" s="191"/>
      <c r="L192" s="191"/>
      <c r="M192" s="74"/>
      <c r="N192" s="2"/>
      <c r="O192" s="2"/>
      <c r="P192" s="2"/>
      <c r="Q192" s="2"/>
      <c r="R192" s="2"/>
    </row>
    <row r="193" spans="1:18" x14ac:dyDescent="0.2">
      <c r="A193" s="2"/>
      <c r="B193" s="2"/>
      <c r="C193" s="73"/>
      <c r="D193" s="73"/>
      <c r="E193" s="73"/>
      <c r="F193" s="73"/>
      <c r="G193" s="73"/>
      <c r="H193" s="73"/>
      <c r="I193" s="73"/>
      <c r="J193" s="73"/>
      <c r="K193" s="191"/>
      <c r="L193" s="191"/>
      <c r="M193" s="74"/>
      <c r="N193" s="2"/>
      <c r="O193" s="2"/>
      <c r="P193" s="2"/>
      <c r="Q193" s="2"/>
      <c r="R193" s="2"/>
    </row>
    <row r="194" spans="1:18" x14ac:dyDescent="0.2">
      <c r="A194" s="2"/>
      <c r="B194" s="2"/>
      <c r="C194" s="73"/>
      <c r="D194" s="73"/>
      <c r="E194" s="73"/>
      <c r="F194" s="73"/>
      <c r="G194" s="73"/>
      <c r="H194" s="73"/>
      <c r="I194" s="73"/>
      <c r="J194" s="73"/>
      <c r="K194" s="191"/>
      <c r="L194" s="191"/>
      <c r="M194" s="74"/>
      <c r="N194" s="2"/>
      <c r="O194" s="2"/>
      <c r="P194" s="2"/>
      <c r="Q194" s="2"/>
      <c r="R194" s="2"/>
    </row>
    <row r="195" spans="1:18" x14ac:dyDescent="0.2">
      <c r="A195" s="2"/>
      <c r="B195" s="2"/>
      <c r="C195" s="73"/>
      <c r="D195" s="73"/>
      <c r="E195" s="73"/>
      <c r="F195" s="73"/>
      <c r="G195" s="73"/>
      <c r="H195" s="73"/>
      <c r="I195" s="73"/>
      <c r="J195" s="73"/>
      <c r="K195" s="191"/>
      <c r="L195" s="191"/>
      <c r="M195" s="74"/>
      <c r="N195" s="2"/>
      <c r="O195" s="2"/>
      <c r="P195" s="2"/>
      <c r="Q195" s="2"/>
      <c r="R195" s="2"/>
    </row>
    <row r="196" spans="1:18" x14ac:dyDescent="0.2">
      <c r="A196" s="2"/>
      <c r="B196" s="2"/>
      <c r="C196" s="73"/>
      <c r="D196" s="73"/>
      <c r="E196" s="73"/>
      <c r="F196" s="73"/>
      <c r="G196" s="73"/>
      <c r="H196" s="73"/>
      <c r="I196" s="73"/>
      <c r="J196" s="73"/>
      <c r="K196" s="191"/>
      <c r="L196" s="191"/>
      <c r="M196" s="74"/>
      <c r="N196" s="2"/>
      <c r="O196" s="2"/>
      <c r="P196" s="2"/>
      <c r="Q196" s="2"/>
      <c r="R196" s="2"/>
    </row>
    <row r="197" spans="1:18" x14ac:dyDescent="0.2">
      <c r="A197" s="2"/>
      <c r="B197" s="2"/>
      <c r="C197" s="73"/>
      <c r="D197" s="73"/>
      <c r="E197" s="73"/>
      <c r="F197" s="73"/>
      <c r="G197" s="73"/>
      <c r="H197" s="73"/>
      <c r="I197" s="73"/>
      <c r="J197" s="73"/>
      <c r="K197" s="191"/>
      <c r="L197" s="191"/>
      <c r="M197" s="74"/>
      <c r="N197" s="2"/>
      <c r="O197" s="2"/>
      <c r="P197" s="2"/>
      <c r="Q197" s="2"/>
      <c r="R197" s="2"/>
    </row>
    <row r="198" spans="1:18" x14ac:dyDescent="0.2">
      <c r="A198" s="2"/>
      <c r="B198" s="2"/>
      <c r="C198" s="73"/>
      <c r="D198" s="73"/>
      <c r="E198" s="73"/>
      <c r="F198" s="73"/>
      <c r="G198" s="73"/>
      <c r="H198" s="73"/>
      <c r="I198" s="73"/>
      <c r="J198" s="73"/>
      <c r="K198" s="191"/>
      <c r="L198" s="191"/>
      <c r="M198" s="74"/>
      <c r="N198" s="2"/>
      <c r="O198" s="2"/>
      <c r="P198" s="2"/>
      <c r="Q198" s="2"/>
      <c r="R198" s="2"/>
    </row>
    <row r="199" spans="1:18" x14ac:dyDescent="0.2">
      <c r="A199" s="2"/>
      <c r="B199" s="2"/>
      <c r="C199" s="73"/>
      <c r="D199" s="73"/>
      <c r="E199" s="73"/>
      <c r="F199" s="73"/>
      <c r="G199" s="73"/>
      <c r="H199" s="73"/>
      <c r="I199" s="73"/>
      <c r="J199" s="73"/>
      <c r="K199" s="191"/>
      <c r="L199" s="191"/>
      <c r="M199" s="74"/>
      <c r="N199" s="2"/>
      <c r="O199" s="2"/>
      <c r="P199" s="2"/>
      <c r="Q199" s="2"/>
      <c r="R199" s="2"/>
    </row>
    <row r="200" spans="1:18" x14ac:dyDescent="0.2">
      <c r="A200" s="2"/>
      <c r="B200" s="2"/>
      <c r="C200" s="73"/>
      <c r="D200" s="73"/>
      <c r="E200" s="73"/>
      <c r="F200" s="73"/>
      <c r="G200" s="73"/>
      <c r="H200" s="73"/>
      <c r="I200" s="73"/>
      <c r="J200" s="73"/>
      <c r="K200" s="191"/>
      <c r="L200" s="191"/>
      <c r="M200" s="74"/>
      <c r="N200" s="2"/>
      <c r="O200" s="2"/>
      <c r="P200" s="2"/>
      <c r="Q200" s="2"/>
      <c r="R200" s="2"/>
    </row>
    <row r="201" spans="1:18" x14ac:dyDescent="0.2">
      <c r="A201" s="2"/>
      <c r="B201" s="2"/>
      <c r="C201" s="73"/>
      <c r="D201" s="73"/>
      <c r="E201" s="73"/>
      <c r="F201" s="73"/>
      <c r="G201" s="73"/>
      <c r="H201" s="73"/>
      <c r="I201" s="73"/>
      <c r="J201" s="73"/>
      <c r="K201" s="191"/>
      <c r="L201" s="191"/>
      <c r="M201" s="74"/>
      <c r="N201" s="2"/>
      <c r="O201" s="2"/>
      <c r="P201" s="2"/>
      <c r="Q201" s="2"/>
      <c r="R201" s="2"/>
    </row>
    <row r="202" spans="1:18" x14ac:dyDescent="0.2">
      <c r="A202" s="2"/>
      <c r="B202" s="2"/>
      <c r="C202" s="73"/>
      <c r="D202" s="73"/>
      <c r="E202" s="73"/>
      <c r="F202" s="73"/>
      <c r="G202" s="73"/>
      <c r="H202" s="73"/>
      <c r="I202" s="73"/>
      <c r="J202" s="73"/>
      <c r="K202" s="191"/>
      <c r="L202" s="191"/>
      <c r="M202" s="74"/>
      <c r="N202" s="2"/>
      <c r="O202" s="2"/>
      <c r="P202" s="2"/>
      <c r="Q202" s="2"/>
      <c r="R202" s="2"/>
    </row>
    <row r="203" spans="1:18" x14ac:dyDescent="0.2">
      <c r="A203" s="2"/>
      <c r="B203" s="2"/>
      <c r="C203" s="73"/>
      <c r="D203" s="73"/>
      <c r="E203" s="73"/>
      <c r="F203" s="73"/>
      <c r="G203" s="73"/>
      <c r="H203" s="73"/>
      <c r="I203" s="73"/>
      <c r="J203" s="73"/>
      <c r="K203" s="191"/>
      <c r="L203" s="191"/>
      <c r="M203" s="74"/>
      <c r="N203" s="2"/>
      <c r="O203" s="2"/>
      <c r="P203" s="2"/>
      <c r="Q203" s="2"/>
      <c r="R203" s="2"/>
    </row>
    <row r="204" spans="1:18" x14ac:dyDescent="0.2">
      <c r="A204" s="2"/>
      <c r="B204" s="2"/>
      <c r="C204" s="73"/>
      <c r="D204" s="73"/>
      <c r="E204" s="73"/>
      <c r="F204" s="73"/>
      <c r="G204" s="73"/>
      <c r="H204" s="73"/>
      <c r="I204" s="73"/>
      <c r="J204" s="73"/>
      <c r="K204" s="191"/>
      <c r="L204" s="191"/>
      <c r="M204" s="74"/>
      <c r="N204" s="2"/>
      <c r="O204" s="2"/>
      <c r="P204" s="2"/>
      <c r="Q204" s="2"/>
      <c r="R204" s="2"/>
    </row>
    <row r="205" spans="1:18" x14ac:dyDescent="0.2">
      <c r="A205" s="2"/>
      <c r="B205" s="2"/>
      <c r="C205" s="73"/>
      <c r="D205" s="73"/>
      <c r="E205" s="73"/>
      <c r="F205" s="73"/>
      <c r="G205" s="73"/>
      <c r="H205" s="73"/>
      <c r="I205" s="73"/>
      <c r="J205" s="73"/>
      <c r="K205" s="191"/>
      <c r="L205" s="191"/>
      <c r="M205" s="74"/>
      <c r="N205" s="2"/>
      <c r="O205" s="2"/>
      <c r="P205" s="2"/>
      <c r="Q205" s="2"/>
      <c r="R205" s="2"/>
    </row>
    <row r="206" spans="1:18" x14ac:dyDescent="0.2">
      <c r="A206" s="2"/>
      <c r="B206" s="2"/>
      <c r="C206" s="73"/>
      <c r="D206" s="73"/>
      <c r="E206" s="73"/>
      <c r="F206" s="73"/>
      <c r="G206" s="73"/>
      <c r="H206" s="73"/>
      <c r="I206" s="73"/>
      <c r="J206" s="73"/>
      <c r="K206" s="191"/>
      <c r="L206" s="191"/>
      <c r="M206" s="74"/>
      <c r="N206" s="2"/>
      <c r="O206" s="2"/>
      <c r="P206" s="2"/>
      <c r="Q206" s="2"/>
      <c r="R206" s="2"/>
    </row>
    <row r="207" spans="1:18" x14ac:dyDescent="0.2">
      <c r="A207" s="2"/>
      <c r="B207" s="2"/>
      <c r="C207" s="73"/>
      <c r="D207" s="73"/>
      <c r="E207" s="73"/>
      <c r="F207" s="73"/>
      <c r="G207" s="73"/>
      <c r="H207" s="73"/>
      <c r="I207" s="73"/>
      <c r="J207" s="73"/>
      <c r="K207" s="191"/>
      <c r="L207" s="191"/>
      <c r="M207" s="74"/>
      <c r="N207" s="2"/>
      <c r="O207" s="2"/>
      <c r="P207" s="2"/>
      <c r="Q207" s="2"/>
      <c r="R207" s="2"/>
    </row>
    <row r="208" spans="1:18" x14ac:dyDescent="0.2">
      <c r="A208" s="2"/>
      <c r="B208" s="2"/>
      <c r="C208" s="73"/>
      <c r="D208" s="73"/>
      <c r="E208" s="73"/>
      <c r="F208" s="73"/>
      <c r="G208" s="73"/>
      <c r="H208" s="73"/>
      <c r="I208" s="73"/>
      <c r="J208" s="73"/>
      <c r="K208" s="191"/>
      <c r="L208" s="191"/>
      <c r="M208" s="74"/>
      <c r="N208" s="2"/>
      <c r="O208" s="2"/>
      <c r="P208" s="2"/>
      <c r="Q208" s="2"/>
      <c r="R208" s="2"/>
    </row>
    <row r="209" spans="1:18" x14ac:dyDescent="0.2">
      <c r="A209" s="2"/>
      <c r="B209" s="2"/>
      <c r="C209" s="73"/>
      <c r="D209" s="73"/>
      <c r="E209" s="73"/>
      <c r="F209" s="73"/>
      <c r="G209" s="73"/>
      <c r="H209" s="73"/>
      <c r="I209" s="73"/>
      <c r="J209" s="73"/>
      <c r="K209" s="191"/>
      <c r="L209" s="191"/>
      <c r="M209" s="74"/>
      <c r="N209" s="2"/>
      <c r="O209" s="2"/>
      <c r="P209" s="2"/>
      <c r="Q209" s="2"/>
      <c r="R209" s="2"/>
    </row>
    <row r="210" spans="1:18" x14ac:dyDescent="0.2">
      <c r="A210" s="2"/>
      <c r="B210" s="2"/>
      <c r="C210" s="73"/>
      <c r="D210" s="73"/>
      <c r="E210" s="73"/>
      <c r="F210" s="73"/>
      <c r="G210" s="73"/>
      <c r="H210" s="73"/>
      <c r="I210" s="73"/>
      <c r="J210" s="73"/>
      <c r="K210" s="191"/>
      <c r="L210" s="191"/>
      <c r="M210" s="74"/>
      <c r="N210" s="2"/>
      <c r="O210" s="2"/>
      <c r="P210" s="2"/>
      <c r="Q210" s="2"/>
      <c r="R210" s="2"/>
    </row>
    <row r="211" spans="1:18" x14ac:dyDescent="0.2">
      <c r="A211" s="2"/>
      <c r="B211" s="2"/>
      <c r="C211" s="73"/>
      <c r="D211" s="73"/>
      <c r="E211" s="73"/>
      <c r="F211" s="73"/>
      <c r="G211" s="73"/>
      <c r="H211" s="73"/>
      <c r="I211" s="73"/>
      <c r="J211" s="73"/>
      <c r="K211" s="191"/>
      <c r="L211" s="191"/>
      <c r="M211" s="74"/>
      <c r="N211" s="2"/>
      <c r="O211" s="2"/>
      <c r="P211" s="2"/>
      <c r="Q211" s="2"/>
      <c r="R211" s="2"/>
    </row>
    <row r="212" spans="1:18" x14ac:dyDescent="0.2">
      <c r="A212" s="2"/>
      <c r="B212" s="2"/>
      <c r="C212" s="73"/>
      <c r="D212" s="73"/>
      <c r="E212" s="73"/>
      <c r="F212" s="73"/>
      <c r="G212" s="73"/>
      <c r="H212" s="73"/>
      <c r="I212" s="73"/>
      <c r="J212" s="73"/>
      <c r="K212" s="191"/>
      <c r="L212" s="191"/>
      <c r="M212" s="74"/>
      <c r="N212" s="2"/>
      <c r="O212" s="2"/>
      <c r="P212" s="2"/>
      <c r="Q212" s="2"/>
      <c r="R212" s="2"/>
    </row>
    <row r="213" spans="1:18" x14ac:dyDescent="0.2">
      <c r="A213" s="2"/>
      <c r="B213" s="2"/>
      <c r="C213" s="73"/>
      <c r="D213" s="73"/>
      <c r="E213" s="73"/>
      <c r="F213" s="73"/>
      <c r="G213" s="73"/>
      <c r="H213" s="73"/>
      <c r="I213" s="73"/>
      <c r="J213" s="73"/>
      <c r="K213" s="191"/>
      <c r="L213" s="191"/>
      <c r="M213" s="74"/>
      <c r="N213" s="2"/>
      <c r="O213" s="2"/>
      <c r="P213" s="2"/>
      <c r="Q213" s="2"/>
      <c r="R213" s="2"/>
    </row>
    <row r="214" spans="1:18" x14ac:dyDescent="0.2">
      <c r="A214" s="2"/>
      <c r="B214" s="2"/>
      <c r="C214" s="73"/>
      <c r="D214" s="73"/>
      <c r="E214" s="73"/>
      <c r="F214" s="73"/>
      <c r="G214" s="73"/>
      <c r="H214" s="73"/>
      <c r="I214" s="73"/>
      <c r="J214" s="73"/>
      <c r="K214" s="191"/>
      <c r="L214" s="191"/>
      <c r="M214" s="74"/>
      <c r="N214" s="2"/>
      <c r="O214" s="2"/>
      <c r="P214" s="2"/>
      <c r="Q214" s="2"/>
      <c r="R214" s="2"/>
    </row>
    <row r="215" spans="1:18" x14ac:dyDescent="0.2">
      <c r="A215" s="2"/>
      <c r="B215" s="2"/>
      <c r="C215" s="73"/>
      <c r="D215" s="73"/>
      <c r="E215" s="73"/>
      <c r="F215" s="73"/>
      <c r="G215" s="73"/>
      <c r="H215" s="73"/>
      <c r="I215" s="73"/>
      <c r="J215" s="73"/>
      <c r="K215" s="191"/>
      <c r="L215" s="191"/>
      <c r="M215" s="74"/>
      <c r="N215" s="2"/>
      <c r="O215" s="2"/>
      <c r="P215" s="2"/>
      <c r="Q215" s="2"/>
      <c r="R215" s="2"/>
    </row>
    <row r="216" spans="1:18" x14ac:dyDescent="0.2">
      <c r="A216" s="2"/>
      <c r="B216" s="2"/>
      <c r="C216" s="73"/>
      <c r="D216" s="73"/>
      <c r="E216" s="73"/>
      <c r="F216" s="73"/>
      <c r="G216" s="73"/>
      <c r="H216" s="73"/>
      <c r="I216" s="73"/>
      <c r="J216" s="73"/>
      <c r="K216" s="191"/>
      <c r="L216" s="191"/>
      <c r="M216" s="74"/>
      <c r="N216" s="2"/>
      <c r="O216" s="2"/>
      <c r="P216" s="2"/>
      <c r="Q216" s="2"/>
      <c r="R216" s="2"/>
    </row>
    <row r="217" spans="1:18" x14ac:dyDescent="0.2">
      <c r="A217" s="2"/>
      <c r="B217" s="2"/>
      <c r="C217" s="73"/>
      <c r="D217" s="73"/>
      <c r="E217" s="73"/>
      <c r="F217" s="73"/>
      <c r="G217" s="73"/>
      <c r="H217" s="73"/>
      <c r="I217" s="73"/>
      <c r="J217" s="73"/>
      <c r="K217" s="191"/>
      <c r="L217" s="191"/>
      <c r="M217" s="74"/>
      <c r="N217" s="2"/>
      <c r="O217" s="2"/>
      <c r="P217" s="2"/>
      <c r="Q217" s="2"/>
      <c r="R217" s="2"/>
    </row>
    <row r="218" spans="1:18" x14ac:dyDescent="0.2">
      <c r="A218" s="2"/>
      <c r="B218" s="2"/>
      <c r="C218" s="73"/>
      <c r="D218" s="73"/>
      <c r="E218" s="73"/>
      <c r="F218" s="73"/>
      <c r="G218" s="73"/>
      <c r="H218" s="73"/>
      <c r="I218" s="73"/>
      <c r="J218" s="73"/>
      <c r="K218" s="191"/>
      <c r="L218" s="191"/>
      <c r="M218" s="74"/>
      <c r="N218" s="2"/>
      <c r="O218" s="2"/>
      <c r="P218" s="2"/>
      <c r="Q218" s="2"/>
      <c r="R218" s="2"/>
    </row>
    <row r="219" spans="1:18" x14ac:dyDescent="0.2">
      <c r="A219" s="2"/>
      <c r="B219" s="2"/>
      <c r="C219" s="73"/>
      <c r="D219" s="73"/>
      <c r="E219" s="73"/>
      <c r="F219" s="73"/>
      <c r="G219" s="73"/>
      <c r="H219" s="73"/>
      <c r="I219" s="73"/>
      <c r="J219" s="73"/>
      <c r="K219" s="191"/>
      <c r="L219" s="191"/>
      <c r="M219" s="74"/>
      <c r="N219" s="2"/>
      <c r="O219" s="2"/>
      <c r="P219" s="2"/>
      <c r="Q219" s="2"/>
      <c r="R219" s="2"/>
    </row>
    <row r="220" spans="1:18" x14ac:dyDescent="0.2">
      <c r="A220" s="2"/>
      <c r="B220" s="2"/>
      <c r="C220" s="73"/>
      <c r="D220" s="73"/>
      <c r="E220" s="73"/>
      <c r="F220" s="73"/>
      <c r="G220" s="73"/>
      <c r="H220" s="73"/>
      <c r="I220" s="73"/>
      <c r="J220" s="73"/>
      <c r="K220" s="191"/>
      <c r="L220" s="191"/>
      <c r="M220" s="74"/>
      <c r="N220" s="2"/>
      <c r="O220" s="2"/>
      <c r="P220" s="2"/>
      <c r="Q220" s="2"/>
      <c r="R220" s="2"/>
    </row>
    <row r="221" spans="1:18" x14ac:dyDescent="0.2">
      <c r="A221" s="2"/>
      <c r="B221" s="2"/>
      <c r="C221" s="73"/>
      <c r="D221" s="73"/>
      <c r="E221" s="73"/>
      <c r="F221" s="73"/>
      <c r="G221" s="73"/>
      <c r="H221" s="73"/>
      <c r="I221" s="73"/>
      <c r="J221" s="73"/>
      <c r="K221" s="191"/>
      <c r="L221" s="191"/>
      <c r="M221" s="74"/>
      <c r="N221" s="2"/>
      <c r="O221" s="2"/>
      <c r="P221" s="2"/>
      <c r="Q221" s="2"/>
      <c r="R221" s="2"/>
    </row>
    <row r="222" spans="1:18" x14ac:dyDescent="0.2">
      <c r="A222" s="2"/>
      <c r="B222" s="2"/>
      <c r="C222" s="73"/>
      <c r="D222" s="73"/>
      <c r="E222" s="73"/>
      <c r="F222" s="73"/>
      <c r="G222" s="73"/>
      <c r="H222" s="73"/>
      <c r="I222" s="73"/>
      <c r="J222" s="73"/>
      <c r="K222" s="191"/>
      <c r="L222" s="191"/>
      <c r="M222" s="74"/>
      <c r="N222" s="2"/>
      <c r="O222" s="2"/>
      <c r="P222" s="2"/>
      <c r="Q222" s="2"/>
      <c r="R222" s="2"/>
    </row>
    <row r="223" spans="1:18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91"/>
      <c r="L223" s="191"/>
      <c r="M223" s="74"/>
      <c r="N223" s="2"/>
      <c r="O223" s="2"/>
      <c r="P223" s="2"/>
      <c r="Q223" s="2"/>
      <c r="R223" s="2"/>
    </row>
    <row r="224" spans="1:18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91"/>
      <c r="L224" s="191"/>
      <c r="M224" s="74"/>
      <c r="N224" s="2"/>
      <c r="O224" s="2"/>
      <c r="P224" s="2"/>
      <c r="Q224" s="2"/>
      <c r="R224" s="2"/>
    </row>
    <row r="225" spans="1:18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91"/>
      <c r="L225" s="191"/>
      <c r="M225" s="74"/>
      <c r="N225" s="2"/>
      <c r="O225" s="2"/>
      <c r="P225" s="2"/>
      <c r="Q225" s="2"/>
      <c r="R225" s="2"/>
    </row>
    <row r="226" spans="1:18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91"/>
      <c r="L226" s="191"/>
      <c r="M226" s="74"/>
      <c r="N226" s="2"/>
      <c r="O226" s="2"/>
      <c r="P226" s="2"/>
      <c r="Q226" s="2"/>
      <c r="R226" s="2"/>
    </row>
    <row r="227" spans="1:18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91"/>
      <c r="L227" s="191"/>
      <c r="M227" s="74"/>
      <c r="N227" s="2"/>
      <c r="O227" s="2"/>
      <c r="P227" s="2"/>
      <c r="Q227" s="2"/>
      <c r="R227" s="2"/>
    </row>
    <row r="228" spans="1:18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91"/>
      <c r="L228" s="191"/>
      <c r="M228" s="74"/>
      <c r="N228" s="2"/>
      <c r="O228" s="2"/>
      <c r="P228" s="2"/>
      <c r="Q228" s="2"/>
      <c r="R228" s="2"/>
    </row>
    <row r="229" spans="1:18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91"/>
      <c r="L229" s="191"/>
      <c r="M229" s="74"/>
      <c r="N229" s="2"/>
      <c r="O229" s="2"/>
      <c r="P229" s="2"/>
      <c r="Q229" s="2"/>
      <c r="R229" s="2"/>
    </row>
    <row r="230" spans="1:18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91"/>
      <c r="L230" s="191"/>
      <c r="M230" s="74"/>
      <c r="N230" s="2"/>
      <c r="O230" s="2"/>
      <c r="P230" s="2"/>
      <c r="Q230" s="2"/>
      <c r="R230" s="2"/>
    </row>
    <row r="231" spans="1:18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91"/>
      <c r="L231" s="191"/>
      <c r="M231" s="74"/>
      <c r="N231" s="2"/>
      <c r="O231" s="2"/>
      <c r="P231" s="2"/>
      <c r="Q231" s="2"/>
      <c r="R231" s="2"/>
    </row>
    <row r="232" spans="1:18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91"/>
      <c r="L232" s="191"/>
      <c r="M232" s="74"/>
      <c r="N232" s="2"/>
      <c r="O232" s="2"/>
      <c r="P232" s="2"/>
      <c r="Q232" s="2"/>
      <c r="R232" s="2"/>
    </row>
    <row r="233" spans="1:18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91"/>
      <c r="L233" s="191"/>
      <c r="M233" s="74"/>
      <c r="N233" s="2"/>
      <c r="O233" s="2"/>
      <c r="P233" s="2"/>
      <c r="Q233" s="2"/>
      <c r="R233" s="2"/>
    </row>
    <row r="234" spans="1:18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91"/>
      <c r="L234" s="191"/>
      <c r="M234" s="74"/>
      <c r="N234" s="2"/>
      <c r="O234" s="2"/>
      <c r="P234" s="2"/>
      <c r="Q234" s="2"/>
      <c r="R234" s="2"/>
    </row>
    <row r="235" spans="1:18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91"/>
      <c r="L235" s="191"/>
      <c r="M235" s="74"/>
      <c r="N235" s="2"/>
      <c r="O235" s="2"/>
      <c r="P235" s="2"/>
      <c r="Q235" s="2"/>
      <c r="R235" s="2"/>
    </row>
    <row r="236" spans="1:18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91"/>
      <c r="L236" s="191"/>
      <c r="M236" s="74"/>
      <c r="N236" s="2"/>
      <c r="O236" s="2"/>
      <c r="P236" s="2"/>
      <c r="Q236" s="2"/>
      <c r="R236" s="2"/>
    </row>
    <row r="237" spans="1:18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91"/>
      <c r="L237" s="191"/>
      <c r="M237" s="74"/>
      <c r="N237" s="2"/>
      <c r="O237" s="2"/>
      <c r="P237" s="2"/>
      <c r="Q237" s="2"/>
      <c r="R237" s="2"/>
    </row>
    <row r="238" spans="1:18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91"/>
      <c r="L238" s="191"/>
      <c r="M238" s="74"/>
      <c r="N238" s="2"/>
      <c r="O238" s="2"/>
      <c r="P238" s="2"/>
      <c r="Q238" s="2"/>
      <c r="R238" s="2"/>
    </row>
    <row r="239" spans="1:18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91"/>
      <c r="L239" s="191"/>
      <c r="M239" s="74"/>
      <c r="N239" s="2"/>
      <c r="O239" s="2"/>
      <c r="P239" s="2"/>
      <c r="Q239" s="2"/>
      <c r="R239" s="2"/>
    </row>
    <row r="240" spans="1:18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91"/>
      <c r="L240" s="191"/>
      <c r="M240" s="74"/>
      <c r="N240" s="2"/>
      <c r="O240" s="2"/>
      <c r="P240" s="2"/>
      <c r="Q240" s="2"/>
      <c r="R240" s="2"/>
    </row>
    <row r="241" spans="1:18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91"/>
      <c r="L241" s="191"/>
      <c r="M241" s="74"/>
      <c r="N241" s="2"/>
      <c r="O241" s="2"/>
      <c r="P241" s="2"/>
      <c r="Q241" s="2"/>
      <c r="R241" s="2"/>
    </row>
    <row r="242" spans="1:18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91"/>
      <c r="L242" s="191"/>
      <c r="M242" s="74"/>
      <c r="N242" s="2"/>
      <c r="O242" s="2"/>
      <c r="P242" s="2"/>
      <c r="Q242" s="2"/>
      <c r="R242" s="2"/>
    </row>
    <row r="243" spans="1:18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91"/>
      <c r="L243" s="191"/>
      <c r="M243" s="74"/>
      <c r="N243" s="2"/>
      <c r="O243" s="2"/>
      <c r="P243" s="2"/>
      <c r="Q243" s="2"/>
      <c r="R243" s="2"/>
    </row>
    <row r="244" spans="1:18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91"/>
      <c r="L244" s="191"/>
      <c r="M244" s="74"/>
      <c r="N244" s="2"/>
      <c r="O244" s="2"/>
      <c r="P244" s="2"/>
      <c r="Q244" s="2"/>
      <c r="R244" s="2"/>
    </row>
    <row r="245" spans="1:18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91"/>
      <c r="L245" s="191"/>
      <c r="M245" s="74"/>
      <c r="N245" s="2"/>
      <c r="O245" s="2"/>
      <c r="P245" s="2"/>
      <c r="Q245" s="2"/>
      <c r="R245" s="2"/>
    </row>
    <row r="246" spans="1:18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91"/>
      <c r="L246" s="191"/>
      <c r="M246" s="74"/>
      <c r="N246" s="2"/>
      <c r="O246" s="2"/>
      <c r="P246" s="2"/>
      <c r="Q246" s="2"/>
      <c r="R246" s="2"/>
    </row>
    <row r="247" spans="1:18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91"/>
      <c r="L247" s="191"/>
      <c r="M247" s="74"/>
      <c r="N247" s="2"/>
      <c r="O247" s="2"/>
      <c r="P247" s="2"/>
      <c r="Q247" s="2"/>
      <c r="R247" s="2"/>
    </row>
    <row r="248" spans="1:18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91"/>
      <c r="L248" s="191"/>
      <c r="M248" s="74"/>
      <c r="N248" s="2"/>
      <c r="O248" s="2"/>
      <c r="P248" s="2"/>
      <c r="Q248" s="2"/>
      <c r="R248" s="2"/>
    </row>
    <row r="249" spans="1:18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91"/>
      <c r="L249" s="191"/>
      <c r="M249" s="74"/>
      <c r="N249" s="2"/>
      <c r="O249" s="2"/>
      <c r="P249" s="2"/>
      <c r="Q249" s="2"/>
      <c r="R249" s="2"/>
    </row>
    <row r="250" spans="1:18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91"/>
      <c r="L250" s="191"/>
      <c r="M250" s="74"/>
      <c r="N250" s="2"/>
      <c r="O250" s="2"/>
      <c r="P250" s="2"/>
      <c r="Q250" s="2"/>
      <c r="R250" s="2"/>
    </row>
    <row r="251" spans="1:18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91"/>
      <c r="L251" s="191"/>
      <c r="M251" s="74"/>
      <c r="N251" s="2"/>
      <c r="O251" s="2"/>
      <c r="P251" s="2"/>
      <c r="Q251" s="2"/>
      <c r="R251" s="2"/>
    </row>
    <row r="252" spans="1:18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91"/>
      <c r="L252" s="191"/>
      <c r="M252" s="74"/>
      <c r="N252" s="2"/>
      <c r="O252" s="2"/>
      <c r="P252" s="2"/>
      <c r="Q252" s="2"/>
      <c r="R252" s="2"/>
    </row>
    <row r="253" spans="1:18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91"/>
      <c r="L253" s="191"/>
      <c r="M253" s="74"/>
      <c r="N253" s="2"/>
      <c r="O253" s="2"/>
      <c r="P253" s="2"/>
      <c r="Q253" s="2"/>
      <c r="R253" s="2"/>
    </row>
    <row r="254" spans="1:18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91"/>
      <c r="L254" s="191"/>
      <c r="M254" s="74"/>
      <c r="N254" s="2"/>
      <c r="O254" s="2"/>
      <c r="P254" s="2"/>
      <c r="Q254" s="2"/>
      <c r="R254" s="2"/>
    </row>
    <row r="255" spans="1:18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91"/>
      <c r="L255" s="191"/>
      <c r="M255" s="74"/>
      <c r="N255" s="2"/>
      <c r="O255" s="2"/>
      <c r="P255" s="2"/>
      <c r="Q255" s="2"/>
      <c r="R255" s="2"/>
    </row>
    <row r="256" spans="1:18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91"/>
      <c r="L256" s="191"/>
      <c r="M256" s="74"/>
      <c r="N256" s="2"/>
      <c r="O256" s="2"/>
      <c r="P256" s="2"/>
      <c r="Q256" s="2"/>
      <c r="R256" s="2"/>
    </row>
    <row r="257" spans="1:18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91"/>
      <c r="L257" s="191"/>
      <c r="M257" s="74"/>
      <c r="N257" s="2"/>
      <c r="O257" s="2"/>
      <c r="P257" s="2"/>
      <c r="Q257" s="2"/>
      <c r="R257" s="2"/>
    </row>
    <row r="258" spans="1:18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91"/>
      <c r="L258" s="191"/>
      <c r="M258" s="74"/>
      <c r="N258" s="2"/>
      <c r="O258" s="2"/>
      <c r="P258" s="2"/>
      <c r="Q258" s="2"/>
      <c r="R258" s="2"/>
    </row>
    <row r="259" spans="1:18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91"/>
      <c r="L259" s="191"/>
      <c r="M259" s="74"/>
      <c r="N259" s="2"/>
      <c r="O259" s="2"/>
      <c r="P259" s="2"/>
      <c r="Q259" s="2"/>
      <c r="R259" s="2"/>
    </row>
    <row r="260" spans="1:18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91"/>
      <c r="L260" s="191"/>
      <c r="M260" s="74"/>
      <c r="N260" s="2"/>
      <c r="O260" s="2"/>
      <c r="P260" s="2"/>
      <c r="Q260" s="2"/>
      <c r="R260" s="2"/>
    </row>
    <row r="261" spans="1:18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91"/>
      <c r="L261" s="191"/>
      <c r="M261" s="74"/>
      <c r="N261" s="2"/>
      <c r="O261" s="2"/>
      <c r="P261" s="2"/>
      <c r="Q261" s="2"/>
      <c r="R261" s="2"/>
    </row>
    <row r="262" spans="1:18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91"/>
      <c r="L262" s="191"/>
      <c r="M262" s="74"/>
      <c r="N262" s="2"/>
      <c r="O262" s="2"/>
      <c r="P262" s="2"/>
      <c r="Q262" s="2"/>
      <c r="R262" s="2"/>
    </row>
    <row r="263" spans="1:18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91"/>
      <c r="L263" s="191"/>
      <c r="M263" s="74"/>
      <c r="N263" s="2"/>
      <c r="O263" s="2"/>
      <c r="P263" s="2"/>
      <c r="Q263" s="2"/>
      <c r="R263" s="2"/>
    </row>
    <row r="264" spans="1:18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91"/>
      <c r="L264" s="191"/>
      <c r="M264" s="74"/>
      <c r="N264" s="2"/>
      <c r="O264" s="2"/>
      <c r="P264" s="2"/>
      <c r="Q264" s="2"/>
      <c r="R264" s="2"/>
    </row>
    <row r="265" spans="1:18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91"/>
      <c r="L265" s="191"/>
      <c r="M265" s="74"/>
      <c r="N265" s="2"/>
      <c r="O265" s="2"/>
      <c r="P265" s="2"/>
      <c r="Q265" s="2"/>
      <c r="R265" s="2"/>
    </row>
    <row r="266" spans="1:18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91"/>
      <c r="L266" s="191"/>
      <c r="M266" s="74"/>
      <c r="N266" s="2"/>
      <c r="O266" s="2"/>
      <c r="P266" s="2"/>
      <c r="Q266" s="2"/>
      <c r="R266" s="2"/>
    </row>
    <row r="267" spans="1:18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91"/>
      <c r="L267" s="191"/>
      <c r="M267" s="74"/>
      <c r="N267" s="2"/>
      <c r="O267" s="2"/>
      <c r="P267" s="2"/>
      <c r="Q267" s="2"/>
      <c r="R267" s="2"/>
    </row>
    <row r="268" spans="1:18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91"/>
      <c r="L268" s="191"/>
      <c r="M268" s="74"/>
      <c r="N268" s="2"/>
      <c r="O268" s="2"/>
      <c r="P268" s="2"/>
      <c r="Q268" s="2"/>
      <c r="R268" s="2"/>
    </row>
    <row r="269" spans="1:18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91"/>
      <c r="L269" s="191"/>
      <c r="M269" s="74"/>
      <c r="N269" s="2"/>
      <c r="O269" s="2"/>
      <c r="P269" s="2"/>
      <c r="Q269" s="2"/>
      <c r="R269" s="2"/>
    </row>
    <row r="270" spans="1:18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91"/>
      <c r="L270" s="191"/>
      <c r="M270" s="74"/>
      <c r="N270" s="2"/>
      <c r="O270" s="2"/>
      <c r="P270" s="2"/>
      <c r="Q270" s="2"/>
      <c r="R270" s="2"/>
    </row>
    <row r="271" spans="1:18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91"/>
      <c r="L271" s="191"/>
      <c r="M271" s="74"/>
      <c r="N271" s="2"/>
      <c r="O271" s="2"/>
      <c r="P271" s="2"/>
      <c r="Q271" s="2"/>
      <c r="R271" s="2"/>
    </row>
    <row r="272" spans="1:18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91"/>
      <c r="L272" s="191"/>
      <c r="M272" s="74"/>
      <c r="N272" s="2"/>
      <c r="O272" s="2"/>
      <c r="P272" s="2"/>
      <c r="Q272" s="2"/>
      <c r="R272" s="2"/>
    </row>
    <row r="273" spans="1:18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91"/>
      <c r="L273" s="191"/>
      <c r="M273" s="74"/>
      <c r="N273" s="2"/>
      <c r="O273" s="2"/>
      <c r="P273" s="2"/>
      <c r="Q273" s="2"/>
      <c r="R273" s="2"/>
    </row>
    <row r="274" spans="1:18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91"/>
      <c r="L274" s="191"/>
      <c r="M274" s="74"/>
      <c r="N274" s="2"/>
      <c r="O274" s="2"/>
      <c r="P274" s="2"/>
      <c r="Q274" s="2"/>
      <c r="R274" s="2"/>
    </row>
    <row r="275" spans="1:18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91"/>
      <c r="L275" s="191"/>
      <c r="M275" s="74"/>
      <c r="N275" s="2"/>
      <c r="O275" s="2"/>
      <c r="P275" s="2"/>
      <c r="Q275" s="2"/>
      <c r="R275" s="2"/>
    </row>
    <row r="276" spans="1:18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91"/>
      <c r="L276" s="191"/>
      <c r="M276" s="74"/>
      <c r="N276" s="2"/>
      <c r="O276" s="2"/>
      <c r="P276" s="2"/>
      <c r="Q276" s="2"/>
      <c r="R276" s="2"/>
    </row>
    <row r="277" spans="1:18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91"/>
      <c r="L277" s="191"/>
      <c r="M277" s="74"/>
      <c r="N277" s="2"/>
      <c r="O277" s="2"/>
      <c r="P277" s="2"/>
      <c r="Q277" s="2"/>
      <c r="R277" s="2"/>
    </row>
    <row r="278" spans="1:18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91"/>
      <c r="L278" s="191"/>
      <c r="M278" s="74"/>
      <c r="N278" s="2"/>
      <c r="O278" s="2"/>
      <c r="P278" s="2"/>
      <c r="Q278" s="2"/>
      <c r="R278" s="2"/>
    </row>
    <row r="279" spans="1:18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91"/>
      <c r="L279" s="191"/>
      <c r="M279" s="74"/>
      <c r="N279" s="2"/>
      <c r="O279" s="2"/>
      <c r="P279" s="2"/>
      <c r="Q279" s="2"/>
      <c r="R279" s="2"/>
    </row>
    <row r="280" spans="1:18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91"/>
      <c r="L280" s="191"/>
      <c r="M280" s="74"/>
      <c r="N280" s="2"/>
      <c r="O280" s="2"/>
      <c r="P280" s="2"/>
      <c r="Q280" s="2"/>
      <c r="R280" s="2"/>
    </row>
    <row r="281" spans="1:18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91"/>
      <c r="L281" s="191"/>
      <c r="M281" s="74"/>
      <c r="N281" s="2"/>
      <c r="O281" s="2"/>
      <c r="P281" s="2"/>
      <c r="Q281" s="2"/>
      <c r="R281" s="2"/>
    </row>
    <row r="282" spans="1:18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91"/>
      <c r="L282" s="191"/>
      <c r="M282" s="74"/>
      <c r="N282" s="2"/>
      <c r="O282" s="2"/>
      <c r="P282" s="2"/>
      <c r="Q282" s="2"/>
      <c r="R282" s="2"/>
    </row>
    <row r="283" spans="1:18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91"/>
      <c r="L283" s="191"/>
      <c r="M283" s="74"/>
      <c r="N283" s="2"/>
      <c r="O283" s="2"/>
      <c r="P283" s="2"/>
      <c r="Q283" s="2"/>
      <c r="R283" s="2"/>
    </row>
    <row r="284" spans="1:18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91"/>
      <c r="L284" s="191"/>
      <c r="M284" s="74"/>
      <c r="N284" s="2"/>
      <c r="O284" s="2"/>
      <c r="P284" s="2"/>
      <c r="Q284" s="2"/>
      <c r="R284" s="2"/>
    </row>
    <row r="285" spans="1:18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91"/>
      <c r="L285" s="191"/>
      <c r="M285" s="74"/>
      <c r="N285" s="2"/>
      <c r="O285" s="2"/>
      <c r="P285" s="2"/>
      <c r="Q285" s="2"/>
      <c r="R285" s="2"/>
    </row>
    <row r="286" spans="1:18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91"/>
      <c r="L286" s="191"/>
      <c r="M286" s="74"/>
      <c r="N286" s="2"/>
      <c r="O286" s="2"/>
      <c r="P286" s="2"/>
      <c r="Q286" s="2"/>
      <c r="R286" s="2"/>
    </row>
    <row r="287" spans="1:18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91"/>
      <c r="L287" s="191"/>
      <c r="M287" s="74"/>
      <c r="N287" s="2"/>
      <c r="O287" s="2"/>
      <c r="P287" s="2"/>
      <c r="Q287" s="2"/>
      <c r="R287" s="2"/>
    </row>
    <row r="288" spans="1:18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91"/>
      <c r="L288" s="191"/>
      <c r="M288" s="74"/>
      <c r="N288" s="2"/>
      <c r="O288" s="2"/>
      <c r="P288" s="2"/>
      <c r="Q288" s="2"/>
      <c r="R288" s="2"/>
    </row>
    <row r="289" spans="1:18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91"/>
      <c r="L289" s="191"/>
      <c r="M289" s="74"/>
      <c r="N289" s="2"/>
      <c r="O289" s="2"/>
      <c r="P289" s="2"/>
      <c r="Q289" s="2"/>
      <c r="R289" s="2"/>
    </row>
    <row r="290" spans="1:18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91"/>
      <c r="L290" s="191"/>
      <c r="M290" s="74"/>
      <c r="N290" s="2"/>
      <c r="O290" s="2"/>
      <c r="P290" s="2"/>
      <c r="Q290" s="2"/>
      <c r="R290" s="2"/>
    </row>
    <row r="291" spans="1:18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91"/>
      <c r="L291" s="191"/>
      <c r="M291" s="74"/>
      <c r="N291" s="2"/>
      <c r="O291" s="2"/>
      <c r="P291" s="2"/>
      <c r="Q291" s="2"/>
      <c r="R291" s="2"/>
    </row>
    <row r="292" spans="1:18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91"/>
      <c r="L292" s="191"/>
      <c r="M292" s="74"/>
      <c r="N292" s="2"/>
      <c r="O292" s="2"/>
      <c r="P292" s="2"/>
      <c r="Q292" s="2"/>
      <c r="R292" s="2"/>
    </row>
    <row r="293" spans="1:18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91"/>
      <c r="L293" s="191"/>
      <c r="M293" s="74"/>
      <c r="N293" s="2"/>
      <c r="O293" s="2"/>
      <c r="P293" s="2"/>
      <c r="Q293" s="2"/>
      <c r="R293" s="2"/>
    </row>
    <row r="294" spans="1:18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91"/>
      <c r="L294" s="191"/>
      <c r="M294" s="74"/>
      <c r="N294" s="2"/>
      <c r="O294" s="2"/>
      <c r="P294" s="2"/>
      <c r="Q294" s="2"/>
      <c r="R294" s="2"/>
    </row>
    <row r="295" spans="1:18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91"/>
      <c r="L295" s="191"/>
      <c r="M295" s="74"/>
      <c r="N295" s="2"/>
      <c r="O295" s="2"/>
      <c r="P295" s="2"/>
      <c r="Q295" s="2"/>
      <c r="R295" s="2"/>
    </row>
    <row r="296" spans="1:18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91"/>
      <c r="L296" s="191"/>
      <c r="M296" s="74"/>
      <c r="N296" s="2"/>
      <c r="O296" s="2"/>
      <c r="P296" s="2"/>
      <c r="Q296" s="2"/>
      <c r="R296" s="2"/>
    </row>
    <row r="297" spans="1:18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91"/>
      <c r="L297" s="191"/>
      <c r="M297" s="74"/>
      <c r="N297" s="2"/>
      <c r="O297" s="2"/>
      <c r="P297" s="2"/>
      <c r="Q297" s="2"/>
      <c r="R297" s="2"/>
    </row>
    <row r="298" spans="1:18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91"/>
      <c r="L298" s="191"/>
      <c r="M298" s="74"/>
      <c r="N298" s="2"/>
      <c r="O298" s="2"/>
      <c r="P298" s="2"/>
      <c r="Q298" s="2"/>
      <c r="R298" s="2"/>
    </row>
    <row r="299" spans="1:18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91"/>
      <c r="L299" s="191"/>
      <c r="M299" s="74"/>
      <c r="N299" s="2"/>
      <c r="O299" s="2"/>
      <c r="P299" s="2"/>
      <c r="Q299" s="2"/>
      <c r="R299" s="2"/>
    </row>
    <row r="300" spans="1:18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91"/>
      <c r="L300" s="191"/>
      <c r="M300" s="74"/>
      <c r="N300" s="2"/>
      <c r="O300" s="2"/>
      <c r="P300" s="2"/>
      <c r="Q300" s="2"/>
      <c r="R300" s="2"/>
    </row>
    <row r="301" spans="1:18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91"/>
      <c r="L301" s="191"/>
      <c r="M301" s="74"/>
      <c r="N301" s="2"/>
      <c r="O301" s="2"/>
      <c r="P301" s="2"/>
      <c r="Q301" s="2"/>
      <c r="R301" s="2"/>
    </row>
    <row r="302" spans="1:18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91"/>
      <c r="L302" s="191"/>
      <c r="M302" s="74"/>
      <c r="N302" s="2"/>
      <c r="O302" s="2"/>
      <c r="P302" s="2"/>
      <c r="Q302" s="2"/>
      <c r="R302" s="2"/>
    </row>
    <row r="303" spans="1:18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91"/>
      <c r="L303" s="191"/>
      <c r="M303" s="74"/>
      <c r="N303" s="2"/>
      <c r="O303" s="2"/>
      <c r="P303" s="2"/>
      <c r="Q303" s="2"/>
      <c r="R303" s="2"/>
    </row>
    <row r="304" spans="1:18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91"/>
      <c r="L304" s="191"/>
      <c r="M304" s="74"/>
      <c r="N304" s="2"/>
      <c r="O304" s="2"/>
      <c r="P304" s="2"/>
      <c r="Q304" s="2"/>
      <c r="R304" s="2"/>
    </row>
    <row r="305" spans="1:18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91"/>
      <c r="L305" s="191"/>
      <c r="M305" s="74"/>
      <c r="N305" s="2"/>
      <c r="O305" s="2"/>
      <c r="P305" s="2"/>
      <c r="Q305" s="2"/>
      <c r="R305" s="2"/>
    </row>
    <row r="306" spans="1:18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91"/>
      <c r="L306" s="191"/>
      <c r="M306" s="74"/>
      <c r="N306" s="2"/>
      <c r="O306" s="2"/>
      <c r="P306" s="2"/>
      <c r="Q306" s="2"/>
      <c r="R306" s="2"/>
    </row>
    <row r="307" spans="1:18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91"/>
      <c r="L307" s="191"/>
      <c r="M307" s="74"/>
      <c r="N307" s="2"/>
      <c r="O307" s="2"/>
      <c r="P307" s="2"/>
      <c r="Q307" s="2"/>
      <c r="R307" s="2"/>
    </row>
    <row r="308" spans="1:18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91"/>
      <c r="L308" s="191"/>
      <c r="M308" s="74"/>
      <c r="N308" s="2"/>
      <c r="O308" s="2"/>
      <c r="P308" s="2"/>
      <c r="Q308" s="2"/>
      <c r="R308" s="2"/>
    </row>
    <row r="309" spans="1:18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91"/>
      <c r="L309" s="191"/>
      <c r="M309" s="74"/>
      <c r="N309" s="2"/>
      <c r="O309" s="2"/>
      <c r="P309" s="2"/>
      <c r="Q309" s="2"/>
      <c r="R309" s="2"/>
    </row>
    <row r="310" spans="1:18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91"/>
      <c r="L310" s="191"/>
      <c r="M310" s="74"/>
      <c r="N310" s="2"/>
      <c r="O310" s="2"/>
      <c r="P310" s="2"/>
      <c r="Q310" s="2"/>
      <c r="R310" s="2"/>
    </row>
    <row r="311" spans="1:18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91"/>
      <c r="L311" s="191"/>
      <c r="M311" s="74"/>
      <c r="N311" s="2"/>
      <c r="O311" s="2"/>
      <c r="P311" s="2"/>
      <c r="Q311" s="2"/>
      <c r="R311" s="2"/>
    </row>
    <row r="312" spans="1:18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91"/>
      <c r="L312" s="191"/>
      <c r="M312" s="74"/>
      <c r="N312" s="2"/>
      <c r="O312" s="2"/>
      <c r="P312" s="2"/>
      <c r="Q312" s="2"/>
      <c r="R312" s="2"/>
    </row>
    <row r="313" spans="1:18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91"/>
      <c r="L313" s="191"/>
      <c r="M313" s="74"/>
      <c r="N313" s="2"/>
      <c r="O313" s="2"/>
      <c r="P313" s="2"/>
      <c r="Q313" s="2"/>
      <c r="R313" s="2"/>
    </row>
    <row r="314" spans="1:1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91"/>
      <c r="L314" s="191"/>
      <c r="M314" s="74"/>
      <c r="N314" s="2"/>
      <c r="O314" s="2"/>
      <c r="P314" s="2"/>
      <c r="Q314" s="2"/>
      <c r="R314" s="2"/>
    </row>
    <row r="315" spans="1:1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91"/>
      <c r="L315" s="191"/>
      <c r="M315" s="74"/>
      <c r="N315" s="2"/>
      <c r="O315" s="2"/>
      <c r="P315" s="2"/>
      <c r="Q315" s="2"/>
      <c r="R315" s="2"/>
    </row>
    <row r="316" spans="1:1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91"/>
      <c r="L316" s="191"/>
      <c r="M316" s="74"/>
      <c r="N316" s="2"/>
      <c r="O316" s="2"/>
      <c r="P316" s="2"/>
      <c r="Q316" s="2"/>
      <c r="R316" s="2"/>
    </row>
    <row r="317" spans="1:1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91"/>
      <c r="L317" s="191"/>
      <c r="M317" s="74"/>
      <c r="N317" s="2"/>
      <c r="O317" s="2"/>
      <c r="P317" s="2"/>
      <c r="Q317" s="2"/>
      <c r="R317" s="2"/>
    </row>
    <row r="318" spans="1:1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91"/>
      <c r="L318" s="191"/>
      <c r="M318" s="74"/>
      <c r="N318" s="2"/>
      <c r="O318" s="2"/>
      <c r="P318" s="2"/>
      <c r="Q318" s="2"/>
      <c r="R318" s="2"/>
    </row>
    <row r="319" spans="1:1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91"/>
      <c r="L319" s="191"/>
      <c r="M319" s="74"/>
      <c r="N319" s="2"/>
      <c r="O319" s="2"/>
      <c r="P319" s="2"/>
      <c r="Q319" s="2"/>
      <c r="R319" s="2"/>
    </row>
    <row r="320" spans="1:1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91"/>
      <c r="L320" s="191"/>
      <c r="M320" s="74"/>
      <c r="N320" s="2"/>
      <c r="O320" s="2"/>
      <c r="P320" s="2"/>
      <c r="Q320" s="2"/>
      <c r="R320" s="2"/>
    </row>
    <row r="321" spans="1:1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91"/>
      <c r="L321" s="191"/>
      <c r="M321" s="74"/>
      <c r="N321" s="2"/>
      <c r="O321" s="2"/>
      <c r="P321" s="2"/>
      <c r="Q321" s="2"/>
      <c r="R321" s="2"/>
    </row>
    <row r="322" spans="1:1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91"/>
      <c r="L322" s="191"/>
      <c r="M322" s="74"/>
      <c r="N322" s="2"/>
      <c r="O322" s="2"/>
      <c r="P322" s="2"/>
      <c r="Q322" s="2"/>
      <c r="R322" s="2"/>
    </row>
    <row r="323" spans="1:1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91"/>
      <c r="L323" s="191"/>
      <c r="M323" s="74"/>
      <c r="N323" s="2"/>
      <c r="O323" s="2"/>
      <c r="P323" s="2"/>
      <c r="Q323" s="2"/>
      <c r="R323" s="2"/>
    </row>
    <row r="324" spans="1:1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91"/>
      <c r="L324" s="191"/>
      <c r="M324" s="74"/>
      <c r="N324" s="2"/>
      <c r="O324" s="2"/>
      <c r="P324" s="2"/>
      <c r="Q324" s="2"/>
      <c r="R324" s="2"/>
    </row>
    <row r="325" spans="1:1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91"/>
      <c r="L325" s="191"/>
      <c r="M325" s="74"/>
      <c r="N325" s="2"/>
      <c r="O325" s="2"/>
      <c r="P325" s="2"/>
      <c r="Q325" s="2"/>
      <c r="R325" s="2"/>
    </row>
    <row r="326" spans="1:1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91"/>
      <c r="L326" s="191"/>
      <c r="M326" s="74"/>
      <c r="N326" s="2"/>
      <c r="O326" s="2"/>
      <c r="P326" s="2"/>
      <c r="Q326" s="2"/>
      <c r="R326" s="2"/>
    </row>
    <row r="327" spans="1:1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91"/>
      <c r="L327" s="191"/>
      <c r="M327" s="74"/>
      <c r="N327" s="2"/>
      <c r="O327" s="2"/>
      <c r="P327" s="2"/>
      <c r="Q327" s="2"/>
      <c r="R327" s="2"/>
    </row>
    <row r="328" spans="1:1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91"/>
      <c r="L328" s="191"/>
      <c r="M328" s="74"/>
      <c r="N328" s="2"/>
      <c r="O328" s="2"/>
      <c r="P328" s="2"/>
      <c r="Q328" s="2"/>
      <c r="R328" s="2"/>
    </row>
    <row r="329" spans="1:1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91"/>
      <c r="L329" s="191"/>
      <c r="M329" s="74"/>
      <c r="N329" s="2"/>
      <c r="O329" s="2"/>
      <c r="P329" s="2"/>
      <c r="Q329" s="2"/>
      <c r="R329" s="2"/>
    </row>
    <row r="330" spans="1:1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91"/>
      <c r="L330" s="191"/>
      <c r="M330" s="74"/>
      <c r="N330" s="2"/>
      <c r="O330" s="2"/>
      <c r="P330" s="2"/>
      <c r="Q330" s="2"/>
      <c r="R330" s="2"/>
    </row>
    <row r="331" spans="1:1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91"/>
      <c r="L331" s="191"/>
      <c r="M331" s="74"/>
      <c r="N331" s="2"/>
      <c r="O331" s="2"/>
      <c r="P331" s="2"/>
      <c r="Q331" s="2"/>
      <c r="R331" s="2"/>
    </row>
    <row r="332" spans="1:1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91"/>
      <c r="L332" s="191"/>
      <c r="M332" s="74"/>
      <c r="N332" s="2"/>
      <c r="O332" s="2"/>
      <c r="P332" s="2"/>
      <c r="Q332" s="2"/>
      <c r="R332" s="2"/>
    </row>
    <row r="333" spans="1:1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91"/>
      <c r="L333" s="191"/>
      <c r="M333" s="74"/>
      <c r="N333" s="2"/>
      <c r="O333" s="2"/>
      <c r="P333" s="2"/>
      <c r="Q333" s="2"/>
      <c r="R333" s="2"/>
    </row>
    <row r="334" spans="1:1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91"/>
      <c r="L334" s="191"/>
      <c r="M334" s="74"/>
      <c r="N334" s="2"/>
      <c r="O334" s="2"/>
      <c r="P334" s="2"/>
      <c r="Q334" s="2"/>
      <c r="R334" s="2"/>
    </row>
    <row r="335" spans="1:1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91"/>
      <c r="L335" s="191"/>
      <c r="M335" s="74"/>
      <c r="N335" s="2"/>
      <c r="O335" s="2"/>
      <c r="P335" s="2"/>
      <c r="Q335" s="2"/>
      <c r="R335" s="2"/>
    </row>
    <row r="336" spans="1:1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91"/>
      <c r="L336" s="191"/>
      <c r="M336" s="74"/>
      <c r="N336" s="2"/>
      <c r="O336" s="2"/>
      <c r="P336" s="2"/>
      <c r="Q336" s="2"/>
      <c r="R336" s="2"/>
    </row>
    <row r="337" spans="1:1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91"/>
      <c r="L337" s="191"/>
      <c r="M337" s="74"/>
      <c r="N337" s="2"/>
      <c r="O337" s="2"/>
      <c r="P337" s="2"/>
      <c r="Q337" s="2"/>
      <c r="R337" s="2"/>
    </row>
    <row r="338" spans="1:1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91"/>
      <c r="L338" s="191"/>
      <c r="M338" s="74"/>
      <c r="N338" s="2"/>
      <c r="O338" s="2"/>
      <c r="P338" s="2"/>
      <c r="Q338" s="2"/>
      <c r="R338" s="2"/>
    </row>
    <row r="339" spans="1:1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91"/>
      <c r="L339" s="191"/>
      <c r="M339" s="74"/>
      <c r="N339" s="2"/>
      <c r="O339" s="2"/>
      <c r="P339" s="2"/>
      <c r="Q339" s="2"/>
      <c r="R339" s="2"/>
    </row>
    <row r="340" spans="1:1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91"/>
      <c r="L340" s="191"/>
      <c r="M340" s="74"/>
      <c r="N340" s="2"/>
      <c r="O340" s="2"/>
      <c r="P340" s="2"/>
      <c r="Q340" s="2"/>
      <c r="R340" s="2"/>
    </row>
    <row r="341" spans="1:1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91"/>
      <c r="L341" s="191"/>
      <c r="M341" s="74"/>
      <c r="N341" s="2"/>
      <c r="O341" s="2"/>
      <c r="P341" s="2"/>
      <c r="Q341" s="2"/>
      <c r="R341" s="2"/>
    </row>
    <row r="342" spans="1:1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91"/>
      <c r="L342" s="191"/>
      <c r="M342" s="74"/>
      <c r="N342" s="2"/>
      <c r="O342" s="2"/>
      <c r="P342" s="2"/>
      <c r="Q342" s="2"/>
      <c r="R342" s="2"/>
    </row>
    <row r="343" spans="1:1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91"/>
      <c r="L343" s="191"/>
      <c r="M343" s="74"/>
      <c r="N343" s="2"/>
      <c r="O343" s="2"/>
      <c r="P343" s="2"/>
      <c r="Q343" s="2"/>
      <c r="R343" s="2"/>
    </row>
    <row r="344" spans="1:1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91"/>
      <c r="L344" s="191"/>
      <c r="M344" s="74"/>
      <c r="N344" s="2"/>
      <c r="O344" s="2"/>
      <c r="P344" s="2"/>
      <c r="Q344" s="2"/>
      <c r="R344" s="2"/>
    </row>
    <row r="345" spans="1:1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91"/>
      <c r="L345" s="191"/>
      <c r="M345" s="74"/>
      <c r="N345" s="2"/>
      <c r="O345" s="2"/>
      <c r="P345" s="2"/>
      <c r="Q345" s="2"/>
      <c r="R345" s="2"/>
    </row>
    <row r="346" spans="1:1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91"/>
      <c r="L346" s="191"/>
      <c r="M346" s="74"/>
      <c r="N346" s="2"/>
      <c r="O346" s="2"/>
      <c r="P346" s="2"/>
      <c r="Q346" s="2"/>
      <c r="R346" s="2"/>
    </row>
    <row r="347" spans="1:1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91"/>
      <c r="L347" s="191"/>
      <c r="M347" s="74"/>
      <c r="N347" s="2"/>
      <c r="O347" s="2"/>
      <c r="P347" s="2"/>
      <c r="Q347" s="2"/>
      <c r="R347" s="2"/>
    </row>
    <row r="348" spans="1:1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91"/>
      <c r="L348" s="191"/>
      <c r="M348" s="74"/>
      <c r="N348" s="2"/>
      <c r="O348" s="2"/>
      <c r="P348" s="2"/>
      <c r="Q348" s="2"/>
      <c r="R348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1" manualBreakCount="1">
    <brk id="5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4" sqref="A4"/>
    </sheetView>
  </sheetViews>
  <sheetFormatPr defaultColWidth="9.6640625" defaultRowHeight="15" x14ac:dyDescent="0.2"/>
  <cols>
    <col min="1" max="1" width="10.21875" style="79" customWidth="1"/>
    <col min="2" max="2" width="9.77734375" style="79" customWidth="1"/>
    <col min="3" max="3" width="16.109375" style="79" customWidth="1"/>
    <col min="4" max="4" width="26.21875" style="79" customWidth="1"/>
    <col min="5" max="6" width="13.6640625" style="79" customWidth="1"/>
    <col min="7" max="7" width="16" style="79" customWidth="1"/>
    <col min="8" max="8" width="12.44140625" style="79" customWidth="1"/>
    <col min="9" max="9" width="15.88671875" style="79" customWidth="1"/>
    <col min="10" max="10" width="14.6640625" style="79" customWidth="1"/>
    <col min="11" max="11" width="11.5546875" style="79" customWidth="1"/>
    <col min="12" max="12" width="12.77734375" style="79" customWidth="1"/>
    <col min="13" max="13" width="14.5546875" style="79" customWidth="1"/>
    <col min="14" max="14" width="10.109375" style="79" customWidth="1"/>
    <col min="15" max="15" width="13.44140625" style="79" customWidth="1"/>
    <col min="16" max="16" width="3.77734375" style="79" customWidth="1"/>
    <col min="17" max="16384" width="9.6640625" style="79"/>
  </cols>
  <sheetData>
    <row r="1" spans="1:16" ht="23.25" x14ac:dyDescent="0.35">
      <c r="A1" s="77" t="s">
        <v>0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ht="23.25" x14ac:dyDescent="0.35">
      <c r="A2" s="77" t="s">
        <v>21</v>
      </c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ht="23.25" x14ac:dyDescent="0.35">
      <c r="A3" s="281" t="s">
        <v>74</v>
      </c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23.25" x14ac:dyDescent="0.35">
      <c r="A4" s="77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6" ht="24" thickBot="1" x14ac:dyDescent="0.4">
      <c r="A5" s="77" t="s">
        <v>22</v>
      </c>
      <c r="B5" s="77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6" ht="16.5" thickTop="1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1" t="s">
        <v>23</v>
      </c>
      <c r="P6" s="82"/>
    </row>
    <row r="7" spans="1:16" ht="15.75" x14ac:dyDescent="0.25">
      <c r="A7" s="104" t="s">
        <v>24</v>
      </c>
      <c r="B7" s="83" t="s">
        <v>13</v>
      </c>
      <c r="C7" s="83" t="s">
        <v>15</v>
      </c>
      <c r="D7" s="83" t="s">
        <v>62</v>
      </c>
      <c r="E7" s="274" t="s">
        <v>55</v>
      </c>
      <c r="F7" s="83" t="s">
        <v>60</v>
      </c>
      <c r="G7" s="83" t="s">
        <v>63</v>
      </c>
      <c r="H7" s="83" t="s">
        <v>68</v>
      </c>
      <c r="I7" s="83" t="s">
        <v>70</v>
      </c>
      <c r="J7" s="83" t="s">
        <v>25</v>
      </c>
      <c r="K7" s="83" t="s">
        <v>52</v>
      </c>
      <c r="L7" s="83" t="s">
        <v>50</v>
      </c>
      <c r="M7" s="83" t="s">
        <v>17</v>
      </c>
      <c r="N7" s="83" t="s">
        <v>51</v>
      </c>
      <c r="O7" s="83" t="s">
        <v>26</v>
      </c>
      <c r="P7" s="82"/>
    </row>
    <row r="8" spans="1:16" ht="16.5" thickBot="1" x14ac:dyDescent="0.3">
      <c r="A8" s="84"/>
      <c r="B8" s="84"/>
      <c r="C8" s="84"/>
      <c r="D8" s="84"/>
      <c r="E8" s="275"/>
      <c r="F8" s="84"/>
      <c r="G8" s="84"/>
      <c r="H8" s="84"/>
      <c r="I8" s="84"/>
      <c r="J8" s="84"/>
      <c r="K8" s="84"/>
      <c r="L8" s="84"/>
      <c r="M8" s="84"/>
      <c r="N8" s="84"/>
      <c r="O8" s="84"/>
      <c r="P8" s="82"/>
    </row>
    <row r="9" spans="1:16" ht="15.75" thickTop="1" x14ac:dyDescent="0.2">
      <c r="A9" s="85"/>
      <c r="B9" s="85"/>
      <c r="C9" s="85"/>
      <c r="D9" s="85"/>
      <c r="E9" s="86"/>
      <c r="F9" s="86"/>
      <c r="G9" s="86"/>
      <c r="H9" s="86"/>
      <c r="I9" s="86"/>
      <c r="J9" s="85"/>
      <c r="K9" s="85"/>
      <c r="L9" s="85"/>
      <c r="M9" s="85"/>
      <c r="N9" s="85"/>
      <c r="O9" s="85"/>
      <c r="P9" s="82"/>
    </row>
    <row r="10" spans="1:16" ht="15.75" x14ac:dyDescent="0.25">
      <c r="A10" s="87">
        <f>DATE(2025,7,1)</f>
        <v>45839</v>
      </c>
      <c r="B10" s="88">
        <f>'MONTHLY STATS'!$C$9*2</f>
        <v>360560</v>
      </c>
      <c r="C10" s="88">
        <f>'MONTHLY STATS'!$C$14*2</f>
        <v>214610</v>
      </c>
      <c r="D10" s="88">
        <f>'MONTHLY STATS'!$C$19*2</f>
        <v>145072</v>
      </c>
      <c r="E10" s="88">
        <f>'MONTHLY STATS'!$C$24*2</f>
        <v>626512</v>
      </c>
      <c r="F10" s="88">
        <f>'MONTHLY STATS'!$C$29*2</f>
        <v>378056</v>
      </c>
      <c r="G10" s="88">
        <f>'MONTHLY STATS'!$C$34*2</f>
        <v>189756</v>
      </c>
      <c r="H10" s="88">
        <f>'MONTHLY STATS'!$C$39*2</f>
        <v>408904</v>
      </c>
      <c r="I10" s="88">
        <f>'MONTHLY STATS'!$C$44*2</f>
        <v>432796</v>
      </c>
      <c r="J10" s="88">
        <f>'MONTHLY STATS'!$C$49*2</f>
        <v>512784</v>
      </c>
      <c r="K10" s="88">
        <f>'MONTHLY STATS'!$C$54*2</f>
        <v>669154</v>
      </c>
      <c r="L10" s="88">
        <f>'MONTHLY STATS'!$C$59*2</f>
        <v>85610</v>
      </c>
      <c r="M10" s="88">
        <f>'MONTHLY STATS'!$C$64*2</f>
        <v>665520</v>
      </c>
      <c r="N10" s="88">
        <f>'MONTHLY STATS'!$C$69*2</f>
        <v>125062</v>
      </c>
      <c r="O10" s="89">
        <f>SUM(B10:N10)</f>
        <v>4814396</v>
      </c>
      <c r="P10" s="82"/>
    </row>
    <row r="11" spans="1:16" ht="15.75" x14ac:dyDescent="0.25">
      <c r="A11" s="87">
        <f>DATE(2025,8,1)</f>
        <v>45870</v>
      </c>
      <c r="B11" s="88">
        <f>'MONTHLY STATS'!$C$10*2</f>
        <v>379164</v>
      </c>
      <c r="C11" s="88">
        <f>'MONTHLY STATS'!$C$15*2</f>
        <v>220074</v>
      </c>
      <c r="D11" s="88">
        <f>'MONTHLY STATS'!$C$20*2</f>
        <v>154922</v>
      </c>
      <c r="E11" s="88">
        <f>'MONTHLY STATS'!$C$25*2</f>
        <v>669634</v>
      </c>
      <c r="F11" s="88">
        <f>'MONTHLY STATS'!$C$30*2</f>
        <v>388106</v>
      </c>
      <c r="G11" s="88">
        <f>'MONTHLY STATS'!$C$35*2</f>
        <v>194500</v>
      </c>
      <c r="H11" s="88">
        <f>'MONTHLY STATS'!$C$40*2</f>
        <v>413278</v>
      </c>
      <c r="I11" s="88">
        <f>'MONTHLY STATS'!$C$45*2</f>
        <v>461220</v>
      </c>
      <c r="J11" s="88">
        <f>'MONTHLY STATS'!$C$50*2</f>
        <v>529360</v>
      </c>
      <c r="K11" s="88">
        <f>'MONTHLY STATS'!$C$55*2</f>
        <v>688408</v>
      </c>
      <c r="L11" s="88">
        <f>'MONTHLY STATS'!$C$60*2</f>
        <v>86952</v>
      </c>
      <c r="M11" s="88">
        <f>'MONTHLY STATS'!$C$65*2</f>
        <v>675846</v>
      </c>
      <c r="N11" s="88">
        <f>'MONTHLY STATS'!$C$70*2</f>
        <v>130530</v>
      </c>
      <c r="O11" s="89">
        <f>SUM(B11:N11)</f>
        <v>4991994</v>
      </c>
      <c r="P11" s="82"/>
    </row>
    <row r="12" spans="1:16" ht="15.75" x14ac:dyDescent="0.25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9"/>
      <c r="P12" s="82"/>
    </row>
    <row r="13" spans="1:16" ht="15.75" x14ac:dyDescent="0.25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9"/>
      <c r="P13" s="82"/>
    </row>
    <row r="14" spans="1:16" ht="15.75" x14ac:dyDescent="0.25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9"/>
      <c r="P14" s="82"/>
    </row>
    <row r="15" spans="1:16" ht="15.75" x14ac:dyDescent="0.25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9"/>
      <c r="P15" s="82"/>
    </row>
    <row r="16" spans="1:16" ht="15.75" x14ac:dyDescent="0.25">
      <c r="A16" s="8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9"/>
      <c r="P16" s="82"/>
    </row>
    <row r="17" spans="1:16" ht="15.75" x14ac:dyDescent="0.25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9"/>
      <c r="P17" s="82"/>
    </row>
    <row r="18" spans="1:16" ht="15.75" x14ac:dyDescent="0.25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82"/>
    </row>
    <row r="19" spans="1:16" ht="15.75" x14ac:dyDescent="0.25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9"/>
      <c r="P19" s="82"/>
    </row>
    <row r="20" spans="1:16" ht="15.75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9"/>
      <c r="P20" s="82"/>
    </row>
    <row r="21" spans="1:16" ht="15.75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9"/>
      <c r="P21" s="82"/>
    </row>
    <row r="22" spans="1:16" ht="15.75" x14ac:dyDescent="0.2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9"/>
      <c r="P22" s="82"/>
    </row>
    <row r="23" spans="1:16" ht="15.75" x14ac:dyDescent="0.25">
      <c r="A23" s="90" t="s">
        <v>27</v>
      </c>
      <c r="B23" s="89">
        <f t="shared" ref="B23:O23" si="0">SUM(B10:B21)</f>
        <v>739724</v>
      </c>
      <c r="C23" s="89">
        <f t="shared" si="0"/>
        <v>434684</v>
      </c>
      <c r="D23" s="89">
        <f t="shared" si="0"/>
        <v>299994</v>
      </c>
      <c r="E23" s="89">
        <f t="shared" si="0"/>
        <v>1296146</v>
      </c>
      <c r="F23" s="89">
        <f t="shared" si="0"/>
        <v>766162</v>
      </c>
      <c r="G23" s="89">
        <f>SUM(G10:G21)</f>
        <v>384256</v>
      </c>
      <c r="H23" s="89">
        <f t="shared" si="0"/>
        <v>822182</v>
      </c>
      <c r="I23" s="89">
        <f>SUM(I10:I21)</f>
        <v>894016</v>
      </c>
      <c r="J23" s="89">
        <f t="shared" si="0"/>
        <v>1042144</v>
      </c>
      <c r="K23" s="89">
        <f>SUM(K10:K21)</f>
        <v>1357562</v>
      </c>
      <c r="L23" s="89">
        <f t="shared" si="0"/>
        <v>172562</v>
      </c>
      <c r="M23" s="89">
        <f t="shared" si="0"/>
        <v>1341366</v>
      </c>
      <c r="N23" s="89">
        <f t="shared" si="0"/>
        <v>255592</v>
      </c>
      <c r="O23" s="89">
        <f t="shared" si="0"/>
        <v>9806390</v>
      </c>
      <c r="P23" s="82"/>
    </row>
    <row r="24" spans="1:16" ht="16.5" thickBot="1" x14ac:dyDescent="0.3">
      <c r="A24" s="91"/>
      <c r="B24" s="89"/>
      <c r="C24" s="89"/>
      <c r="D24" s="89"/>
      <c r="E24" s="88"/>
      <c r="F24" s="88"/>
      <c r="G24" s="88"/>
      <c r="H24" s="88"/>
      <c r="I24" s="88"/>
      <c r="J24" s="89"/>
      <c r="K24" s="89"/>
      <c r="L24" s="89"/>
      <c r="M24" s="89"/>
      <c r="N24" s="89"/>
      <c r="O24" s="89"/>
      <c r="P24" s="82"/>
    </row>
    <row r="25" spans="1:16" ht="15.75" thickTop="1" x14ac:dyDescent="0.2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4"/>
      <c r="L25" s="94"/>
      <c r="M25" s="94"/>
      <c r="N25" s="94"/>
      <c r="O25" s="94"/>
    </row>
    <row r="26" spans="1:16" ht="24" thickBot="1" x14ac:dyDescent="0.4">
      <c r="A26" s="95" t="s">
        <v>28</v>
      </c>
      <c r="B26" s="96"/>
      <c r="C26" s="97"/>
      <c r="D26" s="97"/>
      <c r="E26" s="97"/>
      <c r="F26" s="97"/>
      <c r="G26" s="97"/>
      <c r="H26" s="97"/>
      <c r="I26" s="97"/>
      <c r="J26" s="97"/>
      <c r="K26" s="98"/>
      <c r="L26" s="98"/>
      <c r="M26" s="98"/>
      <c r="N26" s="98"/>
      <c r="O26" s="98"/>
    </row>
    <row r="27" spans="1:16" ht="16.5" thickTop="1" x14ac:dyDescent="0.25">
      <c r="A27" s="99"/>
      <c r="B27" s="100"/>
      <c r="C27" s="100"/>
      <c r="D27" s="100"/>
      <c r="E27" s="101"/>
      <c r="F27" s="101"/>
      <c r="G27" s="101"/>
      <c r="H27" s="101"/>
      <c r="I27" s="101"/>
      <c r="J27" s="100"/>
      <c r="K27" s="102"/>
      <c r="L27" s="102"/>
      <c r="M27" s="102"/>
      <c r="N27" s="102"/>
      <c r="O27" s="103" t="s">
        <v>23</v>
      </c>
      <c r="P27" s="82"/>
    </row>
    <row r="28" spans="1:16" ht="15.75" x14ac:dyDescent="0.25">
      <c r="A28" s="104" t="s">
        <v>24</v>
      </c>
      <c r="B28" s="83" t="s">
        <v>13</v>
      </c>
      <c r="C28" s="83" t="s">
        <v>15</v>
      </c>
      <c r="D28" s="83" t="s">
        <v>62</v>
      </c>
      <c r="E28" s="274" t="s">
        <v>55</v>
      </c>
      <c r="F28" s="83" t="s">
        <v>60</v>
      </c>
      <c r="G28" s="83" t="s">
        <v>63</v>
      </c>
      <c r="H28" s="83" t="s">
        <v>68</v>
      </c>
      <c r="I28" s="83" t="s">
        <v>70</v>
      </c>
      <c r="J28" s="83" t="s">
        <v>25</v>
      </c>
      <c r="K28" s="105" t="s">
        <v>52</v>
      </c>
      <c r="L28" s="105" t="s">
        <v>50</v>
      </c>
      <c r="M28" s="105" t="s">
        <v>17</v>
      </c>
      <c r="N28" s="105" t="s">
        <v>51</v>
      </c>
      <c r="O28" s="105" t="s">
        <v>26</v>
      </c>
      <c r="P28" s="82"/>
    </row>
    <row r="29" spans="1:16" ht="16.5" thickBot="1" x14ac:dyDescent="0.3">
      <c r="A29" s="106"/>
      <c r="B29" s="107"/>
      <c r="C29" s="107"/>
      <c r="D29" s="107"/>
      <c r="E29" s="275"/>
      <c r="F29" s="83"/>
      <c r="G29" s="83"/>
      <c r="H29" s="83"/>
      <c r="I29" s="83"/>
      <c r="J29" s="107"/>
      <c r="K29" s="108"/>
      <c r="L29" s="108"/>
      <c r="M29" s="108"/>
      <c r="N29" s="108"/>
      <c r="O29" s="108"/>
      <c r="P29" s="82"/>
    </row>
    <row r="30" spans="1:16" ht="15.75" thickTop="1" x14ac:dyDescent="0.2">
      <c r="A30" s="109"/>
      <c r="B30" s="110"/>
      <c r="C30" s="110"/>
      <c r="D30" s="110"/>
      <c r="E30" s="111"/>
      <c r="F30" s="111"/>
      <c r="G30" s="111"/>
      <c r="H30" s="111"/>
      <c r="I30" s="111"/>
      <c r="J30" s="110"/>
      <c r="K30" s="112"/>
      <c r="L30" s="112"/>
      <c r="M30" s="112"/>
      <c r="N30" s="112"/>
      <c r="O30" s="112"/>
      <c r="P30" s="82"/>
    </row>
    <row r="31" spans="1:16" ht="15.75" x14ac:dyDescent="0.25">
      <c r="A31" s="87">
        <f>DATE(2025,7,1)</f>
        <v>45839</v>
      </c>
      <c r="B31" s="88">
        <f>'MONTHLY STATS'!$K$9*0.21</f>
        <v>2868662.3742</v>
      </c>
      <c r="C31" s="88">
        <f>'MONTHLY STATS'!$K$14*0.21</f>
        <v>1755725.4372</v>
      </c>
      <c r="D31" s="88">
        <f>'MONTHLY STATS'!$K$19*0.21</f>
        <v>1071613.5759000001</v>
      </c>
      <c r="E31" s="88">
        <f>'MONTHLY STATS'!$K$24*0.21</f>
        <v>4632434.1272999998</v>
      </c>
      <c r="F31" s="88">
        <f>'MONTHLY STATS'!$K$29*0.21</f>
        <v>3046383.8201999995</v>
      </c>
      <c r="G31" s="88">
        <f>'MONTHLY STATS'!$K$34*0.21</f>
        <v>1232192.7890999999</v>
      </c>
      <c r="H31" s="88">
        <f>'MONTHLY STATS'!$K$39*0.21</f>
        <v>2324377.5155999996</v>
      </c>
      <c r="I31" s="88">
        <f>'MONTHLY STATS'!$K$44*0.21</f>
        <v>3036431.0718</v>
      </c>
      <c r="J31" s="88">
        <f>'MONTHLY STATS'!$K$49*0.21</f>
        <v>3669881.8905000002</v>
      </c>
      <c r="K31" s="88">
        <f>'MONTHLY STATS'!$K$54*0.21</f>
        <v>4675936.7675999999</v>
      </c>
      <c r="L31" s="88">
        <f>'MONTHLY STATS'!$K$59*0.21</f>
        <v>618653.44169999997</v>
      </c>
      <c r="M31" s="88">
        <f>'MONTHLY STATS'!$K$64*0.21</f>
        <v>5378563.3292999994</v>
      </c>
      <c r="N31" s="88">
        <f>'MONTHLY STATS'!$K$69*0.21</f>
        <v>908066.38439999986</v>
      </c>
      <c r="O31" s="89">
        <f>SUM(B31:N31)</f>
        <v>35218922.524800003</v>
      </c>
      <c r="P31" s="82"/>
    </row>
    <row r="32" spans="1:16" ht="15.75" x14ac:dyDescent="0.25">
      <c r="A32" s="87">
        <f>DATE(2025,8,1)</f>
        <v>45870</v>
      </c>
      <c r="B32" s="88">
        <f>'MONTHLY STATS'!$K$10*0.21</f>
        <v>3109937.1596999997</v>
      </c>
      <c r="C32" s="88">
        <f>'MONTHLY STATS'!$K$15*0.21</f>
        <v>1755120.5027999999</v>
      </c>
      <c r="D32" s="88">
        <f>'MONTHLY STATS'!$K$20*0.21</f>
        <v>1127483.3870999999</v>
      </c>
      <c r="E32" s="88">
        <f>'MONTHLY STATS'!$K$25*0.21</f>
        <v>4982806.8191999998</v>
      </c>
      <c r="F32" s="88">
        <f>'MONTHLY STATS'!$K$30*0.21</f>
        <v>3390595.3514999999</v>
      </c>
      <c r="G32" s="88">
        <f>'MONTHLY STATS'!$K$35*0.21</f>
        <v>1278646.3158</v>
      </c>
      <c r="H32" s="88">
        <f>'MONTHLY STATS'!$K$40*0.21</f>
        <v>2370991.5158999995</v>
      </c>
      <c r="I32" s="88">
        <f>'MONTHLY STATS'!$K$45*0.21</f>
        <v>3222736.7528999997</v>
      </c>
      <c r="J32" s="88">
        <f>'MONTHLY STATS'!$K$50*0.21</f>
        <v>3734109.5105999997</v>
      </c>
      <c r="K32" s="88">
        <f>'MONTHLY STATS'!$K$55*0.21</f>
        <v>5049494.1441000002</v>
      </c>
      <c r="L32" s="88">
        <f>'MONTHLY STATS'!$K$60*0.21</f>
        <v>634301.99699999997</v>
      </c>
      <c r="M32" s="88">
        <f>'MONTHLY STATS'!$K$65*0.21</f>
        <v>5731629.0339000002</v>
      </c>
      <c r="N32" s="88">
        <f>'MONTHLY STATS'!$K$70*0.21</f>
        <v>881846.07630000007</v>
      </c>
      <c r="O32" s="89">
        <f>SUM(B32:N32)</f>
        <v>37269698.566800006</v>
      </c>
      <c r="P32" s="82"/>
    </row>
    <row r="33" spans="1:16" ht="15.75" x14ac:dyDescent="0.25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9"/>
      <c r="P33" s="82"/>
    </row>
    <row r="34" spans="1:16" ht="15.75" x14ac:dyDescent="0.25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9"/>
      <c r="P34" s="82"/>
    </row>
    <row r="35" spans="1:16" ht="15.75" x14ac:dyDescent="0.25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9"/>
      <c r="P35" s="82"/>
    </row>
    <row r="36" spans="1:16" ht="15.75" x14ac:dyDescent="0.25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9"/>
      <c r="P36" s="82"/>
    </row>
    <row r="37" spans="1:16" ht="15.75" x14ac:dyDescent="0.2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9"/>
      <c r="P37" s="82"/>
    </row>
    <row r="38" spans="1:16" ht="15.75" x14ac:dyDescent="0.2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9"/>
      <c r="P38" s="82"/>
    </row>
    <row r="39" spans="1:16" ht="15.75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9"/>
      <c r="P39" s="82"/>
    </row>
    <row r="40" spans="1:16" ht="15.75" x14ac:dyDescent="0.25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9"/>
      <c r="P40" s="82"/>
    </row>
    <row r="41" spans="1:16" ht="15.75" x14ac:dyDescent="0.2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9"/>
      <c r="P41" s="82"/>
    </row>
    <row r="42" spans="1:16" ht="15.75" x14ac:dyDescent="0.25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9"/>
      <c r="P42" s="82"/>
    </row>
    <row r="43" spans="1:16" ht="15.75" x14ac:dyDescent="0.25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9"/>
      <c r="P43" s="82"/>
    </row>
    <row r="44" spans="1:16" ht="15.75" x14ac:dyDescent="0.25">
      <c r="A44" s="90" t="s">
        <v>27</v>
      </c>
      <c r="B44" s="89">
        <f t="shared" ref="B44:O44" si="1">SUM(B31:B42)</f>
        <v>5978599.5339000002</v>
      </c>
      <c r="C44" s="89">
        <f t="shared" si="1"/>
        <v>3510845.94</v>
      </c>
      <c r="D44" s="89">
        <f t="shared" si="1"/>
        <v>2199096.963</v>
      </c>
      <c r="E44" s="89">
        <f t="shared" si="1"/>
        <v>9615240.9464999996</v>
      </c>
      <c r="F44" s="89">
        <f t="shared" si="1"/>
        <v>6436979.1716999989</v>
      </c>
      <c r="G44" s="89">
        <f t="shared" si="1"/>
        <v>2510839.1048999997</v>
      </c>
      <c r="H44" s="89">
        <f t="shared" si="1"/>
        <v>4695369.0314999986</v>
      </c>
      <c r="I44" s="89">
        <f>SUM(I31:I42)</f>
        <v>6259167.8246999998</v>
      </c>
      <c r="J44" s="89">
        <f t="shared" si="1"/>
        <v>7403991.4011000004</v>
      </c>
      <c r="K44" s="89">
        <f>SUM(K31:K42)</f>
        <v>9725430.9116999991</v>
      </c>
      <c r="L44" s="89">
        <f t="shared" si="1"/>
        <v>1252955.4386999998</v>
      </c>
      <c r="M44" s="89">
        <f t="shared" si="1"/>
        <v>11110192.3632</v>
      </c>
      <c r="N44" s="89">
        <f t="shared" si="1"/>
        <v>1789912.4606999999</v>
      </c>
      <c r="O44" s="89">
        <f t="shared" si="1"/>
        <v>72488621.091600001</v>
      </c>
      <c r="P44" s="82"/>
    </row>
    <row r="45" spans="1:16" ht="16.5" thickBot="1" x14ac:dyDescent="0.3">
      <c r="A45" s="91"/>
      <c r="B45" s="89"/>
      <c r="C45" s="89"/>
      <c r="D45" s="89"/>
      <c r="E45" s="88"/>
      <c r="F45" s="88"/>
      <c r="G45" s="88"/>
      <c r="H45" s="88"/>
      <c r="I45" s="88"/>
      <c r="J45" s="89"/>
      <c r="K45" s="89"/>
      <c r="L45" s="89"/>
      <c r="M45" s="89"/>
      <c r="N45" s="89"/>
      <c r="O45" s="89"/>
      <c r="P45" s="82"/>
    </row>
    <row r="46" spans="1:16" ht="15.75" thickTop="1" x14ac:dyDescent="0.2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</row>
    <row r="47" spans="1:16" x14ac:dyDescent="0.2">
      <c r="A47" s="287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</row>
    <row r="48" spans="1:16" ht="15.75" x14ac:dyDescent="0.25">
      <c r="A48" s="114" t="s">
        <v>29</v>
      </c>
      <c r="B48" s="97"/>
      <c r="C48" s="97"/>
      <c r="D48" s="97"/>
      <c r="E48" s="97"/>
      <c r="F48" s="97"/>
      <c r="G48" s="97"/>
      <c r="H48" s="97"/>
      <c r="I48" s="97"/>
    </row>
    <row r="49" spans="1:9" ht="15.75" x14ac:dyDescent="0.25">
      <c r="A49" s="114"/>
      <c r="B49" s="97"/>
      <c r="C49" s="97"/>
      <c r="D49" s="97"/>
      <c r="E49" s="97"/>
      <c r="F49" s="97"/>
      <c r="G49" s="97"/>
      <c r="H49" s="97"/>
      <c r="I49" s="97"/>
    </row>
    <row r="50" spans="1:9" ht="15.75" x14ac:dyDescent="0.25">
      <c r="A50" s="71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9"/>
  <sheetViews>
    <sheetView showOutlineSymbols="0" zoomScaleNormal="100" workbookViewId="0">
      <selection activeCell="A5" sqref="A5"/>
    </sheetView>
  </sheetViews>
  <sheetFormatPr defaultColWidth="9.6640625" defaultRowHeight="15" x14ac:dyDescent="0.2"/>
  <cols>
    <col min="1" max="1" width="27.6640625" style="117" customWidth="1"/>
    <col min="2" max="2" width="9.6640625" style="117" customWidth="1"/>
    <col min="3" max="3" width="16.6640625" style="208" customWidth="1"/>
    <col min="4" max="5" width="15.6640625" style="208" customWidth="1"/>
    <col min="6" max="6" width="9.6640625" style="117" customWidth="1"/>
    <col min="7" max="7" width="10.5546875" style="220" customWidth="1"/>
    <col min="8" max="16384" width="9.6640625" style="117"/>
  </cols>
  <sheetData>
    <row r="1" spans="1:8" ht="18" x14ac:dyDescent="0.25">
      <c r="A1" s="115" t="s">
        <v>0</v>
      </c>
      <c r="B1" s="116"/>
      <c r="C1" s="199"/>
      <c r="D1" s="199"/>
      <c r="E1" s="199"/>
      <c r="F1" s="116"/>
      <c r="G1" s="209"/>
    </row>
    <row r="2" spans="1:8" ht="18" customHeight="1" x14ac:dyDescent="0.3">
      <c r="A2" s="118" t="s">
        <v>30</v>
      </c>
      <c r="B2" s="116"/>
      <c r="C2" s="199"/>
      <c r="D2" s="199"/>
      <c r="E2" s="199"/>
      <c r="F2" s="116"/>
      <c r="G2" s="209"/>
    </row>
    <row r="3" spans="1:8" ht="18" customHeight="1" x14ac:dyDescent="0.25">
      <c r="A3" s="282" t="s">
        <v>75</v>
      </c>
      <c r="B3" s="116"/>
      <c r="C3" s="199"/>
      <c r="D3" s="199"/>
      <c r="E3" s="199"/>
      <c r="F3" s="116"/>
      <c r="G3" s="209"/>
    </row>
    <row r="4" spans="1:8" x14ac:dyDescent="0.2">
      <c r="A4" s="283" t="s">
        <v>76</v>
      </c>
      <c r="B4" s="116"/>
      <c r="C4" s="199"/>
      <c r="D4" s="199"/>
      <c r="E4" s="199"/>
      <c r="F4" s="116"/>
      <c r="G4" s="209"/>
    </row>
    <row r="5" spans="1:8" ht="15.75" x14ac:dyDescent="0.25">
      <c r="A5" s="116"/>
      <c r="B5" s="116"/>
      <c r="C5" s="199"/>
      <c r="D5" s="199"/>
      <c r="E5" s="199"/>
      <c r="F5" s="116"/>
      <c r="G5" s="210" t="s">
        <v>1</v>
      </c>
    </row>
    <row r="6" spans="1:8" ht="16.5" thickTop="1" x14ac:dyDescent="0.25">
      <c r="A6" s="119"/>
      <c r="B6" s="120" t="s">
        <v>2</v>
      </c>
      <c r="C6" s="200" t="s">
        <v>31</v>
      </c>
      <c r="D6" s="200" t="s">
        <v>31</v>
      </c>
      <c r="E6" s="200" t="s">
        <v>3</v>
      </c>
      <c r="F6" s="121"/>
      <c r="G6" s="211" t="s">
        <v>32</v>
      </c>
      <c r="H6" s="122"/>
    </row>
    <row r="7" spans="1:8" ht="16.5" thickBot="1" x14ac:dyDescent="0.3">
      <c r="A7" s="123" t="s">
        <v>5</v>
      </c>
      <c r="B7" s="124" t="s">
        <v>6</v>
      </c>
      <c r="C7" s="261" t="s">
        <v>33</v>
      </c>
      <c r="D7" s="201" t="s">
        <v>34</v>
      </c>
      <c r="E7" s="201" t="s">
        <v>34</v>
      </c>
      <c r="F7" s="125" t="s">
        <v>8</v>
      </c>
      <c r="G7" s="212" t="s">
        <v>35</v>
      </c>
      <c r="H7" s="122"/>
    </row>
    <row r="8" spans="1:8" ht="15.75" customHeight="1" thickTop="1" x14ac:dyDescent="0.25">
      <c r="A8" s="126"/>
      <c r="B8" s="127"/>
      <c r="C8" s="202"/>
      <c r="D8" s="202"/>
      <c r="E8" s="202"/>
      <c r="F8" s="128"/>
      <c r="G8" s="213"/>
      <c r="H8" s="122"/>
    </row>
    <row r="9" spans="1:8" ht="15.75" x14ac:dyDescent="0.25">
      <c r="A9" s="129" t="s">
        <v>36</v>
      </c>
      <c r="B9" s="130">
        <f>DATE(2025,7,1)</f>
        <v>45839</v>
      </c>
      <c r="C9" s="203">
        <v>15157408</v>
      </c>
      <c r="D9" s="203">
        <v>2471172.5</v>
      </c>
      <c r="E9" s="203">
        <v>2142172</v>
      </c>
      <c r="F9" s="131">
        <f>(+D9-E9)/E9</f>
        <v>0.15358267216638066</v>
      </c>
      <c r="G9" s="214">
        <f>D9/C9</f>
        <v>0.16303397652157942</v>
      </c>
      <c r="H9" s="122"/>
    </row>
    <row r="10" spans="1:8" ht="15.75" x14ac:dyDescent="0.25">
      <c r="A10" s="129"/>
      <c r="B10" s="130">
        <f>DATE(2025,8,1)</f>
        <v>45870</v>
      </c>
      <c r="C10" s="203">
        <v>15784114</v>
      </c>
      <c r="D10" s="203">
        <v>2783309</v>
      </c>
      <c r="E10" s="203">
        <v>2238159.9</v>
      </c>
      <c r="F10" s="131">
        <f>(+D10-E10)/E10</f>
        <v>0.24357022034037878</v>
      </c>
      <c r="G10" s="214">
        <f>D10/C10</f>
        <v>0.17633609336577269</v>
      </c>
      <c r="H10" s="122"/>
    </row>
    <row r="11" spans="1:8" ht="15.75" thickBot="1" x14ac:dyDescent="0.25">
      <c r="A11" s="132"/>
      <c r="B11" s="133"/>
      <c r="C11" s="203"/>
      <c r="D11" s="203"/>
      <c r="E11" s="203"/>
      <c r="F11" s="131"/>
      <c r="G11" s="214"/>
      <c r="H11" s="122"/>
    </row>
    <row r="12" spans="1:8" ht="17.25" thickTop="1" thickBot="1" x14ac:dyDescent="0.3">
      <c r="A12" s="134" t="s">
        <v>14</v>
      </c>
      <c r="B12" s="135"/>
      <c r="C12" s="200">
        <f>SUM(C9:C11)</f>
        <v>30941522</v>
      </c>
      <c r="D12" s="200">
        <f>SUM(D9:D11)</f>
        <v>5254481.5</v>
      </c>
      <c r="E12" s="200">
        <f>SUM(E9:E11)</f>
        <v>4380331.9000000004</v>
      </c>
      <c r="F12" s="136">
        <f>(+D12-E12)/E12</f>
        <v>0.19956241215420217</v>
      </c>
      <c r="G12" s="211">
        <f>D12/C12</f>
        <v>0.16981974900911467</v>
      </c>
      <c r="H12" s="122"/>
    </row>
    <row r="13" spans="1:8" ht="15.75" customHeight="1" thickTop="1" x14ac:dyDescent="0.25">
      <c r="A13" s="137"/>
      <c r="B13" s="138"/>
      <c r="C13" s="204"/>
      <c r="D13" s="204"/>
      <c r="E13" s="204"/>
      <c r="F13" s="139"/>
      <c r="G13" s="215"/>
      <c r="H13" s="122"/>
    </row>
    <row r="14" spans="1:8" ht="15.75" x14ac:dyDescent="0.25">
      <c r="A14" s="19" t="s">
        <v>15</v>
      </c>
      <c r="B14" s="130">
        <f>DATE(2025,7,1)</f>
        <v>45839</v>
      </c>
      <c r="C14" s="203">
        <v>2659383</v>
      </c>
      <c r="D14" s="203">
        <v>660688.5</v>
      </c>
      <c r="E14" s="203">
        <v>481789</v>
      </c>
      <c r="F14" s="131">
        <f>(+D14-E14)/E14</f>
        <v>0.37132333863994404</v>
      </c>
      <c r="G14" s="214">
        <f>D14/C14</f>
        <v>0.24843676145933097</v>
      </c>
      <c r="H14" s="122"/>
    </row>
    <row r="15" spans="1:8" ht="15.75" x14ac:dyDescent="0.25">
      <c r="A15" s="19"/>
      <c r="B15" s="130">
        <f>DATE(2025,8,1)</f>
        <v>45870</v>
      </c>
      <c r="C15" s="203">
        <v>2981006</v>
      </c>
      <c r="D15" s="203">
        <v>701335</v>
      </c>
      <c r="E15" s="203">
        <v>713769.5</v>
      </c>
      <c r="F15" s="131">
        <f>(+D15-E15)/E15</f>
        <v>-1.7420890077258836E-2</v>
      </c>
      <c r="G15" s="214">
        <f>D15/C15</f>
        <v>0.23526789278518728</v>
      </c>
      <c r="H15" s="122"/>
    </row>
    <row r="16" spans="1:8" ht="15.75" thickBot="1" x14ac:dyDescent="0.25">
      <c r="A16" s="132"/>
      <c r="B16" s="130"/>
      <c r="C16" s="203"/>
      <c r="D16" s="203"/>
      <c r="E16" s="203"/>
      <c r="F16" s="131"/>
      <c r="G16" s="214"/>
      <c r="H16" s="122"/>
    </row>
    <row r="17" spans="1:8" ht="17.25" thickTop="1" thickBot="1" x14ac:dyDescent="0.3">
      <c r="A17" s="134" t="s">
        <v>14</v>
      </c>
      <c r="B17" s="135"/>
      <c r="C17" s="200">
        <f>SUM(C14:C16)</f>
        <v>5640389</v>
      </c>
      <c r="D17" s="200">
        <f>SUM(D14:D16)</f>
        <v>1362023.5</v>
      </c>
      <c r="E17" s="200">
        <f>SUM(E14:E16)</f>
        <v>1195558.5</v>
      </c>
      <c r="F17" s="136">
        <f>(+D17-E17)/E17</f>
        <v>0.13923618124918186</v>
      </c>
      <c r="G17" s="211">
        <f>D17/C17</f>
        <v>0.24147687331494336</v>
      </c>
      <c r="H17" s="122"/>
    </row>
    <row r="18" spans="1:8" ht="15.75" customHeight="1" thickTop="1" x14ac:dyDescent="0.25">
      <c r="A18" s="254"/>
      <c r="B18" s="138"/>
      <c r="C18" s="204"/>
      <c r="D18" s="204"/>
      <c r="E18" s="204"/>
      <c r="F18" s="139"/>
      <c r="G18" s="218"/>
      <c r="H18" s="122"/>
    </row>
    <row r="19" spans="1:8" ht="15.75" x14ac:dyDescent="0.25">
      <c r="A19" s="19" t="s">
        <v>62</v>
      </c>
      <c r="B19" s="130">
        <f>DATE(2025,7,1)</f>
        <v>45839</v>
      </c>
      <c r="C19" s="203">
        <v>1369130</v>
      </c>
      <c r="D19" s="203">
        <v>348272</v>
      </c>
      <c r="E19" s="203">
        <v>281475</v>
      </c>
      <c r="F19" s="131">
        <f>(+D19-E19)/E19</f>
        <v>0.23731059596767032</v>
      </c>
      <c r="G19" s="214">
        <f>D19/C19</f>
        <v>0.25437467588906826</v>
      </c>
      <c r="H19" s="122"/>
    </row>
    <row r="20" spans="1:8" ht="15.75" x14ac:dyDescent="0.25">
      <c r="A20" s="19"/>
      <c r="B20" s="130">
        <f>DATE(2025,8,1)</f>
        <v>45870</v>
      </c>
      <c r="C20" s="203">
        <v>1473657</v>
      </c>
      <c r="D20" s="203">
        <v>338220.5</v>
      </c>
      <c r="E20" s="203">
        <v>304278.5</v>
      </c>
      <c r="F20" s="131">
        <f>(+D20-E20)/E20</f>
        <v>0.11154912358250747</v>
      </c>
      <c r="G20" s="214">
        <f>D20/C20</f>
        <v>0.2295110056139251</v>
      </c>
      <c r="H20" s="122"/>
    </row>
    <row r="21" spans="1:8" ht="15.75" thickBot="1" x14ac:dyDescent="0.25">
      <c r="A21" s="132"/>
      <c r="B21" s="130"/>
      <c r="C21" s="203"/>
      <c r="D21" s="203"/>
      <c r="E21" s="203"/>
      <c r="F21" s="131"/>
      <c r="G21" s="214"/>
      <c r="H21" s="122"/>
    </row>
    <row r="22" spans="1:8" ht="17.25" thickTop="1" thickBot="1" x14ac:dyDescent="0.3">
      <c r="A22" s="140" t="s">
        <v>14</v>
      </c>
      <c r="B22" s="141"/>
      <c r="C22" s="205">
        <f>SUM(C19:C21)</f>
        <v>2842787</v>
      </c>
      <c r="D22" s="205">
        <f>SUM(D19:D21)</f>
        <v>686492.5</v>
      </c>
      <c r="E22" s="205">
        <f>SUM(E19:E21)</f>
        <v>585753.5</v>
      </c>
      <c r="F22" s="142">
        <f>(+D22-E22)/E22</f>
        <v>0.1719819002361915</v>
      </c>
      <c r="G22" s="216">
        <f>D22/C22</f>
        <v>0.24148573213540092</v>
      </c>
      <c r="H22" s="122"/>
    </row>
    <row r="23" spans="1:8" ht="15.75" thickTop="1" x14ac:dyDescent="0.2">
      <c r="A23" s="132"/>
      <c r="B23" s="133"/>
      <c r="C23" s="203"/>
      <c r="D23" s="203"/>
      <c r="E23" s="203"/>
      <c r="F23" s="131"/>
      <c r="G23" s="217"/>
      <c r="H23" s="122"/>
    </row>
    <row r="24" spans="1:8" ht="15.75" x14ac:dyDescent="0.25">
      <c r="A24" s="176" t="s">
        <v>58</v>
      </c>
      <c r="B24" s="130">
        <f>DATE(2025,7,1)</f>
        <v>45839</v>
      </c>
      <c r="C24" s="203">
        <v>16216115</v>
      </c>
      <c r="D24" s="203">
        <v>2993259</v>
      </c>
      <c r="E24" s="203">
        <v>2924457.34</v>
      </c>
      <c r="F24" s="131">
        <f>(+D24-E24)/E24</f>
        <v>2.3526299754470056E-2</v>
      </c>
      <c r="G24" s="214">
        <f>D24/C24</f>
        <v>0.18458545712089486</v>
      </c>
      <c r="H24" s="122"/>
    </row>
    <row r="25" spans="1:8" ht="15.75" x14ac:dyDescent="0.25">
      <c r="A25" s="176"/>
      <c r="B25" s="130">
        <f>DATE(2025,8,1)</f>
        <v>45870</v>
      </c>
      <c r="C25" s="203">
        <v>18602092</v>
      </c>
      <c r="D25" s="203">
        <v>4101941.55</v>
      </c>
      <c r="E25" s="203">
        <v>4174786.65</v>
      </c>
      <c r="F25" s="131">
        <f>(+D25-E25)/E25</f>
        <v>-1.744881980975006E-2</v>
      </c>
      <c r="G25" s="214">
        <f>D25/C25</f>
        <v>0.22050969052297989</v>
      </c>
      <c r="H25" s="122"/>
    </row>
    <row r="26" spans="1:8" ht="15.75" customHeight="1" thickBot="1" x14ac:dyDescent="0.25">
      <c r="A26" s="132"/>
      <c r="B26" s="133"/>
      <c r="C26" s="203"/>
      <c r="D26" s="203"/>
      <c r="E26" s="203"/>
      <c r="F26" s="131"/>
      <c r="G26" s="214"/>
      <c r="H26" s="122"/>
    </row>
    <row r="27" spans="1:8" ht="17.25" customHeight="1" thickTop="1" thickBot="1" x14ac:dyDescent="0.3">
      <c r="A27" s="140" t="s">
        <v>14</v>
      </c>
      <c r="B27" s="141"/>
      <c r="C27" s="205">
        <f>SUM(C24:C26)</f>
        <v>34818207</v>
      </c>
      <c r="D27" s="205">
        <f>SUM(D24:D26)</f>
        <v>7095200.5499999998</v>
      </c>
      <c r="E27" s="205">
        <f>SUM(E24:E26)</f>
        <v>7099243.9900000002</v>
      </c>
      <c r="F27" s="142">
        <f>(+D27-E27)/E27</f>
        <v>-5.6955923837749512E-4</v>
      </c>
      <c r="G27" s="216">
        <f>D27/C27</f>
        <v>0.2037784584944308</v>
      </c>
      <c r="H27" s="122"/>
    </row>
    <row r="28" spans="1:8" ht="15.75" customHeight="1" thickTop="1" x14ac:dyDescent="0.2">
      <c r="A28" s="132"/>
      <c r="B28" s="133"/>
      <c r="C28" s="203"/>
      <c r="D28" s="203"/>
      <c r="E28" s="203"/>
      <c r="F28" s="131"/>
      <c r="G28" s="217"/>
      <c r="H28" s="122"/>
    </row>
    <row r="29" spans="1:8" ht="15" customHeight="1" x14ac:dyDescent="0.25">
      <c r="A29" s="129" t="s">
        <v>60</v>
      </c>
      <c r="B29" s="130">
        <f>DATE(2025,7,1)</f>
        <v>45839</v>
      </c>
      <c r="C29" s="203">
        <v>14883360</v>
      </c>
      <c r="D29" s="203">
        <v>3222320.5</v>
      </c>
      <c r="E29" s="203">
        <v>2983132</v>
      </c>
      <c r="F29" s="131">
        <f>(+D29-E29)/E29</f>
        <v>8.0180327253369946E-2</v>
      </c>
      <c r="G29" s="214">
        <f>D29/C29</f>
        <v>0.21650490883778931</v>
      </c>
      <c r="H29" s="122"/>
    </row>
    <row r="30" spans="1:8" ht="15" customHeight="1" x14ac:dyDescent="0.25">
      <c r="A30" s="129"/>
      <c r="B30" s="130">
        <f>DATE(2025,8,1)</f>
        <v>45870</v>
      </c>
      <c r="C30" s="203">
        <v>16264831</v>
      </c>
      <c r="D30" s="203">
        <v>3938155</v>
      </c>
      <c r="E30" s="203">
        <v>3594985</v>
      </c>
      <c r="F30" s="131">
        <f>(+D30-E30)/E30</f>
        <v>9.5457978266946866E-2</v>
      </c>
      <c r="G30" s="214">
        <f>D30/C30</f>
        <v>0.2421270162598062</v>
      </c>
      <c r="H30" s="122"/>
    </row>
    <row r="31" spans="1:8" ht="15.75" thickBot="1" x14ac:dyDescent="0.25">
      <c r="A31" s="132"/>
      <c r="B31" s="130"/>
      <c r="C31" s="203"/>
      <c r="D31" s="203"/>
      <c r="E31" s="203"/>
      <c r="F31" s="131"/>
      <c r="G31" s="214"/>
      <c r="H31" s="122"/>
    </row>
    <row r="32" spans="1:8" ht="17.25" customHeight="1" thickTop="1" thickBot="1" x14ac:dyDescent="0.3">
      <c r="A32" s="140" t="s">
        <v>14</v>
      </c>
      <c r="B32" s="141"/>
      <c r="C32" s="206">
        <f>SUM(C29:C31)</f>
        <v>31148191</v>
      </c>
      <c r="D32" s="260">
        <f>SUM(D29:D31)</f>
        <v>7160475.5</v>
      </c>
      <c r="E32" s="205">
        <f>SUM(E29:E31)</f>
        <v>6578117</v>
      </c>
      <c r="F32" s="267">
        <f>(+D32-E32)/E32</f>
        <v>8.8529665860306223E-2</v>
      </c>
      <c r="G32" s="266">
        <f>D32/C32</f>
        <v>0.22988415282287181</v>
      </c>
      <c r="H32" s="122"/>
    </row>
    <row r="33" spans="1:8" ht="15.75" customHeight="1" thickTop="1" x14ac:dyDescent="0.25">
      <c r="A33" s="129"/>
      <c r="B33" s="133"/>
      <c r="C33" s="203"/>
      <c r="D33" s="203"/>
      <c r="E33" s="203"/>
      <c r="F33" s="131"/>
      <c r="G33" s="217"/>
      <c r="H33" s="122"/>
    </row>
    <row r="34" spans="1:8" ht="15.75" x14ac:dyDescent="0.25">
      <c r="A34" s="129" t="s">
        <v>64</v>
      </c>
      <c r="B34" s="130">
        <f>DATE(2025,7,1)</f>
        <v>45839</v>
      </c>
      <c r="C34" s="203">
        <v>3331757</v>
      </c>
      <c r="D34" s="203">
        <v>734009.5</v>
      </c>
      <c r="E34" s="203">
        <v>749499</v>
      </c>
      <c r="F34" s="131">
        <f>(+D34-E34)/E34</f>
        <v>-2.0666471869875743E-2</v>
      </c>
      <c r="G34" s="214">
        <f>D34/C34</f>
        <v>0.2203070331959984</v>
      </c>
      <c r="H34" s="122"/>
    </row>
    <row r="35" spans="1:8" ht="15.75" x14ac:dyDescent="0.25">
      <c r="A35" s="129"/>
      <c r="B35" s="130">
        <f>DATE(2025,8,1)</f>
        <v>45870</v>
      </c>
      <c r="C35" s="203">
        <v>3602540</v>
      </c>
      <c r="D35" s="203">
        <v>626879.5</v>
      </c>
      <c r="E35" s="203">
        <v>714655.5</v>
      </c>
      <c r="F35" s="131">
        <f>(+D35-E35)/E35</f>
        <v>-0.12282281462886664</v>
      </c>
      <c r="G35" s="214">
        <f>D35/C35</f>
        <v>0.17401042042558862</v>
      </c>
      <c r="H35" s="122"/>
    </row>
    <row r="36" spans="1:8" ht="15.75" customHeight="1" thickBot="1" x14ac:dyDescent="0.3">
      <c r="A36" s="129"/>
      <c r="B36" s="130"/>
      <c r="C36" s="203"/>
      <c r="D36" s="203"/>
      <c r="E36" s="203"/>
      <c r="F36" s="131"/>
      <c r="G36" s="214"/>
      <c r="H36" s="122"/>
    </row>
    <row r="37" spans="1:8" ht="17.25" thickTop="1" thickBot="1" x14ac:dyDescent="0.3">
      <c r="A37" s="140" t="s">
        <v>14</v>
      </c>
      <c r="B37" s="141"/>
      <c r="C37" s="206">
        <f>SUM(C34:C36)</f>
        <v>6934297</v>
      </c>
      <c r="D37" s="260">
        <f>SUM(D34:D36)</f>
        <v>1360889</v>
      </c>
      <c r="E37" s="206">
        <f>SUM(E34:E36)</f>
        <v>1464154.5</v>
      </c>
      <c r="F37" s="267">
        <f>(+D37-E37)/E37</f>
        <v>-7.0529100583305929E-2</v>
      </c>
      <c r="G37" s="266">
        <f>D37/C37</f>
        <v>0.19625478977897831</v>
      </c>
      <c r="H37" s="122"/>
    </row>
    <row r="38" spans="1:8" ht="15.75" customHeight="1" thickTop="1" x14ac:dyDescent="0.25">
      <c r="A38" s="129"/>
      <c r="B38" s="133"/>
      <c r="C38" s="203"/>
      <c r="D38" s="203"/>
      <c r="E38" s="203"/>
      <c r="F38" s="131"/>
      <c r="G38" s="217"/>
      <c r="H38" s="122"/>
    </row>
    <row r="39" spans="1:8" ht="15.75" x14ac:dyDescent="0.25">
      <c r="A39" s="129" t="s">
        <v>67</v>
      </c>
      <c r="B39" s="130">
        <f>DATE(2025,7,1)</f>
        <v>45839</v>
      </c>
      <c r="C39" s="203">
        <v>3744976</v>
      </c>
      <c r="D39" s="203">
        <v>651025.5</v>
      </c>
      <c r="E39" s="203">
        <v>1112358.5</v>
      </c>
      <c r="F39" s="131">
        <f>(+D39-E39)/E39</f>
        <v>-0.41473409876402256</v>
      </c>
      <c r="G39" s="214">
        <f>D39/C39</f>
        <v>0.17383969883919148</v>
      </c>
      <c r="H39" s="122"/>
    </row>
    <row r="40" spans="1:8" ht="15.75" x14ac:dyDescent="0.25">
      <c r="A40" s="129"/>
      <c r="B40" s="130">
        <f>DATE(2025,8,1)</f>
        <v>45870</v>
      </c>
      <c r="C40" s="203">
        <v>4062461</v>
      </c>
      <c r="D40" s="203">
        <v>722661</v>
      </c>
      <c r="E40" s="203">
        <v>743956</v>
      </c>
      <c r="F40" s="131">
        <f>(+D40-E40)/E40</f>
        <v>-2.8624004645436022E-2</v>
      </c>
      <c r="G40" s="214">
        <f>D40/C40</f>
        <v>0.17788749233531104</v>
      </c>
      <c r="H40" s="122"/>
    </row>
    <row r="41" spans="1:8" ht="15.75" customHeight="1" thickBot="1" x14ac:dyDescent="0.3">
      <c r="A41" s="129"/>
      <c r="B41" s="130"/>
      <c r="C41" s="203"/>
      <c r="D41" s="203"/>
      <c r="E41" s="203"/>
      <c r="F41" s="131"/>
      <c r="G41" s="214"/>
      <c r="H41" s="122"/>
    </row>
    <row r="42" spans="1:8" ht="17.25" thickTop="1" thickBot="1" x14ac:dyDescent="0.3">
      <c r="A42" s="140" t="s">
        <v>14</v>
      </c>
      <c r="B42" s="141"/>
      <c r="C42" s="206">
        <f>SUM(C39:C41)</f>
        <v>7807437</v>
      </c>
      <c r="D42" s="260">
        <f>SUM(D39:D41)</f>
        <v>1373686.5</v>
      </c>
      <c r="E42" s="206">
        <f>SUM(E39:E41)</f>
        <v>1856314.5</v>
      </c>
      <c r="F42" s="268">
        <f>(+D42-E42)/E42</f>
        <v>-0.25999258207593595</v>
      </c>
      <c r="G42" s="266">
        <f>D42/C42</f>
        <v>0.17594589620127579</v>
      </c>
      <c r="H42" s="122"/>
    </row>
    <row r="43" spans="1:8" ht="15.75" customHeight="1" thickTop="1" x14ac:dyDescent="0.25">
      <c r="A43" s="129"/>
      <c r="B43" s="138"/>
      <c r="C43" s="204"/>
      <c r="D43" s="204"/>
      <c r="E43" s="204"/>
      <c r="F43" s="139"/>
      <c r="G43" s="215"/>
      <c r="H43" s="122"/>
    </row>
    <row r="44" spans="1:8" ht="15.75" x14ac:dyDescent="0.25">
      <c r="A44" s="129" t="s">
        <v>69</v>
      </c>
      <c r="B44" s="130">
        <f>DATE(2025,7,1)</f>
        <v>45839</v>
      </c>
      <c r="C44" s="203">
        <v>7856217</v>
      </c>
      <c r="D44" s="203">
        <v>1689752.84</v>
      </c>
      <c r="E44" s="203">
        <v>1491620.4</v>
      </c>
      <c r="F44" s="131">
        <f>(+D44-E44)/E44</f>
        <v>0.13283033672642194</v>
      </c>
      <c r="G44" s="214">
        <f>D44/C44</f>
        <v>0.21508479717400883</v>
      </c>
      <c r="H44" s="122"/>
    </row>
    <row r="45" spans="1:8" ht="15.75" x14ac:dyDescent="0.25">
      <c r="A45" s="129"/>
      <c r="B45" s="130">
        <f>DATE(2025,8,1)</f>
        <v>45870</v>
      </c>
      <c r="C45" s="203">
        <v>8255461</v>
      </c>
      <c r="D45" s="203">
        <v>2210201.46</v>
      </c>
      <c r="E45" s="203">
        <v>1342748.66</v>
      </c>
      <c r="F45" s="131">
        <f>(+D45-E45)/E45</f>
        <v>0.6460276787764585</v>
      </c>
      <c r="G45" s="214">
        <f>D45/C45</f>
        <v>0.26772598889389704</v>
      </c>
      <c r="H45" s="122"/>
    </row>
    <row r="46" spans="1:8" ht="15.75" customHeight="1" thickBot="1" x14ac:dyDescent="0.3">
      <c r="A46" s="129"/>
      <c r="B46" s="130"/>
      <c r="C46" s="203"/>
      <c r="D46" s="203"/>
      <c r="E46" s="203"/>
      <c r="F46" s="131"/>
      <c r="G46" s="214"/>
      <c r="H46" s="122"/>
    </row>
    <row r="47" spans="1:8" ht="17.25" thickTop="1" thickBot="1" x14ac:dyDescent="0.3">
      <c r="A47" s="140" t="s">
        <v>14</v>
      </c>
      <c r="B47" s="141"/>
      <c r="C47" s="205">
        <f>SUM(C44:C46)</f>
        <v>16111678</v>
      </c>
      <c r="D47" s="205">
        <f>SUM(D44:D46)</f>
        <v>3899954.3</v>
      </c>
      <c r="E47" s="205">
        <f>SUM(E44:E46)</f>
        <v>2834369.0599999996</v>
      </c>
      <c r="F47" s="142">
        <f>(+D47-E47)/E47</f>
        <v>0.37595147895101577</v>
      </c>
      <c r="G47" s="216">
        <f>D47/C47</f>
        <v>0.24205761187630487</v>
      </c>
      <c r="H47" s="122"/>
    </row>
    <row r="48" spans="1:8" ht="15.75" customHeight="1" thickTop="1" x14ac:dyDescent="0.25">
      <c r="A48" s="137"/>
      <c r="B48" s="138"/>
      <c r="C48" s="204"/>
      <c r="D48" s="204"/>
      <c r="E48" s="204"/>
      <c r="F48" s="139"/>
      <c r="G48" s="215"/>
      <c r="H48" s="122"/>
    </row>
    <row r="49" spans="1:8" ht="15.75" x14ac:dyDescent="0.25">
      <c r="A49" s="129" t="s">
        <v>16</v>
      </c>
      <c r="B49" s="130">
        <f>DATE(2025,7,1)</f>
        <v>45839</v>
      </c>
      <c r="C49" s="203">
        <v>9457573</v>
      </c>
      <c r="D49" s="203">
        <v>2213338.5</v>
      </c>
      <c r="E49" s="203">
        <v>2089350</v>
      </c>
      <c r="F49" s="131">
        <f>(+D49-E49)/E49</f>
        <v>5.9343097135472755E-2</v>
      </c>
      <c r="G49" s="214">
        <f>D49/C49</f>
        <v>0.23402816980635519</v>
      </c>
      <c r="H49" s="122"/>
    </row>
    <row r="50" spans="1:8" ht="15.75" x14ac:dyDescent="0.25">
      <c r="A50" s="129"/>
      <c r="B50" s="130">
        <f>DATE(2025,8,1)</f>
        <v>45870</v>
      </c>
      <c r="C50" s="203">
        <v>9990142</v>
      </c>
      <c r="D50" s="203">
        <v>1927739.5</v>
      </c>
      <c r="E50" s="203">
        <v>2032596</v>
      </c>
      <c r="F50" s="131">
        <f>(+D50-E50)/E50</f>
        <v>-5.1587477295045349E-2</v>
      </c>
      <c r="G50" s="214">
        <f>D50/C50</f>
        <v>0.19296417408281083</v>
      </c>
      <c r="H50" s="122"/>
    </row>
    <row r="51" spans="1:8" ht="15.75" customHeight="1" thickBot="1" x14ac:dyDescent="0.3">
      <c r="A51" s="129"/>
      <c r="B51" s="130"/>
      <c r="C51" s="203"/>
      <c r="D51" s="203"/>
      <c r="E51" s="203"/>
      <c r="F51" s="131"/>
      <c r="G51" s="214"/>
      <c r="H51" s="122"/>
    </row>
    <row r="52" spans="1:8" ht="17.25" thickTop="1" thickBot="1" x14ac:dyDescent="0.3">
      <c r="A52" s="140" t="s">
        <v>14</v>
      </c>
      <c r="B52" s="141"/>
      <c r="C52" s="205">
        <f>SUM(C49:C51)</f>
        <v>19447715</v>
      </c>
      <c r="D52" s="205">
        <f>SUM(D49:D51)</f>
        <v>4141078</v>
      </c>
      <c r="E52" s="205">
        <f>SUM(E49:E51)</f>
        <v>4121946</v>
      </c>
      <c r="F52" s="142">
        <f>(+D52-E52)/E52</f>
        <v>4.6414970016589252E-3</v>
      </c>
      <c r="G52" s="216">
        <f>D52/C52</f>
        <v>0.21293391023058492</v>
      </c>
      <c r="H52" s="122"/>
    </row>
    <row r="53" spans="1:8" ht="15.75" customHeight="1" thickTop="1" x14ac:dyDescent="0.25">
      <c r="A53" s="137"/>
      <c r="B53" s="138"/>
      <c r="C53" s="204"/>
      <c r="D53" s="204"/>
      <c r="E53" s="204"/>
      <c r="F53" s="139"/>
      <c r="G53" s="215"/>
      <c r="H53" s="122"/>
    </row>
    <row r="54" spans="1:8" ht="15.75" x14ac:dyDescent="0.25">
      <c r="A54" s="129" t="s">
        <v>53</v>
      </c>
      <c r="B54" s="130">
        <f>DATE(2025,7,1)</f>
        <v>45839</v>
      </c>
      <c r="C54" s="203">
        <v>15237163</v>
      </c>
      <c r="D54" s="203">
        <v>2238507.35</v>
      </c>
      <c r="E54" s="203">
        <v>2603604.12</v>
      </c>
      <c r="F54" s="131">
        <f>(+D54-E54)/E54</f>
        <v>-0.14022745132236156</v>
      </c>
      <c r="G54" s="214">
        <f>D54/C54</f>
        <v>0.14691103258526539</v>
      </c>
      <c r="H54" s="122"/>
    </row>
    <row r="55" spans="1:8" ht="15.75" x14ac:dyDescent="0.25">
      <c r="A55" s="129"/>
      <c r="B55" s="130">
        <f>DATE(2025,8,1)</f>
        <v>45870</v>
      </c>
      <c r="C55" s="203">
        <v>15717335</v>
      </c>
      <c r="D55" s="203">
        <v>3124514.38</v>
      </c>
      <c r="E55" s="203">
        <v>2949818.5</v>
      </c>
      <c r="F55" s="131">
        <f>(+D55-E55)/E55</f>
        <v>5.922258606758344E-2</v>
      </c>
      <c r="G55" s="214">
        <f>D55/C55</f>
        <v>0.1987941581699442</v>
      </c>
      <c r="H55" s="122"/>
    </row>
    <row r="56" spans="1:8" ht="15.75" thickBot="1" x14ac:dyDescent="0.25">
      <c r="A56" s="132"/>
      <c r="B56" s="130"/>
      <c r="C56" s="203"/>
      <c r="D56" s="203"/>
      <c r="E56" s="203"/>
      <c r="F56" s="131"/>
      <c r="G56" s="214"/>
      <c r="H56" s="122"/>
    </row>
    <row r="57" spans="1:8" ht="17.25" thickTop="1" thickBot="1" x14ac:dyDescent="0.3">
      <c r="A57" s="140" t="s">
        <v>14</v>
      </c>
      <c r="B57" s="141"/>
      <c r="C57" s="206">
        <f>SUM(C54:C56)</f>
        <v>30954498</v>
      </c>
      <c r="D57" s="206">
        <f>SUM(D54:D56)</f>
        <v>5363021.7300000004</v>
      </c>
      <c r="E57" s="206">
        <f>SUM(E54:E56)</f>
        <v>5553422.6200000001</v>
      </c>
      <c r="F57" s="142">
        <f>(+D57-E57)/E57</f>
        <v>-3.4285323309321568E-2</v>
      </c>
      <c r="G57" s="266">
        <f>D57/C57</f>
        <v>0.17325500578300448</v>
      </c>
      <c r="H57" s="122"/>
    </row>
    <row r="58" spans="1:8" ht="15.75" customHeight="1" thickTop="1" x14ac:dyDescent="0.25">
      <c r="A58" s="137"/>
      <c r="B58" s="138"/>
      <c r="C58" s="204"/>
      <c r="D58" s="204"/>
      <c r="E58" s="204"/>
      <c r="F58" s="139"/>
      <c r="G58" s="218"/>
      <c r="H58" s="122"/>
    </row>
    <row r="59" spans="1:8" ht="15.75" x14ac:dyDescent="0.25">
      <c r="A59" s="129" t="s">
        <v>54</v>
      </c>
      <c r="B59" s="130">
        <f>DATE(2025,7,1)</f>
        <v>45839</v>
      </c>
      <c r="C59" s="203">
        <v>0</v>
      </c>
      <c r="D59" s="203">
        <v>0</v>
      </c>
      <c r="E59" s="203">
        <v>0</v>
      </c>
      <c r="F59" s="131">
        <v>0</v>
      </c>
      <c r="G59" s="214">
        <v>0</v>
      </c>
      <c r="H59" s="122"/>
    </row>
    <row r="60" spans="1:8" ht="15.75" x14ac:dyDescent="0.25">
      <c r="A60" s="129"/>
      <c r="B60" s="130">
        <f>DATE(2025,8,1)</f>
        <v>45870</v>
      </c>
      <c r="C60" s="203">
        <v>0</v>
      </c>
      <c r="D60" s="203">
        <v>0</v>
      </c>
      <c r="E60" s="203">
        <v>0</v>
      </c>
      <c r="F60" s="131">
        <v>0</v>
      </c>
      <c r="G60" s="214">
        <v>0</v>
      </c>
      <c r="H60" s="122"/>
    </row>
    <row r="61" spans="1:8" ht="15.75" thickBot="1" x14ac:dyDescent="0.25">
      <c r="A61" s="132"/>
      <c r="B61" s="133"/>
      <c r="C61" s="203"/>
      <c r="D61" s="203"/>
      <c r="E61" s="203"/>
      <c r="F61" s="131"/>
      <c r="G61" s="214"/>
      <c r="H61" s="122"/>
    </row>
    <row r="62" spans="1:8" ht="17.25" thickTop="1" thickBot="1" x14ac:dyDescent="0.3">
      <c r="A62" s="143" t="s">
        <v>14</v>
      </c>
      <c r="B62" s="144"/>
      <c r="C62" s="206">
        <f>SUM(C59:C61)</f>
        <v>0</v>
      </c>
      <c r="D62" s="206">
        <f>SUM(D59:D61)</f>
        <v>0</v>
      </c>
      <c r="E62" s="206">
        <f>SUM(E59:E61)</f>
        <v>0</v>
      </c>
      <c r="F62" s="142">
        <v>0</v>
      </c>
      <c r="G62" s="216">
        <v>0</v>
      </c>
      <c r="H62" s="122"/>
    </row>
    <row r="63" spans="1:8" ht="15.75" customHeight="1" thickTop="1" x14ac:dyDescent="0.25">
      <c r="A63" s="129"/>
      <c r="B63" s="133"/>
      <c r="C63" s="203"/>
      <c r="D63" s="203"/>
      <c r="E63" s="203"/>
      <c r="F63" s="131"/>
      <c r="G63" s="217"/>
      <c r="H63" s="122"/>
    </row>
    <row r="64" spans="1:8" ht="15.75" x14ac:dyDescent="0.25">
      <c r="A64" s="129" t="s">
        <v>37</v>
      </c>
      <c r="B64" s="130">
        <f>DATE(2025,7,1)</f>
        <v>45839</v>
      </c>
      <c r="C64" s="203">
        <v>22987346</v>
      </c>
      <c r="D64" s="203">
        <v>4388523.87</v>
      </c>
      <c r="E64" s="203">
        <v>4532513.72</v>
      </c>
      <c r="F64" s="131">
        <f>(+D64-E64)/E64</f>
        <v>-3.1768210510789062E-2</v>
      </c>
      <c r="G64" s="214">
        <f>D64/C64</f>
        <v>0.19091041958475763</v>
      </c>
      <c r="H64" s="122"/>
    </row>
    <row r="65" spans="1:8" ht="15.75" x14ac:dyDescent="0.25">
      <c r="A65" s="129"/>
      <c r="B65" s="130">
        <f>DATE(2025,8,1)</f>
        <v>45870</v>
      </c>
      <c r="C65" s="203">
        <v>22289536</v>
      </c>
      <c r="D65" s="203">
        <v>4972073.57</v>
      </c>
      <c r="E65" s="203">
        <v>4951353.17</v>
      </c>
      <c r="F65" s="131">
        <f>(+D65-E65)/E65</f>
        <v>4.1847954061415447E-3</v>
      </c>
      <c r="G65" s="214">
        <f>D65/C65</f>
        <v>0.22306761208488146</v>
      </c>
      <c r="H65" s="122"/>
    </row>
    <row r="66" spans="1:8" ht="15.75" thickBot="1" x14ac:dyDescent="0.25">
      <c r="A66" s="132"/>
      <c r="B66" s="133"/>
      <c r="C66" s="203"/>
      <c r="D66" s="203"/>
      <c r="E66" s="203"/>
      <c r="F66" s="131"/>
      <c r="G66" s="214"/>
      <c r="H66" s="122"/>
    </row>
    <row r="67" spans="1:8" ht="17.25" thickTop="1" thickBot="1" x14ac:dyDescent="0.3">
      <c r="A67" s="140" t="s">
        <v>14</v>
      </c>
      <c r="B67" s="141"/>
      <c r="C67" s="205">
        <f>SUM(C64:C66)</f>
        <v>45276882</v>
      </c>
      <c r="D67" s="206">
        <f>SUM(D64:D66)</f>
        <v>9360597.4400000013</v>
      </c>
      <c r="E67" s="205">
        <f>SUM(E64:E66)</f>
        <v>9483866.8900000006</v>
      </c>
      <c r="F67" s="142">
        <f>(+D67-E67)/E67</f>
        <v>-1.299780473827372E-2</v>
      </c>
      <c r="G67" s="216">
        <f>D67/C67</f>
        <v>0.20674121155250932</v>
      </c>
      <c r="H67" s="122"/>
    </row>
    <row r="68" spans="1:8" ht="15.75" customHeight="1" thickTop="1" x14ac:dyDescent="0.25">
      <c r="A68" s="129"/>
      <c r="B68" s="133"/>
      <c r="C68" s="203"/>
      <c r="D68" s="203"/>
      <c r="E68" s="203"/>
      <c r="F68" s="131"/>
      <c r="G68" s="217"/>
      <c r="H68" s="122"/>
    </row>
    <row r="69" spans="1:8" ht="15.75" x14ac:dyDescent="0.25">
      <c r="A69" s="129" t="s">
        <v>57</v>
      </c>
      <c r="B69" s="130">
        <f>DATE(2025,7,1)</f>
        <v>45839</v>
      </c>
      <c r="C69" s="203">
        <v>603284</v>
      </c>
      <c r="D69" s="203">
        <v>176713.5</v>
      </c>
      <c r="E69" s="203">
        <v>133926.5</v>
      </c>
      <c r="F69" s="131">
        <f>(+D69-E69)/E69</f>
        <v>0.3194812079760167</v>
      </c>
      <c r="G69" s="214">
        <f>D69/C69</f>
        <v>0.292919255276122</v>
      </c>
      <c r="H69" s="122"/>
    </row>
    <row r="70" spans="1:8" ht="15.75" x14ac:dyDescent="0.25">
      <c r="A70" s="129"/>
      <c r="B70" s="130">
        <f>DATE(2025,8,1)</f>
        <v>45870</v>
      </c>
      <c r="C70" s="203">
        <v>600824</v>
      </c>
      <c r="D70" s="203">
        <v>225401</v>
      </c>
      <c r="E70" s="203">
        <v>188568.5</v>
      </c>
      <c r="F70" s="131">
        <f>(+D70-E70)/E70</f>
        <v>0.19532689712226592</v>
      </c>
      <c r="G70" s="214">
        <f>D70/C70</f>
        <v>0.37515312304435244</v>
      </c>
      <c r="H70" s="122"/>
    </row>
    <row r="71" spans="1:8" ht="15.75" thickBot="1" x14ac:dyDescent="0.25">
      <c r="A71" s="132"/>
      <c r="B71" s="133"/>
      <c r="C71" s="203"/>
      <c r="D71" s="203"/>
      <c r="E71" s="203"/>
      <c r="F71" s="131"/>
      <c r="G71" s="214"/>
      <c r="H71" s="122"/>
    </row>
    <row r="72" spans="1:8" ht="17.25" thickTop="1" thickBot="1" x14ac:dyDescent="0.3">
      <c r="A72" s="134" t="s">
        <v>14</v>
      </c>
      <c r="B72" s="135"/>
      <c r="C72" s="200">
        <f>SUM(C69:C71)</f>
        <v>1204108</v>
      </c>
      <c r="D72" s="206">
        <f>SUM(D69:D71)</f>
        <v>402114.5</v>
      </c>
      <c r="E72" s="206">
        <f>SUM(E69:E71)</f>
        <v>322495</v>
      </c>
      <c r="F72" s="142">
        <f>(+D72-E72)/E72</f>
        <v>0.24688599823253074</v>
      </c>
      <c r="G72" s="216">
        <f>D72/C72</f>
        <v>0.33395218701312507</v>
      </c>
      <c r="H72" s="122"/>
    </row>
    <row r="73" spans="1:8" ht="16.5" thickTop="1" thickBot="1" x14ac:dyDescent="0.25">
      <c r="A73" s="145"/>
      <c r="B73" s="138"/>
      <c r="C73" s="204"/>
      <c r="D73" s="204"/>
      <c r="E73" s="204"/>
      <c r="F73" s="139"/>
      <c r="G73" s="215"/>
      <c r="H73" s="122"/>
    </row>
    <row r="74" spans="1:8" ht="17.25" thickTop="1" thickBot="1" x14ac:dyDescent="0.3">
      <c r="A74" s="146" t="s">
        <v>38</v>
      </c>
      <c r="B74" s="120"/>
      <c r="C74" s="200">
        <f>C72+C67+C52+C42+C32+C22+C12+C27+C62+C17+C47+C57+C37</f>
        <v>233127711</v>
      </c>
      <c r="D74" s="200">
        <f>D72+D67+D52+D42+D32+D22+D12+D27+D62+D17+D47+D57+D37</f>
        <v>47460015.019999996</v>
      </c>
      <c r="E74" s="200">
        <f>E72+E67+E52+E42+E32+E22+E12+E27+E62+E17+E47+E57+E37</f>
        <v>45475573.460000001</v>
      </c>
      <c r="F74" s="136">
        <f>(+D74-E74)/E74</f>
        <v>4.3637526896620579E-2</v>
      </c>
      <c r="G74" s="211">
        <f>D74/C74</f>
        <v>0.2035794664496148</v>
      </c>
      <c r="H74" s="122"/>
    </row>
    <row r="75" spans="1:8" ht="17.25" thickTop="1" thickBot="1" x14ac:dyDescent="0.3">
      <c r="A75" s="146"/>
      <c r="B75" s="120"/>
      <c r="C75" s="200"/>
      <c r="D75" s="200"/>
      <c r="E75" s="200"/>
      <c r="F75" s="136"/>
      <c r="G75" s="211"/>
      <c r="H75" s="122"/>
    </row>
    <row r="76" spans="1:8" ht="17.25" thickTop="1" thickBot="1" x14ac:dyDescent="0.3">
      <c r="A76" s="264" t="s">
        <v>39</v>
      </c>
      <c r="B76" s="265"/>
      <c r="C76" s="205">
        <f>+C10+C15+C20+C25+C30+C35+C40+C45+C50+C55+C60+C65+C70</f>
        <v>119623999</v>
      </c>
      <c r="D76" s="205">
        <f>+D10+D15+D20+D25+D30+D35+D40+D45+D50+D55+D60+D65+D70</f>
        <v>25672431.460000001</v>
      </c>
      <c r="E76" s="205">
        <f>+E10+E15+E20+E25+E30+E35+E40+E45+E50+E55+E60+E65+E70</f>
        <v>23949675.880000003</v>
      </c>
      <c r="F76" s="267">
        <f>(+D76-E76)/E76</f>
        <v>7.1932312931159301E-2</v>
      </c>
      <c r="G76" s="216">
        <f>D76/C76</f>
        <v>0.21460937332482924</v>
      </c>
      <c r="H76" s="122"/>
    </row>
    <row r="77" spans="1:8" ht="16.5" thickTop="1" x14ac:dyDescent="0.25">
      <c r="A77" s="255"/>
      <c r="B77" s="257"/>
      <c r="C77" s="258"/>
      <c r="D77" s="258"/>
      <c r="E77" s="258"/>
      <c r="F77" s="259"/>
      <c r="G77" s="256"/>
      <c r="H77" s="256"/>
    </row>
    <row r="78" spans="1:8" ht="18.75" x14ac:dyDescent="0.3">
      <c r="A78" s="262" t="s">
        <v>40</v>
      </c>
      <c r="B78" s="116"/>
      <c r="C78" s="207"/>
      <c r="D78" s="207"/>
      <c r="E78" s="207"/>
      <c r="F78" s="147"/>
      <c r="G78" s="219"/>
    </row>
    <row r="79" spans="1:8" ht="15.75" x14ac:dyDescent="0.25">
      <c r="A79" s="71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1" manualBreakCount="1">
    <brk id="5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zoomScaleNormal="100" workbookViewId="0">
      <selection activeCell="A6" sqref="A6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8" t="s">
        <v>0</v>
      </c>
      <c r="B1" s="149"/>
      <c r="C1" s="221"/>
      <c r="D1" s="221"/>
      <c r="E1" s="221"/>
      <c r="F1" s="149"/>
      <c r="G1" s="233"/>
      <c r="H1" s="233"/>
    </row>
    <row r="2" spans="1:8" ht="18.75" x14ac:dyDescent="0.3">
      <c r="A2" s="152" t="s">
        <v>59</v>
      </c>
      <c r="B2" s="149"/>
      <c r="C2" s="221"/>
      <c r="D2" s="221"/>
      <c r="E2" s="221"/>
      <c r="F2" s="149"/>
      <c r="G2" s="233"/>
      <c r="H2" s="233"/>
    </row>
    <row r="3" spans="1:8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</row>
    <row r="4" spans="1:8" ht="18" x14ac:dyDescent="0.25">
      <c r="A4" s="284" t="s">
        <v>77</v>
      </c>
      <c r="B4" s="149"/>
      <c r="C4" s="221"/>
      <c r="D4" s="221"/>
      <c r="E4" s="221"/>
      <c r="F4" s="149"/>
      <c r="G4" s="233"/>
      <c r="H4" s="233"/>
    </row>
    <row r="5" spans="1:8" x14ac:dyDescent="0.2">
      <c r="A5" s="285" t="s">
        <v>73</v>
      </c>
      <c r="B5" s="149"/>
      <c r="C5" s="221"/>
      <c r="D5" s="221"/>
      <c r="E5" s="221"/>
      <c r="F5" s="149"/>
      <c r="G5" s="233"/>
      <c r="H5" s="233"/>
    </row>
    <row r="6" spans="1:8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</row>
    <row r="7" spans="1:8" ht="16.5" thickTop="1" x14ac:dyDescent="0.25">
      <c r="A7" s="153"/>
      <c r="B7" s="154" t="s">
        <v>2</v>
      </c>
      <c r="C7" s="222" t="s">
        <v>65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</row>
    <row r="8" spans="1:8" ht="16.5" thickBot="1" x14ac:dyDescent="0.3">
      <c r="A8" s="157" t="s">
        <v>5</v>
      </c>
      <c r="B8" s="158" t="s">
        <v>6</v>
      </c>
      <c r="C8" s="223" t="s">
        <v>45</v>
      </c>
      <c r="D8" s="223" t="s">
        <v>66</v>
      </c>
      <c r="E8" s="223" t="s">
        <v>66</v>
      </c>
      <c r="F8" s="159" t="s">
        <v>8</v>
      </c>
      <c r="G8" s="237" t="s">
        <v>35</v>
      </c>
      <c r="H8" s="253" t="s">
        <v>47</v>
      </c>
    </row>
    <row r="9" spans="1:8" ht="16.5" thickTop="1" x14ac:dyDescent="0.25">
      <c r="A9" s="160"/>
      <c r="B9" s="161"/>
      <c r="C9" s="224"/>
      <c r="D9" s="224"/>
      <c r="E9" s="224"/>
      <c r="F9" s="162"/>
      <c r="G9" s="238"/>
      <c r="H9" s="239"/>
    </row>
    <row r="10" spans="1:8" ht="15.75" x14ac:dyDescent="0.25">
      <c r="A10" s="163" t="s">
        <v>36</v>
      </c>
      <c r="B10" s="164">
        <f>DATE(25,7,1)</f>
        <v>9314</v>
      </c>
      <c r="C10" s="225">
        <v>0</v>
      </c>
      <c r="D10" s="225">
        <v>0</v>
      </c>
      <c r="E10" s="225">
        <v>0</v>
      </c>
      <c r="F10" s="165">
        <v>0</v>
      </c>
      <c r="G10" s="240">
        <v>0</v>
      </c>
      <c r="H10" s="288">
        <v>0</v>
      </c>
    </row>
    <row r="11" spans="1:8" ht="15.75" x14ac:dyDescent="0.25">
      <c r="A11" s="163"/>
      <c r="B11" s="164">
        <f>DATE(25,8,1)</f>
        <v>9345</v>
      </c>
      <c r="C11" s="225">
        <v>0</v>
      </c>
      <c r="D11" s="225">
        <v>0</v>
      </c>
      <c r="E11" s="225">
        <v>0</v>
      </c>
      <c r="F11" s="165">
        <v>0</v>
      </c>
      <c r="G11" s="240">
        <v>0</v>
      </c>
      <c r="H11" s="288">
        <v>0</v>
      </c>
    </row>
    <row r="12" spans="1:8" ht="15.75" thickBot="1" x14ac:dyDescent="0.25">
      <c r="A12" s="166"/>
      <c r="B12" s="167"/>
      <c r="C12" s="225"/>
      <c r="D12" s="225"/>
      <c r="E12" s="225"/>
      <c r="F12" s="165"/>
      <c r="G12" s="240"/>
      <c r="H12" s="241"/>
    </row>
    <row r="13" spans="1:8" ht="17.25" thickTop="1" thickBot="1" x14ac:dyDescent="0.3">
      <c r="A13" s="168" t="s">
        <v>14</v>
      </c>
      <c r="B13" s="154"/>
      <c r="C13" s="222">
        <f>SUM(C10:C12)</f>
        <v>0</v>
      </c>
      <c r="D13" s="222">
        <f>SUM(D10:D12)</f>
        <v>0</v>
      </c>
      <c r="E13" s="222">
        <f>SUM(E10:E12)</f>
        <v>0</v>
      </c>
      <c r="F13" s="175">
        <v>0</v>
      </c>
      <c r="G13" s="244">
        <v>0</v>
      </c>
      <c r="H13" s="245">
        <v>0</v>
      </c>
    </row>
    <row r="14" spans="1:8" ht="15.75" thickTop="1" x14ac:dyDescent="0.2">
      <c r="A14" s="170"/>
      <c r="B14" s="171"/>
      <c r="C14" s="226"/>
      <c r="D14" s="226"/>
      <c r="E14" s="226"/>
      <c r="F14" s="172"/>
      <c r="G14" s="242"/>
      <c r="H14" s="243"/>
    </row>
    <row r="15" spans="1:8" ht="15.75" x14ac:dyDescent="0.25">
      <c r="A15" s="19" t="s">
        <v>48</v>
      </c>
      <c r="B15" s="164">
        <f>DATE(25,7,1)</f>
        <v>9314</v>
      </c>
      <c r="C15" s="225">
        <v>0</v>
      </c>
      <c r="D15" s="225">
        <v>0</v>
      </c>
      <c r="E15" s="225">
        <v>0</v>
      </c>
      <c r="F15" s="165">
        <v>0</v>
      </c>
      <c r="G15" s="240">
        <v>0</v>
      </c>
      <c r="H15" s="241">
        <v>0</v>
      </c>
    </row>
    <row r="16" spans="1:8" ht="15.75" x14ac:dyDescent="0.25">
      <c r="A16" s="19"/>
      <c r="B16" s="164">
        <f>DATE(25,8,1)</f>
        <v>9345</v>
      </c>
      <c r="C16" s="225">
        <v>0</v>
      </c>
      <c r="D16" s="225">
        <v>0</v>
      </c>
      <c r="E16" s="225">
        <v>0</v>
      </c>
      <c r="F16" s="165">
        <v>0</v>
      </c>
      <c r="G16" s="240">
        <v>0</v>
      </c>
      <c r="H16" s="288">
        <v>0</v>
      </c>
    </row>
    <row r="17" spans="1:8" ht="15.75" thickBot="1" x14ac:dyDescent="0.25">
      <c r="A17" s="166"/>
      <c r="B17" s="164"/>
      <c r="C17" s="225"/>
      <c r="D17" s="225"/>
      <c r="E17" s="225"/>
      <c r="F17" s="165"/>
      <c r="G17" s="240"/>
      <c r="H17" s="241"/>
    </row>
    <row r="18" spans="1:8" ht="17.25" thickTop="1" thickBot="1" x14ac:dyDescent="0.3">
      <c r="A18" s="168" t="s">
        <v>14</v>
      </c>
      <c r="B18" s="154"/>
      <c r="C18" s="222">
        <f>SUM(C15:C17)</f>
        <v>0</v>
      </c>
      <c r="D18" s="222">
        <f>SUM(D15:D17)</f>
        <v>0</v>
      </c>
      <c r="E18" s="222">
        <f>SUM(E15:E17)</f>
        <v>0</v>
      </c>
      <c r="F18" s="169">
        <v>0</v>
      </c>
      <c r="G18" s="235">
        <v>0</v>
      </c>
      <c r="H18" s="236">
        <v>0</v>
      </c>
    </row>
    <row r="19" spans="1:8" ht="15.75" thickTop="1" x14ac:dyDescent="0.2">
      <c r="A19" s="170"/>
      <c r="B19" s="171"/>
      <c r="C19" s="226"/>
      <c r="D19" s="226"/>
      <c r="E19" s="226"/>
      <c r="F19" s="172"/>
      <c r="G19" s="242"/>
      <c r="H19" s="243"/>
    </row>
    <row r="20" spans="1:8" ht="15.75" x14ac:dyDescent="0.25">
      <c r="A20" s="19" t="s">
        <v>62</v>
      </c>
      <c r="B20" s="164">
        <f>DATE(25,7,1)</f>
        <v>9314</v>
      </c>
      <c r="C20" s="225">
        <v>0</v>
      </c>
      <c r="D20" s="225">
        <v>0</v>
      </c>
      <c r="E20" s="225">
        <v>0</v>
      </c>
      <c r="F20" s="165">
        <v>0</v>
      </c>
      <c r="G20" s="240">
        <v>0</v>
      </c>
      <c r="H20" s="241">
        <v>0</v>
      </c>
    </row>
    <row r="21" spans="1:8" ht="15.75" x14ac:dyDescent="0.25">
      <c r="A21" s="19"/>
      <c r="B21" s="164">
        <f>DATE(25,8,1)</f>
        <v>9345</v>
      </c>
      <c r="C21" s="225">
        <v>0</v>
      </c>
      <c r="D21" s="225">
        <v>0</v>
      </c>
      <c r="E21" s="225">
        <v>0</v>
      </c>
      <c r="F21" s="165">
        <v>0</v>
      </c>
      <c r="G21" s="240">
        <v>0</v>
      </c>
      <c r="H21" s="288">
        <v>0</v>
      </c>
    </row>
    <row r="22" spans="1:8" ht="15.75" thickBot="1" x14ac:dyDescent="0.25">
      <c r="A22" s="166"/>
      <c r="B22" s="164"/>
      <c r="C22" s="225"/>
      <c r="D22" s="225"/>
      <c r="E22" s="225"/>
      <c r="F22" s="165"/>
      <c r="G22" s="240"/>
      <c r="H22" s="241"/>
    </row>
    <row r="23" spans="1:8" ht="17.25" thickTop="1" thickBot="1" x14ac:dyDescent="0.3">
      <c r="A23" s="173" t="s">
        <v>14</v>
      </c>
      <c r="B23" s="174"/>
      <c r="C23" s="227">
        <f>SUM(C20:C22)</f>
        <v>0</v>
      </c>
      <c r="D23" s="227">
        <f>SUM(D20:D22)</f>
        <v>0</v>
      </c>
      <c r="E23" s="227">
        <f>SUM(E20:E22)</f>
        <v>0</v>
      </c>
      <c r="F23" s="175">
        <v>0</v>
      </c>
      <c r="G23" s="244">
        <v>0</v>
      </c>
      <c r="H23" s="245">
        <v>0</v>
      </c>
    </row>
    <row r="24" spans="1:8" ht="15.75" thickTop="1" x14ac:dyDescent="0.2">
      <c r="A24" s="166"/>
      <c r="B24" s="167"/>
      <c r="C24" s="225"/>
      <c r="D24" s="225"/>
      <c r="E24" s="225"/>
      <c r="F24" s="165"/>
      <c r="G24" s="240"/>
      <c r="H24" s="241"/>
    </row>
    <row r="25" spans="1:8" ht="15.75" x14ac:dyDescent="0.25">
      <c r="A25" s="176" t="s">
        <v>58</v>
      </c>
      <c r="B25" s="164">
        <f>DATE(25,7,1)</f>
        <v>9314</v>
      </c>
      <c r="C25" s="225">
        <v>0</v>
      </c>
      <c r="D25" s="225">
        <v>0</v>
      </c>
      <c r="E25" s="225">
        <v>0</v>
      </c>
      <c r="F25" s="165">
        <v>0</v>
      </c>
      <c r="G25" s="240">
        <v>0</v>
      </c>
      <c r="H25" s="288">
        <v>0</v>
      </c>
    </row>
    <row r="26" spans="1:8" ht="15.75" x14ac:dyDescent="0.25">
      <c r="A26" s="176"/>
      <c r="B26" s="164">
        <f>DATE(25,8,1)</f>
        <v>9345</v>
      </c>
      <c r="C26" s="225">
        <v>0</v>
      </c>
      <c r="D26" s="225">
        <v>0</v>
      </c>
      <c r="E26" s="225">
        <v>0</v>
      </c>
      <c r="F26" s="165">
        <v>0</v>
      </c>
      <c r="G26" s="240">
        <v>0</v>
      </c>
      <c r="H26" s="288">
        <v>0</v>
      </c>
    </row>
    <row r="27" spans="1:8" ht="15.75" thickBot="1" x14ac:dyDescent="0.25">
      <c r="A27" s="166"/>
      <c r="B27" s="167"/>
      <c r="C27" s="225"/>
      <c r="D27" s="225"/>
      <c r="E27" s="225"/>
      <c r="F27" s="165"/>
      <c r="G27" s="240"/>
      <c r="H27" s="241"/>
    </row>
    <row r="28" spans="1:8" ht="17.25" thickTop="1" thickBot="1" x14ac:dyDescent="0.3">
      <c r="A28" s="173" t="s">
        <v>14</v>
      </c>
      <c r="B28" s="177"/>
      <c r="C28" s="227">
        <f>SUM(C25:C27)</f>
        <v>0</v>
      </c>
      <c r="D28" s="227">
        <f>SUM(D25:D27)</f>
        <v>0</v>
      </c>
      <c r="E28" s="227">
        <f>SUM(E25:E27)</f>
        <v>0</v>
      </c>
      <c r="F28" s="175">
        <v>0</v>
      </c>
      <c r="G28" s="244">
        <v>0</v>
      </c>
      <c r="H28" s="245">
        <v>0</v>
      </c>
    </row>
    <row r="29" spans="1:8" ht="15.75" thickTop="1" x14ac:dyDescent="0.2">
      <c r="A29" s="166"/>
      <c r="B29" s="167"/>
      <c r="C29" s="225"/>
      <c r="D29" s="225"/>
      <c r="E29" s="225"/>
      <c r="F29" s="165"/>
      <c r="G29" s="240"/>
      <c r="H29" s="241"/>
    </row>
    <row r="30" spans="1:8" ht="15.75" x14ac:dyDescent="0.25">
      <c r="A30" s="163" t="s">
        <v>60</v>
      </c>
      <c r="B30" s="164">
        <f>DATE(25,7,1)</f>
        <v>9314</v>
      </c>
      <c r="C30" s="225">
        <v>0</v>
      </c>
      <c r="D30" s="225">
        <v>0</v>
      </c>
      <c r="E30" s="225">
        <v>0</v>
      </c>
      <c r="F30" s="165">
        <v>0</v>
      </c>
      <c r="G30" s="240">
        <v>0</v>
      </c>
      <c r="H30" s="241">
        <v>0</v>
      </c>
    </row>
    <row r="31" spans="1:8" ht="15.75" x14ac:dyDescent="0.25">
      <c r="A31" s="163"/>
      <c r="B31" s="164">
        <f>DATE(25,8,1)</f>
        <v>9345</v>
      </c>
      <c r="C31" s="225">
        <v>0</v>
      </c>
      <c r="D31" s="225">
        <v>0</v>
      </c>
      <c r="E31" s="225">
        <v>0</v>
      </c>
      <c r="F31" s="165">
        <v>0</v>
      </c>
      <c r="G31" s="240">
        <v>0</v>
      </c>
      <c r="H31" s="288">
        <v>0</v>
      </c>
    </row>
    <row r="32" spans="1:8" ht="15.75" thickBot="1" x14ac:dyDescent="0.25">
      <c r="A32" s="166"/>
      <c r="B32" s="164"/>
      <c r="C32" s="225"/>
      <c r="D32" s="225"/>
      <c r="E32" s="225"/>
      <c r="F32" s="165"/>
      <c r="G32" s="240"/>
      <c r="H32" s="241"/>
    </row>
    <row r="33" spans="1:8" ht="17.25" thickTop="1" thickBot="1" x14ac:dyDescent="0.3">
      <c r="A33" s="173" t="s">
        <v>14</v>
      </c>
      <c r="B33" s="174"/>
      <c r="C33" s="227">
        <f>SUM(C30:C32)</f>
        <v>0</v>
      </c>
      <c r="D33" s="229">
        <f>SUM(D30:D32)</f>
        <v>0</v>
      </c>
      <c r="E33" s="270">
        <f>SUM(E30:E32)</f>
        <v>0</v>
      </c>
      <c r="F33" s="175">
        <v>0</v>
      </c>
      <c r="G33" s="244">
        <v>0</v>
      </c>
      <c r="H33" s="245">
        <v>0</v>
      </c>
    </row>
    <row r="34" spans="1:8" ht="15.75" thickTop="1" x14ac:dyDescent="0.2">
      <c r="A34" s="166"/>
      <c r="B34" s="167"/>
      <c r="C34" s="225"/>
      <c r="D34" s="225"/>
      <c r="E34" s="225"/>
      <c r="F34" s="165"/>
      <c r="G34" s="240"/>
      <c r="H34" s="241"/>
    </row>
    <row r="35" spans="1:8" ht="15.75" x14ac:dyDescent="0.25">
      <c r="A35" s="163" t="s">
        <v>64</v>
      </c>
      <c r="B35" s="164">
        <f>DATE(25,7,1)</f>
        <v>9314</v>
      </c>
      <c r="C35" s="225">
        <v>0</v>
      </c>
      <c r="D35" s="225">
        <v>0</v>
      </c>
      <c r="E35" s="225">
        <v>0</v>
      </c>
      <c r="F35" s="165">
        <v>0</v>
      </c>
      <c r="G35" s="240">
        <v>0</v>
      </c>
      <c r="H35" s="241">
        <v>0</v>
      </c>
    </row>
    <row r="36" spans="1:8" ht="15.75" x14ac:dyDescent="0.25">
      <c r="A36" s="163"/>
      <c r="B36" s="164">
        <f>DATE(25,8,1)</f>
        <v>9345</v>
      </c>
      <c r="C36" s="225">
        <v>0</v>
      </c>
      <c r="D36" s="225">
        <v>0</v>
      </c>
      <c r="E36" s="225">
        <v>0</v>
      </c>
      <c r="F36" s="165">
        <v>0</v>
      </c>
      <c r="G36" s="240">
        <v>0</v>
      </c>
      <c r="H36" s="288">
        <v>0</v>
      </c>
    </row>
    <row r="37" spans="1:8" ht="15.75" thickBot="1" x14ac:dyDescent="0.25">
      <c r="A37" s="166"/>
      <c r="B37" s="164"/>
      <c r="C37" s="225"/>
      <c r="D37" s="225"/>
      <c r="E37" s="225"/>
      <c r="F37" s="165"/>
      <c r="G37" s="240"/>
      <c r="H37" s="241"/>
    </row>
    <row r="38" spans="1:8" ht="17.25" thickTop="1" thickBot="1" x14ac:dyDescent="0.3">
      <c r="A38" s="173" t="s">
        <v>14</v>
      </c>
      <c r="B38" s="174"/>
      <c r="C38" s="227">
        <f>SUM(C35:C37)</f>
        <v>0</v>
      </c>
      <c r="D38" s="229">
        <f>SUM(D35:D37)</f>
        <v>0</v>
      </c>
      <c r="E38" s="270">
        <f>SUM(E35:E37)</f>
        <v>0</v>
      </c>
      <c r="F38" s="175">
        <v>0</v>
      </c>
      <c r="G38" s="244">
        <v>0</v>
      </c>
      <c r="H38" s="245">
        <v>0</v>
      </c>
    </row>
    <row r="39" spans="1:8" ht="15.75" thickTop="1" x14ac:dyDescent="0.2">
      <c r="A39" s="166"/>
      <c r="B39" s="167"/>
      <c r="C39" s="225"/>
      <c r="D39" s="225"/>
      <c r="E39" s="225"/>
      <c r="F39" s="165"/>
      <c r="G39" s="240"/>
      <c r="H39" s="241"/>
    </row>
    <row r="40" spans="1:8" ht="15.75" x14ac:dyDescent="0.25">
      <c r="A40" s="163" t="s">
        <v>67</v>
      </c>
      <c r="B40" s="164">
        <f>DATE(25,7,1)</f>
        <v>9314</v>
      </c>
      <c r="C40" s="225">
        <v>0</v>
      </c>
      <c r="D40" s="225">
        <v>0</v>
      </c>
      <c r="E40" s="225">
        <v>0</v>
      </c>
      <c r="F40" s="165">
        <v>0</v>
      </c>
      <c r="G40" s="240">
        <v>0</v>
      </c>
      <c r="H40" s="241">
        <v>0</v>
      </c>
    </row>
    <row r="41" spans="1:8" ht="15.75" x14ac:dyDescent="0.25">
      <c r="A41" s="163"/>
      <c r="B41" s="164">
        <f>DATE(25,8,1)</f>
        <v>9345</v>
      </c>
      <c r="C41" s="225">
        <v>0</v>
      </c>
      <c r="D41" s="225">
        <v>0</v>
      </c>
      <c r="E41" s="225">
        <v>0</v>
      </c>
      <c r="F41" s="165">
        <v>0</v>
      </c>
      <c r="G41" s="240">
        <v>0</v>
      </c>
      <c r="H41" s="288">
        <v>0</v>
      </c>
    </row>
    <row r="42" spans="1:8" ht="15.75" thickBot="1" x14ac:dyDescent="0.25">
      <c r="A42" s="166"/>
      <c r="B42" s="164"/>
      <c r="C42" s="225"/>
      <c r="D42" s="225"/>
      <c r="E42" s="225"/>
      <c r="F42" s="165"/>
      <c r="G42" s="240"/>
      <c r="H42" s="241"/>
    </row>
    <row r="43" spans="1:8" ht="17.25" thickTop="1" thickBot="1" x14ac:dyDescent="0.3">
      <c r="A43" s="173" t="s">
        <v>14</v>
      </c>
      <c r="B43" s="174"/>
      <c r="C43" s="227">
        <f>SUM(C40:C42)</f>
        <v>0</v>
      </c>
      <c r="D43" s="229">
        <f>SUM(D40:D42)</f>
        <v>0</v>
      </c>
      <c r="E43" s="270">
        <f>SUM(E40:E42)</f>
        <v>0</v>
      </c>
      <c r="F43" s="175">
        <v>0</v>
      </c>
      <c r="G43" s="244">
        <v>0</v>
      </c>
      <c r="H43" s="245">
        <v>0</v>
      </c>
    </row>
    <row r="44" spans="1:8" ht="15.75" thickTop="1" x14ac:dyDescent="0.2">
      <c r="A44" s="166"/>
      <c r="B44" s="167"/>
      <c r="C44" s="225"/>
      <c r="D44" s="225"/>
      <c r="E44" s="225"/>
      <c r="F44" s="165"/>
      <c r="G44" s="240"/>
      <c r="H44" s="241"/>
    </row>
    <row r="45" spans="1:8" ht="15.75" x14ac:dyDescent="0.25">
      <c r="A45" s="163" t="s">
        <v>69</v>
      </c>
      <c r="B45" s="164">
        <f>DATE(25,7,1)</f>
        <v>9314</v>
      </c>
      <c r="C45" s="225">
        <v>0</v>
      </c>
      <c r="D45" s="225">
        <v>0</v>
      </c>
      <c r="E45" s="225">
        <v>0</v>
      </c>
      <c r="F45" s="165">
        <v>0</v>
      </c>
      <c r="G45" s="240">
        <v>0</v>
      </c>
      <c r="H45" s="241">
        <v>0</v>
      </c>
    </row>
    <row r="46" spans="1:8" ht="15.75" x14ac:dyDescent="0.25">
      <c r="A46" s="163"/>
      <c r="B46" s="164">
        <f>DATE(25,8,1)</f>
        <v>9345</v>
      </c>
      <c r="C46" s="225">
        <v>0</v>
      </c>
      <c r="D46" s="225">
        <v>0</v>
      </c>
      <c r="E46" s="225">
        <v>0</v>
      </c>
      <c r="F46" s="165">
        <v>0</v>
      </c>
      <c r="G46" s="240">
        <v>0</v>
      </c>
      <c r="H46" s="288">
        <v>0</v>
      </c>
    </row>
    <row r="47" spans="1:8" ht="15.75" thickBot="1" x14ac:dyDescent="0.25">
      <c r="A47" s="166"/>
      <c r="B47" s="164"/>
      <c r="C47" s="225"/>
      <c r="D47" s="225"/>
      <c r="E47" s="225"/>
      <c r="F47" s="165"/>
      <c r="G47" s="240"/>
      <c r="H47" s="241"/>
    </row>
    <row r="48" spans="1:8" ht="17.25" thickTop="1" thickBot="1" x14ac:dyDescent="0.3">
      <c r="A48" s="173" t="s">
        <v>14</v>
      </c>
      <c r="B48" s="174"/>
      <c r="C48" s="227">
        <f>SUM(C45:C47)</f>
        <v>0</v>
      </c>
      <c r="D48" s="229">
        <f>SUM(D45:D47)</f>
        <v>0</v>
      </c>
      <c r="E48" s="270">
        <f>SUM(E45:E47)</f>
        <v>0</v>
      </c>
      <c r="F48" s="175">
        <v>0</v>
      </c>
      <c r="G48" s="248">
        <v>0</v>
      </c>
      <c r="H48" s="269">
        <v>0</v>
      </c>
    </row>
    <row r="49" spans="1:8" ht="15.75" thickTop="1" x14ac:dyDescent="0.2">
      <c r="A49" s="166"/>
      <c r="B49" s="178"/>
      <c r="C49" s="228"/>
      <c r="D49" s="228"/>
      <c r="E49" s="228"/>
      <c r="F49" s="179"/>
      <c r="G49" s="246"/>
      <c r="H49" s="247"/>
    </row>
    <row r="50" spans="1:8" ht="15.75" x14ac:dyDescent="0.25">
      <c r="A50" s="163" t="s">
        <v>16</v>
      </c>
      <c r="B50" s="164">
        <f>DATE(25,7,1)</f>
        <v>9314</v>
      </c>
      <c r="C50" s="225">
        <v>0</v>
      </c>
      <c r="D50" s="225">
        <v>0</v>
      </c>
      <c r="E50" s="225">
        <v>0</v>
      </c>
      <c r="F50" s="165">
        <v>0</v>
      </c>
      <c r="G50" s="240">
        <v>0</v>
      </c>
      <c r="H50" s="241">
        <v>0</v>
      </c>
    </row>
    <row r="51" spans="1:8" ht="15.75" x14ac:dyDescent="0.25">
      <c r="A51" s="163"/>
      <c r="B51" s="164">
        <f>DATE(25,8,1)</f>
        <v>9345</v>
      </c>
      <c r="C51" s="225">
        <v>0</v>
      </c>
      <c r="D51" s="225">
        <v>0</v>
      </c>
      <c r="E51" s="225">
        <v>0</v>
      </c>
      <c r="F51" s="165">
        <v>0</v>
      </c>
      <c r="G51" s="240">
        <v>0</v>
      </c>
      <c r="H51" s="288">
        <v>0</v>
      </c>
    </row>
    <row r="52" spans="1:8" ht="16.5" thickBot="1" x14ac:dyDescent="0.3">
      <c r="A52" s="163"/>
      <c r="B52" s="164"/>
      <c r="C52" s="225"/>
      <c r="D52" s="225"/>
      <c r="E52" s="225"/>
      <c r="F52" s="165"/>
      <c r="G52" s="240"/>
      <c r="H52" s="241"/>
    </row>
    <row r="53" spans="1:8" ht="17.25" thickTop="1" thickBot="1" x14ac:dyDescent="0.3">
      <c r="A53" s="173" t="s">
        <v>14</v>
      </c>
      <c r="B53" s="180"/>
      <c r="C53" s="227">
        <f>SUM(C50:C52)</f>
        <v>0</v>
      </c>
      <c r="D53" s="227">
        <f>SUM(D50:D52)</f>
        <v>0</v>
      </c>
      <c r="E53" s="227">
        <f>SUM(E50:E52)</f>
        <v>0</v>
      </c>
      <c r="F53" s="175">
        <v>0</v>
      </c>
      <c r="G53" s="244">
        <v>0</v>
      </c>
      <c r="H53" s="245">
        <v>0</v>
      </c>
    </row>
    <row r="54" spans="1:8" ht="15.75" thickTop="1" x14ac:dyDescent="0.2">
      <c r="A54" s="170"/>
      <c r="B54" s="171"/>
      <c r="C54" s="226"/>
      <c r="D54" s="226"/>
      <c r="E54" s="226"/>
      <c r="F54" s="172"/>
      <c r="G54" s="242"/>
      <c r="H54" s="243"/>
    </row>
    <row r="55" spans="1:8" ht="15.75" x14ac:dyDescent="0.25">
      <c r="A55" s="163" t="s">
        <v>53</v>
      </c>
      <c r="B55" s="164">
        <f>DATE(25,7,1)</f>
        <v>9314</v>
      </c>
      <c r="C55" s="225">
        <v>0</v>
      </c>
      <c r="D55" s="225">
        <v>0</v>
      </c>
      <c r="E55" s="225">
        <v>68164.28</v>
      </c>
      <c r="F55" s="165">
        <v>-1</v>
      </c>
      <c r="G55" s="240">
        <v>0</v>
      </c>
      <c r="H55" s="288">
        <v>0</v>
      </c>
    </row>
    <row r="56" spans="1:8" ht="15.75" x14ac:dyDescent="0.25">
      <c r="A56" s="163"/>
      <c r="B56" s="164">
        <f>DATE(25,8,1)</f>
        <v>9345</v>
      </c>
      <c r="C56" s="225">
        <v>0</v>
      </c>
      <c r="D56" s="225">
        <v>0</v>
      </c>
      <c r="E56" s="225">
        <v>71751.61</v>
      </c>
      <c r="F56" s="165">
        <v>-1</v>
      </c>
      <c r="G56" s="240">
        <v>0</v>
      </c>
      <c r="H56" s="288">
        <v>0</v>
      </c>
    </row>
    <row r="57" spans="1:8" ht="15.75" thickBot="1" x14ac:dyDescent="0.25">
      <c r="A57" s="166"/>
      <c r="B57" s="167"/>
      <c r="C57" s="225"/>
      <c r="D57" s="225"/>
      <c r="E57" s="225"/>
      <c r="F57" s="165"/>
      <c r="G57" s="240"/>
      <c r="H57" s="241"/>
    </row>
    <row r="58" spans="1:8" ht="17.25" thickTop="1" thickBot="1" x14ac:dyDescent="0.3">
      <c r="A58" s="173" t="s">
        <v>14</v>
      </c>
      <c r="B58" s="174"/>
      <c r="C58" s="227">
        <f>SUM(C55:C57)</f>
        <v>0</v>
      </c>
      <c r="D58" s="227">
        <f>SUM(D55:D57)</f>
        <v>0</v>
      </c>
      <c r="E58" s="227">
        <f>SUM(E55:E57)</f>
        <v>139915.89000000001</v>
      </c>
      <c r="F58" s="175">
        <v>-1</v>
      </c>
      <c r="G58" s="291">
        <v>0</v>
      </c>
      <c r="H58" s="292">
        <v>0</v>
      </c>
    </row>
    <row r="59" spans="1:8" ht="15.75" thickTop="1" x14ac:dyDescent="0.2">
      <c r="A59" s="166"/>
      <c r="B59" s="167"/>
      <c r="C59" s="225"/>
      <c r="D59" s="225"/>
      <c r="E59" s="225"/>
      <c r="F59" s="165"/>
      <c r="G59" s="240"/>
      <c r="H59" s="241"/>
    </row>
    <row r="60" spans="1:8" ht="15.75" x14ac:dyDescent="0.25">
      <c r="A60" s="163" t="s">
        <v>54</v>
      </c>
      <c r="B60" s="164">
        <f>DATE(25,7,1)</f>
        <v>9314</v>
      </c>
      <c r="C60" s="225">
        <v>0</v>
      </c>
      <c r="D60" s="225">
        <v>0</v>
      </c>
      <c r="E60" s="225">
        <v>0</v>
      </c>
      <c r="F60" s="165">
        <v>0</v>
      </c>
      <c r="G60" s="240">
        <v>0</v>
      </c>
      <c r="H60" s="241">
        <v>0</v>
      </c>
    </row>
    <row r="61" spans="1:8" ht="15.75" x14ac:dyDescent="0.25">
      <c r="A61" s="163"/>
      <c r="B61" s="164">
        <f>DATE(25,8,1)</f>
        <v>9345</v>
      </c>
      <c r="C61" s="225">
        <v>0</v>
      </c>
      <c r="D61" s="225">
        <v>0</v>
      </c>
      <c r="E61" s="225">
        <v>0</v>
      </c>
      <c r="F61" s="165">
        <v>0</v>
      </c>
      <c r="G61" s="240">
        <v>0</v>
      </c>
      <c r="H61" s="288">
        <v>0</v>
      </c>
    </row>
    <row r="62" spans="1:8" ht="15.75" thickBot="1" x14ac:dyDescent="0.25">
      <c r="A62" s="166"/>
      <c r="B62" s="167"/>
      <c r="C62" s="225"/>
      <c r="D62" s="225"/>
      <c r="E62" s="225"/>
      <c r="F62" s="165"/>
      <c r="G62" s="240"/>
      <c r="H62" s="241"/>
    </row>
    <row r="63" spans="1:8" ht="17.25" thickTop="1" thickBot="1" x14ac:dyDescent="0.3">
      <c r="A63" s="181" t="s">
        <v>14</v>
      </c>
      <c r="B63" s="182"/>
      <c r="C63" s="229">
        <f>SUM(C60:C62)</f>
        <v>0</v>
      </c>
      <c r="D63" s="229">
        <f>SUM(D60:D62)</f>
        <v>0</v>
      </c>
      <c r="E63" s="229">
        <f>SUM(E60:E62)</f>
        <v>0</v>
      </c>
      <c r="F63" s="175">
        <v>0</v>
      </c>
      <c r="G63" s="244">
        <v>0</v>
      </c>
      <c r="H63" s="245">
        <v>0</v>
      </c>
    </row>
    <row r="64" spans="1:8" ht="15.75" thickTop="1" x14ac:dyDescent="0.2">
      <c r="A64" s="166"/>
      <c r="B64" s="167"/>
      <c r="C64" s="225"/>
      <c r="D64" s="225"/>
      <c r="E64" s="225"/>
      <c r="F64" s="165"/>
      <c r="G64" s="240"/>
      <c r="H64" s="241"/>
    </row>
    <row r="65" spans="1:8" ht="15.75" x14ac:dyDescent="0.25">
      <c r="A65" s="163" t="s">
        <v>37</v>
      </c>
      <c r="B65" s="164">
        <f>DATE(25,7,1)</f>
        <v>9314</v>
      </c>
      <c r="C65" s="225">
        <v>0</v>
      </c>
      <c r="D65" s="225">
        <v>0</v>
      </c>
      <c r="E65" s="225">
        <v>0</v>
      </c>
      <c r="F65" s="165">
        <v>0</v>
      </c>
      <c r="G65" s="240">
        <v>0</v>
      </c>
      <c r="H65" s="288">
        <v>0</v>
      </c>
    </row>
    <row r="66" spans="1:8" ht="15.75" x14ac:dyDescent="0.25">
      <c r="A66" s="163"/>
      <c r="B66" s="164">
        <f>DATE(25,8,1)</f>
        <v>9345</v>
      </c>
      <c r="C66" s="225">
        <v>0</v>
      </c>
      <c r="D66" s="225">
        <v>0</v>
      </c>
      <c r="E66" s="225">
        <v>0</v>
      </c>
      <c r="F66" s="165">
        <v>0</v>
      </c>
      <c r="G66" s="240">
        <v>0</v>
      </c>
      <c r="H66" s="288">
        <v>0</v>
      </c>
    </row>
    <row r="67" spans="1:8" ht="15.75" thickBot="1" x14ac:dyDescent="0.25">
      <c r="A67" s="166"/>
      <c r="B67" s="167"/>
      <c r="C67" s="225"/>
      <c r="D67" s="225"/>
      <c r="E67" s="225"/>
      <c r="F67" s="165"/>
      <c r="G67" s="240"/>
      <c r="H67" s="241"/>
    </row>
    <row r="68" spans="1:8" ht="17.25" thickTop="1" thickBot="1" x14ac:dyDescent="0.3">
      <c r="A68" s="173" t="s">
        <v>14</v>
      </c>
      <c r="B68" s="174"/>
      <c r="C68" s="227">
        <f>SUM(C65:C67)</f>
        <v>0</v>
      </c>
      <c r="D68" s="227">
        <f>SUM(D65:D67)</f>
        <v>0</v>
      </c>
      <c r="E68" s="227">
        <f>SUM(E65:E67)</f>
        <v>0</v>
      </c>
      <c r="F68" s="175">
        <v>0</v>
      </c>
      <c r="G68" s="244">
        <v>0</v>
      </c>
      <c r="H68" s="245">
        <v>0</v>
      </c>
    </row>
    <row r="69" spans="1:8" ht="15.75" thickTop="1" x14ac:dyDescent="0.2">
      <c r="A69" s="166"/>
      <c r="B69" s="167"/>
      <c r="C69" s="225"/>
      <c r="D69" s="225"/>
      <c r="E69" s="225"/>
      <c r="F69" s="165"/>
      <c r="G69" s="240"/>
      <c r="H69" s="288"/>
    </row>
    <row r="70" spans="1:8" ht="15.75" x14ac:dyDescent="0.25">
      <c r="A70" s="163" t="s">
        <v>57</v>
      </c>
      <c r="B70" s="164">
        <f>DATE(25,7,1)</f>
        <v>9314</v>
      </c>
      <c r="C70" s="225">
        <v>747329</v>
      </c>
      <c r="D70" s="225">
        <v>40772.980000000003</v>
      </c>
      <c r="E70" s="225">
        <v>0</v>
      </c>
      <c r="F70" s="165">
        <v>1</v>
      </c>
      <c r="G70" s="240">
        <f>+D70/C70</f>
        <v>5.4558273531470081E-2</v>
      </c>
      <c r="H70" s="288">
        <f>1-G70</f>
        <v>0.94544172646852997</v>
      </c>
    </row>
    <row r="71" spans="1:8" ht="15.75" x14ac:dyDescent="0.25">
      <c r="A71" s="163"/>
      <c r="B71" s="164">
        <f>DATE(25,8,1)</f>
        <v>9345</v>
      </c>
      <c r="C71" s="225">
        <v>591513</v>
      </c>
      <c r="D71" s="225">
        <v>30682.93</v>
      </c>
      <c r="E71" s="225">
        <v>0</v>
      </c>
      <c r="F71" s="165">
        <v>1</v>
      </c>
      <c r="G71" s="240">
        <f>+D71/C71</f>
        <v>5.1871945333407721E-2</v>
      </c>
      <c r="H71" s="288">
        <f>1-G71</f>
        <v>0.94812805466659222</v>
      </c>
    </row>
    <row r="72" spans="1:8" ht="15.75" thickBot="1" x14ac:dyDescent="0.25">
      <c r="A72" s="166"/>
      <c r="B72" s="167"/>
      <c r="C72" s="225"/>
      <c r="D72" s="225"/>
      <c r="E72" s="225"/>
      <c r="F72" s="165"/>
      <c r="G72" s="240"/>
      <c r="H72" s="241"/>
    </row>
    <row r="73" spans="1:8" ht="17.25" thickTop="1" thickBot="1" x14ac:dyDescent="0.3">
      <c r="A73" s="168" t="s">
        <v>14</v>
      </c>
      <c r="B73" s="154"/>
      <c r="C73" s="222">
        <f>SUM(C70:C72)</f>
        <v>1338842</v>
      </c>
      <c r="D73" s="222">
        <f>SUM(D70:D72)</f>
        <v>71455.91</v>
      </c>
      <c r="E73" s="222">
        <f>SUM(E70:E72)</f>
        <v>0</v>
      </c>
      <c r="F73" s="175">
        <v>1</v>
      </c>
      <c r="G73" s="244">
        <f>+D73/C73</f>
        <v>5.3371428443386153E-2</v>
      </c>
      <c r="H73" s="245">
        <f>1-G73</f>
        <v>0.94662857155661384</v>
      </c>
    </row>
    <row r="74" spans="1:8" ht="16.5" thickTop="1" thickBot="1" x14ac:dyDescent="0.25">
      <c r="A74" s="170"/>
      <c r="B74" s="171"/>
      <c r="C74" s="226"/>
      <c r="D74" s="226"/>
      <c r="E74" s="226"/>
      <c r="F74" s="172"/>
      <c r="G74" s="242"/>
      <c r="H74" s="243"/>
    </row>
    <row r="75" spans="1:8" ht="17.25" thickTop="1" thickBot="1" x14ac:dyDescent="0.3">
      <c r="A75" s="183" t="s">
        <v>38</v>
      </c>
      <c r="B75" s="154"/>
      <c r="C75" s="222">
        <f>C73+C68+C53+C43+C33+C23+C13+C28+C63+C18+C48+C58+C38</f>
        <v>1338842</v>
      </c>
      <c r="D75" s="222">
        <f>D73+D68+D53+D43+D33+D23+D13+D28+D63+D18+D48+D58+D38</f>
        <v>71455.91</v>
      </c>
      <c r="E75" s="222">
        <f>E73+E68+E53+E43+E33+E23+E13+E28+E63+E18+E48+E58+E38</f>
        <v>139915.89000000001</v>
      </c>
      <c r="F75" s="175">
        <f>+(D75-E75)/E75</f>
        <v>-0.489293817878727</v>
      </c>
      <c r="G75" s="235">
        <f>D75/C75</f>
        <v>5.3371428443386153E-2</v>
      </c>
      <c r="H75" s="236">
        <f>1-G75</f>
        <v>0.94662857155661384</v>
      </c>
    </row>
    <row r="76" spans="1:8" ht="17.25" thickTop="1" thickBot="1" x14ac:dyDescent="0.3">
      <c r="A76" s="183"/>
      <c r="B76" s="154"/>
      <c r="C76" s="222"/>
      <c r="D76" s="222"/>
      <c r="E76" s="222"/>
      <c r="F76" s="169"/>
      <c r="G76" s="235"/>
      <c r="H76" s="236"/>
    </row>
    <row r="77" spans="1:8" ht="17.25" thickTop="1" thickBot="1" x14ac:dyDescent="0.3">
      <c r="A77" s="183" t="s">
        <v>39</v>
      </c>
      <c r="B77" s="154"/>
      <c r="C77" s="222">
        <f>+C11+C16+C21+C26+C31+C36+C41+C46+C51+C56+C61+C66+C71</f>
        <v>591513</v>
      </c>
      <c r="D77" s="222">
        <f>+D11+D16+D21+D26+D31+D36+D41+D46+D51+D56+D61+D66+D71</f>
        <v>30682.93</v>
      </c>
      <c r="E77" s="222">
        <f>+E11+E16+E21+E26+E31+E36+E41+E46+E51+E56+E61+E66+E71</f>
        <v>71751.61</v>
      </c>
      <c r="F77" s="175">
        <f>+(D77-E77)/E77</f>
        <v>-0.57237294048175369</v>
      </c>
      <c r="G77" s="235">
        <f>D77/C77</f>
        <v>5.1871945333407721E-2</v>
      </c>
      <c r="H77" s="245">
        <f>1-G77</f>
        <v>0.94812805466659222</v>
      </c>
    </row>
    <row r="78" spans="1:8" ht="16.5" thickTop="1" x14ac:dyDescent="0.25">
      <c r="A78" s="184"/>
      <c r="B78" s="185"/>
      <c r="C78" s="230"/>
      <c r="D78" s="230"/>
      <c r="E78" s="230"/>
      <c r="F78" s="186"/>
      <c r="G78" s="249"/>
      <c r="H78" s="249"/>
    </row>
    <row r="79" spans="1:8" ht="18.75" x14ac:dyDescent="0.3">
      <c r="A79" s="187" t="s">
        <v>49</v>
      </c>
      <c r="B79" s="188"/>
      <c r="C79" s="231"/>
      <c r="D79" s="231"/>
      <c r="E79" s="231"/>
      <c r="F79" s="189"/>
      <c r="G79" s="250"/>
      <c r="H79" s="250"/>
    </row>
    <row r="80" spans="1:8" ht="15.75" x14ac:dyDescent="0.25">
      <c r="A80" s="190"/>
      <c r="B80" s="188"/>
      <c r="C80" s="231"/>
      <c r="D80" s="231"/>
      <c r="E80" s="231"/>
      <c r="F80" s="189"/>
      <c r="G80" s="256"/>
      <c r="H80" s="256"/>
    </row>
  </sheetData>
  <printOptions horizontalCentered="1"/>
  <pageMargins left="0.7" right="0.45" top="0.25" bottom="0.25" header="0.3" footer="0.3"/>
  <pageSetup scale="65" orientation="landscape" r:id="rId1"/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81"/>
  <sheetViews>
    <sheetView showOutlineSymbols="0" zoomScaleNormal="100" workbookViewId="0">
      <selection activeCell="A6" sqref="A6"/>
    </sheetView>
  </sheetViews>
  <sheetFormatPr defaultColWidth="9.6640625" defaultRowHeight="15" x14ac:dyDescent="0.2"/>
  <cols>
    <col min="1" max="1" width="27.6640625" style="151" customWidth="1"/>
    <col min="2" max="2" width="9.6640625" style="151" customWidth="1"/>
    <col min="3" max="3" width="18.33203125" style="232" customWidth="1"/>
    <col min="4" max="4" width="16.44140625" style="232" customWidth="1"/>
    <col min="5" max="5" width="15.5546875" style="232" customWidth="1"/>
    <col min="6" max="6" width="9.6640625" style="151" customWidth="1"/>
    <col min="7" max="7" width="9.6640625" style="251" customWidth="1"/>
    <col min="8" max="8" width="10.88671875" style="251" customWidth="1"/>
    <col min="9" max="9" width="1.6640625" style="151" customWidth="1"/>
    <col min="10" max="16384" width="9.6640625" style="151"/>
  </cols>
  <sheetData>
    <row r="1" spans="1:9" ht="18" x14ac:dyDescent="0.25">
      <c r="A1" s="148" t="s">
        <v>0</v>
      </c>
      <c r="B1" s="149"/>
      <c r="C1" s="221"/>
      <c r="D1" s="221"/>
      <c r="E1" s="221"/>
      <c r="F1" s="149"/>
      <c r="G1" s="233"/>
      <c r="H1" s="233"/>
      <c r="I1" s="150"/>
    </row>
    <row r="2" spans="1:9" ht="18.75" x14ac:dyDescent="0.3">
      <c r="A2" s="152" t="s">
        <v>41</v>
      </c>
      <c r="B2" s="149"/>
      <c r="C2" s="221"/>
      <c r="D2" s="221"/>
      <c r="E2" s="221"/>
      <c r="F2" s="149"/>
      <c r="G2" s="233"/>
      <c r="H2" s="233"/>
      <c r="I2" s="150"/>
    </row>
    <row r="3" spans="1:9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  <c r="I3" s="150"/>
    </row>
    <row r="4" spans="1:9" ht="18" x14ac:dyDescent="0.25">
      <c r="A4" s="284" t="s">
        <v>78</v>
      </c>
      <c r="B4" s="149"/>
      <c r="C4" s="221"/>
      <c r="D4" s="221"/>
      <c r="E4" s="221"/>
      <c r="F4" s="149"/>
      <c r="G4" s="233"/>
      <c r="H4" s="233"/>
      <c r="I4" s="150"/>
    </row>
    <row r="5" spans="1:9" x14ac:dyDescent="0.2">
      <c r="A5" s="285" t="s">
        <v>73</v>
      </c>
      <c r="B5" s="149"/>
      <c r="C5" s="221"/>
      <c r="D5" s="221"/>
      <c r="E5" s="221"/>
      <c r="F5" s="149"/>
      <c r="G5" s="233"/>
      <c r="H5" s="233"/>
      <c r="I5" s="150"/>
    </row>
    <row r="6" spans="1:9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  <c r="I6" s="150"/>
    </row>
    <row r="7" spans="1:9" ht="16.5" thickTop="1" x14ac:dyDescent="0.25">
      <c r="A7" s="153"/>
      <c r="B7" s="154" t="s">
        <v>2</v>
      </c>
      <c r="C7" s="222" t="s">
        <v>44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  <c r="I7" s="156"/>
    </row>
    <row r="8" spans="1:9" ht="16.5" thickBot="1" x14ac:dyDescent="0.3">
      <c r="A8" s="157" t="s">
        <v>5</v>
      </c>
      <c r="B8" s="158" t="s">
        <v>6</v>
      </c>
      <c r="C8" s="223" t="s">
        <v>45</v>
      </c>
      <c r="D8" s="223" t="s">
        <v>46</v>
      </c>
      <c r="E8" s="223" t="s">
        <v>46</v>
      </c>
      <c r="F8" s="159" t="s">
        <v>8</v>
      </c>
      <c r="G8" s="237" t="s">
        <v>35</v>
      </c>
      <c r="H8" s="253" t="s">
        <v>47</v>
      </c>
      <c r="I8" s="156"/>
    </row>
    <row r="9" spans="1:9" ht="15.75" customHeight="1" thickTop="1" x14ac:dyDescent="0.25">
      <c r="A9" s="160"/>
      <c r="B9" s="161"/>
      <c r="C9" s="224"/>
      <c r="D9" s="224"/>
      <c r="E9" s="224"/>
      <c r="F9" s="162"/>
      <c r="G9" s="238"/>
      <c r="H9" s="239"/>
      <c r="I9" s="156"/>
    </row>
    <row r="10" spans="1:9" ht="15.75" x14ac:dyDescent="0.25">
      <c r="A10" s="163" t="s">
        <v>36</v>
      </c>
      <c r="B10" s="164">
        <f>DATE(25,7,1)</f>
        <v>9314</v>
      </c>
      <c r="C10" s="225">
        <v>118765145.81999999</v>
      </c>
      <c r="D10" s="225">
        <v>11189124.52</v>
      </c>
      <c r="E10" s="225">
        <v>11227961.560000001</v>
      </c>
      <c r="F10" s="165">
        <f>(+D10-E10)/E10</f>
        <v>-3.4589573354400554E-3</v>
      </c>
      <c r="G10" s="240">
        <f>D10/C10</f>
        <v>9.4212190308410812E-2</v>
      </c>
      <c r="H10" s="241">
        <f>1-G10</f>
        <v>0.90578780969158923</v>
      </c>
      <c r="I10" s="156"/>
    </row>
    <row r="11" spans="1:9" ht="15.75" x14ac:dyDescent="0.25">
      <c r="A11" s="163"/>
      <c r="B11" s="164">
        <f>DATE(25,8,1)</f>
        <v>9345</v>
      </c>
      <c r="C11" s="225">
        <v>123114683.18000001</v>
      </c>
      <c r="D11" s="225">
        <v>12025915.57</v>
      </c>
      <c r="E11" s="225">
        <v>11755000.6</v>
      </c>
      <c r="F11" s="165">
        <f>(+D11-E11)/E11</f>
        <v>2.304678487213354E-2</v>
      </c>
      <c r="G11" s="240">
        <f>D11/C11</f>
        <v>9.7680595517737653E-2</v>
      </c>
      <c r="H11" s="241">
        <f>1-G11</f>
        <v>0.90231940448226233</v>
      </c>
      <c r="I11" s="156"/>
    </row>
    <row r="12" spans="1:9" ht="15.75" thickBot="1" x14ac:dyDescent="0.25">
      <c r="A12" s="166"/>
      <c r="B12" s="167"/>
      <c r="C12" s="225"/>
      <c r="D12" s="225"/>
      <c r="E12" s="225"/>
      <c r="F12" s="165"/>
      <c r="G12" s="240"/>
      <c r="H12" s="241"/>
      <c r="I12" s="156"/>
    </row>
    <row r="13" spans="1:9" ht="17.25" thickTop="1" thickBot="1" x14ac:dyDescent="0.3">
      <c r="A13" s="168" t="s">
        <v>14</v>
      </c>
      <c r="B13" s="154"/>
      <c r="C13" s="222">
        <f>SUM(C10:C12)</f>
        <v>241879829</v>
      </c>
      <c r="D13" s="222">
        <f>SUM(D10:D12)</f>
        <v>23215040.09</v>
      </c>
      <c r="E13" s="222">
        <f>SUM(E10:E12)</f>
        <v>22982962.16</v>
      </c>
      <c r="F13" s="169">
        <f>(+D13-E13)/E13</f>
        <v>1.009782500551268E-2</v>
      </c>
      <c r="G13" s="235">
        <f>D13/C13</f>
        <v>9.5977577733445479E-2</v>
      </c>
      <c r="H13" s="236">
        <f>1-G13</f>
        <v>0.90402242226655449</v>
      </c>
      <c r="I13" s="156"/>
    </row>
    <row r="14" spans="1:9" ht="15.75" thickTop="1" x14ac:dyDescent="0.2">
      <c r="A14" s="170"/>
      <c r="B14" s="171"/>
      <c r="C14" s="226"/>
      <c r="D14" s="226"/>
      <c r="E14" s="226"/>
      <c r="F14" s="172"/>
      <c r="G14" s="242"/>
      <c r="H14" s="243"/>
      <c r="I14" s="156"/>
    </row>
    <row r="15" spans="1:9" ht="15.75" x14ac:dyDescent="0.25">
      <c r="A15" s="19" t="s">
        <v>48</v>
      </c>
      <c r="B15" s="164">
        <f>DATE(25,7,1)</f>
        <v>9314</v>
      </c>
      <c r="C15" s="225">
        <v>75801887.219999999</v>
      </c>
      <c r="D15" s="225">
        <v>7699908.8200000003</v>
      </c>
      <c r="E15" s="225">
        <v>6199829.7599999998</v>
      </c>
      <c r="F15" s="165">
        <f>(+D15-E15)/E15</f>
        <v>0.24195487909655128</v>
      </c>
      <c r="G15" s="240">
        <f>D15/C15</f>
        <v>0.10157938149550995</v>
      </c>
      <c r="H15" s="241">
        <f>1-G15</f>
        <v>0.89842061850449006</v>
      </c>
      <c r="I15" s="156"/>
    </row>
    <row r="16" spans="1:9" ht="15.75" x14ac:dyDescent="0.25">
      <c r="A16" s="19"/>
      <c r="B16" s="164">
        <f>DATE(25,8,1)</f>
        <v>9345</v>
      </c>
      <c r="C16" s="225">
        <v>76875873.920000002</v>
      </c>
      <c r="D16" s="225">
        <v>7656381.6799999997</v>
      </c>
      <c r="E16" s="225">
        <v>6511097.2999999998</v>
      </c>
      <c r="F16" s="165">
        <f>(+D16-E16)/E16</f>
        <v>0.17589729153640507</v>
      </c>
      <c r="G16" s="240">
        <f>D16/C16</f>
        <v>9.9594076653587382E-2</v>
      </c>
      <c r="H16" s="241">
        <f>1-G16</f>
        <v>0.90040592334641256</v>
      </c>
      <c r="I16" s="156"/>
    </row>
    <row r="17" spans="1:9" ht="15.75" thickBot="1" x14ac:dyDescent="0.25">
      <c r="A17" s="166"/>
      <c r="B17" s="164"/>
      <c r="C17" s="225"/>
      <c r="D17" s="225"/>
      <c r="E17" s="225"/>
      <c r="F17" s="165"/>
      <c r="G17" s="240"/>
      <c r="H17" s="241"/>
      <c r="I17" s="156"/>
    </row>
    <row r="18" spans="1:9" ht="17.25" thickTop="1" thickBot="1" x14ac:dyDescent="0.3">
      <c r="A18" s="168" t="s">
        <v>14</v>
      </c>
      <c r="B18" s="154"/>
      <c r="C18" s="222">
        <f>SUM(C15:C17)</f>
        <v>152677761.13999999</v>
      </c>
      <c r="D18" s="222">
        <f>SUM(D15:D17)</f>
        <v>15356290.5</v>
      </c>
      <c r="E18" s="222">
        <f>SUM(E15:E17)</f>
        <v>12710927.059999999</v>
      </c>
      <c r="F18" s="169">
        <f>(+D18-E18)/E18</f>
        <v>0.20811727008682887</v>
      </c>
      <c r="G18" s="235">
        <f>D18/C18</f>
        <v>0.10057974642370369</v>
      </c>
      <c r="H18" s="236">
        <f>1-G18</f>
        <v>0.89942025357629629</v>
      </c>
      <c r="I18" s="156"/>
    </row>
    <row r="19" spans="1:9" ht="15.75" thickTop="1" x14ac:dyDescent="0.2">
      <c r="A19" s="170"/>
      <c r="B19" s="171"/>
      <c r="C19" s="226"/>
      <c r="D19" s="226"/>
      <c r="E19" s="226"/>
      <c r="F19" s="172"/>
      <c r="G19" s="242"/>
      <c r="H19" s="243"/>
      <c r="I19" s="156"/>
    </row>
    <row r="20" spans="1:9" ht="15.75" x14ac:dyDescent="0.25">
      <c r="A20" s="19" t="s">
        <v>62</v>
      </c>
      <c r="B20" s="164">
        <f>DATE(25,7,1)</f>
        <v>9314</v>
      </c>
      <c r="C20" s="225">
        <v>46035567.140000001</v>
      </c>
      <c r="D20" s="225">
        <v>4754649.79</v>
      </c>
      <c r="E20" s="225">
        <v>3585663.09</v>
      </c>
      <c r="F20" s="165">
        <f>(+D20-E20)/E20</f>
        <v>0.32601688185936067</v>
      </c>
      <c r="G20" s="240">
        <f>D20/C20</f>
        <v>0.10328209437586609</v>
      </c>
      <c r="H20" s="241">
        <f>1-G20</f>
        <v>0.89671790562413389</v>
      </c>
      <c r="I20" s="156"/>
    </row>
    <row r="21" spans="1:9" ht="15.75" x14ac:dyDescent="0.25">
      <c r="A21" s="19"/>
      <c r="B21" s="164">
        <f>DATE(25,8,1)</f>
        <v>9345</v>
      </c>
      <c r="C21" s="225">
        <v>46774169.189999998</v>
      </c>
      <c r="D21" s="225">
        <v>5030748.01</v>
      </c>
      <c r="E21" s="225">
        <v>3620973.03</v>
      </c>
      <c r="F21" s="165">
        <f>(+D21-E21)/E21</f>
        <v>0.38933595150251643</v>
      </c>
      <c r="G21" s="240">
        <f>D21/C21</f>
        <v>0.10755397898281729</v>
      </c>
      <c r="H21" s="241">
        <f>1-G21</f>
        <v>0.89244602101718273</v>
      </c>
      <c r="I21" s="156"/>
    </row>
    <row r="22" spans="1:9" ht="15.75" thickBot="1" x14ac:dyDescent="0.25">
      <c r="A22" s="166"/>
      <c r="B22" s="164"/>
      <c r="C22" s="225"/>
      <c r="D22" s="225"/>
      <c r="E22" s="225"/>
      <c r="F22" s="165"/>
      <c r="G22" s="240"/>
      <c r="H22" s="241"/>
      <c r="I22" s="156"/>
    </row>
    <row r="23" spans="1:9" ht="17.25" thickTop="1" thickBot="1" x14ac:dyDescent="0.3">
      <c r="A23" s="173" t="s">
        <v>14</v>
      </c>
      <c r="B23" s="174"/>
      <c r="C23" s="227">
        <f>SUM(C20:C22)</f>
        <v>92809736.329999998</v>
      </c>
      <c r="D23" s="227">
        <f>SUM(D20:D22)</f>
        <v>9785397.8000000007</v>
      </c>
      <c r="E23" s="227">
        <f>SUM(E20:E22)</f>
        <v>7206636.1199999992</v>
      </c>
      <c r="F23" s="175">
        <f>(+D23-E23)/E23</f>
        <v>0.35783153708057647</v>
      </c>
      <c r="G23" s="244">
        <f>D23/C23</f>
        <v>0.10543503501837824</v>
      </c>
      <c r="H23" s="245">
        <f>1-G23</f>
        <v>0.89456496498162175</v>
      </c>
      <c r="I23" s="156"/>
    </row>
    <row r="24" spans="1:9" ht="15.75" thickTop="1" x14ac:dyDescent="0.2">
      <c r="A24" s="166"/>
      <c r="B24" s="167"/>
      <c r="C24" s="225"/>
      <c r="D24" s="225"/>
      <c r="E24" s="225"/>
      <c r="F24" s="165"/>
      <c r="G24" s="240"/>
      <c r="H24" s="241"/>
      <c r="I24" s="156"/>
    </row>
    <row r="25" spans="1:9" ht="15.75" x14ac:dyDescent="0.25">
      <c r="A25" s="176" t="s">
        <v>58</v>
      </c>
      <c r="B25" s="164">
        <f>DATE(25,7,1)</f>
        <v>9314</v>
      </c>
      <c r="C25" s="225">
        <v>204045408.94</v>
      </c>
      <c r="D25" s="225">
        <v>19065951.129999999</v>
      </c>
      <c r="E25" s="225">
        <v>17635163.969999999</v>
      </c>
      <c r="F25" s="165">
        <f>(+D25-E25)/E25</f>
        <v>8.1132625839713146E-2</v>
      </c>
      <c r="G25" s="240">
        <f>D25/C25</f>
        <v>9.3439745736236507E-2</v>
      </c>
      <c r="H25" s="241">
        <f>1-G25</f>
        <v>0.90656025426376352</v>
      </c>
      <c r="I25" s="156"/>
    </row>
    <row r="26" spans="1:9" ht="15.75" x14ac:dyDescent="0.25">
      <c r="A26" s="176"/>
      <c r="B26" s="164">
        <f>DATE(25,8,1)</f>
        <v>9345</v>
      </c>
      <c r="C26" s="225">
        <v>213666893.12</v>
      </c>
      <c r="D26" s="225">
        <v>19625709.969999999</v>
      </c>
      <c r="E26" s="225">
        <v>18755463.760000002</v>
      </c>
      <c r="F26" s="165">
        <f>(+D26-E26)/E26</f>
        <v>4.6399610328803575E-2</v>
      </c>
      <c r="G26" s="240">
        <f>D26/C26</f>
        <v>9.1851899390785682E-2</v>
      </c>
      <c r="H26" s="241">
        <f>1-G26</f>
        <v>0.90814810060921436</v>
      </c>
      <c r="I26" s="156"/>
    </row>
    <row r="27" spans="1:9" ht="15.75" thickBot="1" x14ac:dyDescent="0.25">
      <c r="A27" s="166"/>
      <c r="B27" s="167"/>
      <c r="C27" s="225"/>
      <c r="D27" s="225"/>
      <c r="E27" s="225"/>
      <c r="F27" s="165"/>
      <c r="G27" s="240"/>
      <c r="H27" s="241"/>
      <c r="I27" s="156"/>
    </row>
    <row r="28" spans="1:9" ht="17.25" thickTop="1" thickBot="1" x14ac:dyDescent="0.3">
      <c r="A28" s="173" t="s">
        <v>14</v>
      </c>
      <c r="B28" s="177"/>
      <c r="C28" s="227">
        <f>SUM(C25:C27)</f>
        <v>417712302.06</v>
      </c>
      <c r="D28" s="227">
        <f>SUM(D25:D27)</f>
        <v>38691661.099999994</v>
      </c>
      <c r="E28" s="227">
        <f>SUM(E25:E27)</f>
        <v>36390627.730000004</v>
      </c>
      <c r="F28" s="175">
        <f>(+D28-E28)/E28</f>
        <v>6.3231483311375944E-2</v>
      </c>
      <c r="G28" s="244">
        <f>D28/C28</f>
        <v>9.2627535529088492E-2</v>
      </c>
      <c r="H28" s="245">
        <f>1-G28</f>
        <v>0.90737246447091147</v>
      </c>
      <c r="I28" s="156"/>
    </row>
    <row r="29" spans="1:9" ht="15.75" thickTop="1" x14ac:dyDescent="0.2">
      <c r="A29" s="166"/>
      <c r="B29" s="167"/>
      <c r="C29" s="225"/>
      <c r="D29" s="225"/>
      <c r="E29" s="225"/>
      <c r="F29" s="165"/>
      <c r="G29" s="240"/>
      <c r="H29" s="241"/>
      <c r="I29" s="156"/>
    </row>
    <row r="30" spans="1:9" ht="15.75" x14ac:dyDescent="0.25">
      <c r="A30" s="163" t="s">
        <v>60</v>
      </c>
      <c r="B30" s="164">
        <f>DATE(25,7,1)</f>
        <v>9314</v>
      </c>
      <c r="C30" s="225">
        <v>114584386.17</v>
      </c>
      <c r="D30" s="225">
        <v>11284269.119999999</v>
      </c>
      <c r="E30" s="225">
        <v>9741383.2799999993</v>
      </c>
      <c r="F30" s="165">
        <f>(+D30-E30)/E30</f>
        <v>0.15838467655488861</v>
      </c>
      <c r="G30" s="240">
        <f>D30/C30</f>
        <v>9.8479989265364665E-2</v>
      </c>
      <c r="H30" s="241">
        <f>1-G30</f>
        <v>0.90152001073463528</v>
      </c>
      <c r="I30" s="156"/>
    </row>
    <row r="31" spans="1:9" ht="15.75" x14ac:dyDescent="0.25">
      <c r="A31" s="163"/>
      <c r="B31" s="164">
        <f>DATE(25,8,1)</f>
        <v>9345</v>
      </c>
      <c r="C31" s="225">
        <v>124984419.62</v>
      </c>
      <c r="D31" s="225">
        <v>12207537.15</v>
      </c>
      <c r="E31" s="225">
        <v>10213981.68</v>
      </c>
      <c r="F31" s="165">
        <f>(+D31-E31)/E31</f>
        <v>0.19517907241830892</v>
      </c>
      <c r="G31" s="240">
        <f>D31/C31</f>
        <v>9.7672471393758828E-2</v>
      </c>
      <c r="H31" s="241">
        <f>1-G31</f>
        <v>0.90232752860624121</v>
      </c>
      <c r="I31" s="156"/>
    </row>
    <row r="32" spans="1:9" ht="15.75" thickBot="1" x14ac:dyDescent="0.25">
      <c r="A32" s="166"/>
      <c r="B32" s="164"/>
      <c r="C32" s="225"/>
      <c r="D32" s="225"/>
      <c r="E32" s="225"/>
      <c r="F32" s="165"/>
      <c r="G32" s="240"/>
      <c r="H32" s="241"/>
      <c r="I32" s="156"/>
    </row>
    <row r="33" spans="1:9" ht="17.25" thickTop="1" thickBot="1" x14ac:dyDescent="0.3">
      <c r="A33" s="173" t="s">
        <v>14</v>
      </c>
      <c r="B33" s="174"/>
      <c r="C33" s="227">
        <f>SUM(C30:C32)</f>
        <v>239568805.79000002</v>
      </c>
      <c r="D33" s="229">
        <f>SUM(D30:D32)</f>
        <v>23491806.27</v>
      </c>
      <c r="E33" s="270">
        <f>SUM(E30:E32)</f>
        <v>19955364.960000001</v>
      </c>
      <c r="F33" s="271">
        <f>(+D33-E33)/E33</f>
        <v>0.17721757116889125</v>
      </c>
      <c r="G33" s="248">
        <f>D33/C33</f>
        <v>9.8058702561602804E-2</v>
      </c>
      <c r="H33" s="269">
        <f>1-G33</f>
        <v>0.90194129743839724</v>
      </c>
      <c r="I33" s="156"/>
    </row>
    <row r="34" spans="1:9" ht="15.75" thickTop="1" x14ac:dyDescent="0.2">
      <c r="A34" s="166"/>
      <c r="B34" s="167"/>
      <c r="C34" s="225"/>
      <c r="D34" s="225"/>
      <c r="E34" s="225"/>
      <c r="F34" s="165"/>
      <c r="G34" s="240"/>
      <c r="H34" s="241"/>
      <c r="I34" s="156"/>
    </row>
    <row r="35" spans="1:9" ht="15.75" x14ac:dyDescent="0.25">
      <c r="A35" s="163" t="s">
        <v>64</v>
      </c>
      <c r="B35" s="164">
        <f>DATE(25,7,1)</f>
        <v>9314</v>
      </c>
      <c r="C35" s="225">
        <v>50473686.939999998</v>
      </c>
      <c r="D35" s="225">
        <v>5133575.21</v>
      </c>
      <c r="E35" s="225">
        <v>5096504.7300000004</v>
      </c>
      <c r="F35" s="165">
        <f>(+D35-E35)/E35</f>
        <v>7.2737065820401023E-3</v>
      </c>
      <c r="G35" s="240">
        <f>D35/C35</f>
        <v>0.10170794965112173</v>
      </c>
      <c r="H35" s="241">
        <f>1-G35</f>
        <v>0.89829205034887827</v>
      </c>
      <c r="I35" s="156"/>
    </row>
    <row r="36" spans="1:9" ht="15.75" x14ac:dyDescent="0.25">
      <c r="A36" s="163"/>
      <c r="B36" s="164">
        <f>DATE(25,8,1)</f>
        <v>9345</v>
      </c>
      <c r="C36" s="225">
        <v>54290001.18</v>
      </c>
      <c r="D36" s="225">
        <v>5461912.4800000004</v>
      </c>
      <c r="E36" s="225">
        <v>5390961.3799999999</v>
      </c>
      <c r="F36" s="165">
        <f>(+D36-E36)/E36</f>
        <v>1.3161121922190539E-2</v>
      </c>
      <c r="G36" s="240">
        <f>D36/C36</f>
        <v>0.10060623247899514</v>
      </c>
      <c r="H36" s="241">
        <f>1-G36</f>
        <v>0.89939376752100486</v>
      </c>
      <c r="I36" s="156"/>
    </row>
    <row r="37" spans="1:9" ht="15.75" thickBot="1" x14ac:dyDescent="0.25">
      <c r="A37" s="166"/>
      <c r="B37" s="164"/>
      <c r="C37" s="225"/>
      <c r="D37" s="225"/>
      <c r="E37" s="225"/>
      <c r="F37" s="165"/>
      <c r="G37" s="240"/>
      <c r="H37" s="241"/>
      <c r="I37" s="156"/>
    </row>
    <row r="38" spans="1:9" ht="17.25" thickTop="1" thickBot="1" x14ac:dyDescent="0.3">
      <c r="A38" s="173" t="s">
        <v>14</v>
      </c>
      <c r="B38" s="174"/>
      <c r="C38" s="227">
        <f>SUM(C35:C37)</f>
        <v>104763688.12</v>
      </c>
      <c r="D38" s="229">
        <f>SUM(D35:D37)</f>
        <v>10595487.690000001</v>
      </c>
      <c r="E38" s="270">
        <f>SUM(E35:E37)</f>
        <v>10487466.109999999</v>
      </c>
      <c r="F38" s="271">
        <f>(+D38-E38)/E38</f>
        <v>1.0300064750340532E-2</v>
      </c>
      <c r="G38" s="248">
        <f>D38/C38</f>
        <v>0.10113702447992817</v>
      </c>
      <c r="H38" s="269">
        <f>1-G38</f>
        <v>0.89886297552007188</v>
      </c>
      <c r="I38" s="156"/>
    </row>
    <row r="39" spans="1:9" ht="15.75" thickTop="1" x14ac:dyDescent="0.2">
      <c r="A39" s="166"/>
      <c r="B39" s="167"/>
      <c r="C39" s="225"/>
      <c r="D39" s="225"/>
      <c r="E39" s="225"/>
      <c r="F39" s="165"/>
      <c r="G39" s="240"/>
      <c r="H39" s="241"/>
      <c r="I39" s="156"/>
    </row>
    <row r="40" spans="1:9" ht="15.75" x14ac:dyDescent="0.25">
      <c r="A40" s="289" t="s">
        <v>67</v>
      </c>
      <c r="B40" s="164">
        <f>DATE(25,7,1)</f>
        <v>9314</v>
      </c>
      <c r="C40" s="225">
        <v>93836015.939999998</v>
      </c>
      <c r="D40" s="225">
        <v>10417438.859999999</v>
      </c>
      <c r="E40" s="225">
        <v>10638892.560000001</v>
      </c>
      <c r="F40" s="165">
        <f>(+D40-E40)/E40</f>
        <v>-2.0815484201111352E-2</v>
      </c>
      <c r="G40" s="240">
        <f>D40/C40</f>
        <v>0.11101748892089632</v>
      </c>
      <c r="H40" s="241">
        <f>1-G40</f>
        <v>0.88898251107910364</v>
      </c>
      <c r="I40" s="156"/>
    </row>
    <row r="41" spans="1:9" ht="15.75" x14ac:dyDescent="0.25">
      <c r="A41" s="289"/>
      <c r="B41" s="164">
        <f>DATE(25,8,1)</f>
        <v>9345</v>
      </c>
      <c r="C41" s="225">
        <v>96419544.269999996</v>
      </c>
      <c r="D41" s="225">
        <v>10567774.789999999</v>
      </c>
      <c r="E41" s="225">
        <v>11116423.300000001</v>
      </c>
      <c r="F41" s="165">
        <f>(+D41-E41)/E41</f>
        <v>-4.9354769532750843E-2</v>
      </c>
      <c r="G41" s="240">
        <f>D41/C41</f>
        <v>0.10960199895165922</v>
      </c>
      <c r="H41" s="241">
        <f>1-G41</f>
        <v>0.89039800104834077</v>
      </c>
      <c r="I41" s="156"/>
    </row>
    <row r="42" spans="1:9" ht="15.75" thickBot="1" x14ac:dyDescent="0.25">
      <c r="A42" s="166"/>
      <c r="B42" s="164"/>
      <c r="C42" s="225"/>
      <c r="D42" s="225"/>
      <c r="E42" s="225"/>
      <c r="F42" s="165"/>
      <c r="G42" s="240"/>
      <c r="H42" s="241"/>
      <c r="I42" s="156"/>
    </row>
    <row r="43" spans="1:9" ht="17.25" thickTop="1" thickBot="1" x14ac:dyDescent="0.3">
      <c r="A43" s="173" t="s">
        <v>14</v>
      </c>
      <c r="B43" s="174"/>
      <c r="C43" s="227">
        <f>SUM(C40:C42)</f>
        <v>190255560.20999998</v>
      </c>
      <c r="D43" s="229">
        <f>SUM(D40:D42)</f>
        <v>20985213.649999999</v>
      </c>
      <c r="E43" s="270">
        <f>SUM(E40:E42)</f>
        <v>21755315.859999999</v>
      </c>
      <c r="F43" s="271">
        <f>(+D43-E43)/E43</f>
        <v>-3.5398346544622449E-2</v>
      </c>
      <c r="G43" s="248">
        <f>D43/C43</f>
        <v>0.11030013328828325</v>
      </c>
      <c r="H43" s="269">
        <f>1-G43</f>
        <v>0.88969986671171675</v>
      </c>
      <c r="I43" s="156"/>
    </row>
    <row r="44" spans="1:9" ht="15.75" thickTop="1" x14ac:dyDescent="0.2">
      <c r="A44" s="166"/>
      <c r="B44" s="167"/>
      <c r="C44" s="225"/>
      <c r="D44" s="225"/>
      <c r="E44" s="225"/>
      <c r="F44" s="165"/>
      <c r="G44" s="240"/>
      <c r="H44" s="241"/>
      <c r="I44" s="156"/>
    </row>
    <row r="45" spans="1:9" ht="15.75" x14ac:dyDescent="0.25">
      <c r="A45" s="163" t="s">
        <v>69</v>
      </c>
      <c r="B45" s="164">
        <f>DATE(25,7,1)</f>
        <v>9314</v>
      </c>
      <c r="C45" s="225">
        <v>127697612.23</v>
      </c>
      <c r="D45" s="225">
        <v>12769442.74</v>
      </c>
      <c r="E45" s="225">
        <v>10449496.5</v>
      </c>
      <c r="F45" s="165">
        <f>(+D45-E45)/E45</f>
        <v>0.2220151219726233</v>
      </c>
      <c r="G45" s="240">
        <f>D45/C45</f>
        <v>9.9997505959630417E-2</v>
      </c>
      <c r="H45" s="241">
        <f>1-G45</f>
        <v>0.90000249404036958</v>
      </c>
      <c r="I45" s="156"/>
    </row>
    <row r="46" spans="1:9" ht="15.75" x14ac:dyDescent="0.25">
      <c r="A46" s="163"/>
      <c r="B46" s="164">
        <f>DATE(25,8,1)</f>
        <v>9345</v>
      </c>
      <c r="C46" s="225">
        <v>130749611.66</v>
      </c>
      <c r="D46" s="225">
        <v>13136164.029999999</v>
      </c>
      <c r="E46" s="225">
        <v>10275632.210000001</v>
      </c>
      <c r="F46" s="165">
        <f>(+D46-E46)/E46</f>
        <v>0.27838012898283737</v>
      </c>
      <c r="G46" s="240">
        <f>D46/C46</f>
        <v>0.10046809212832808</v>
      </c>
      <c r="H46" s="241">
        <f>1-G46</f>
        <v>0.89953190787167192</v>
      </c>
      <c r="I46" s="156"/>
    </row>
    <row r="47" spans="1:9" ht="15.75" thickBot="1" x14ac:dyDescent="0.25">
      <c r="A47" s="166"/>
      <c r="B47" s="164"/>
      <c r="C47" s="225"/>
      <c r="D47" s="225"/>
      <c r="E47" s="225"/>
      <c r="F47" s="165"/>
      <c r="G47" s="240"/>
      <c r="H47" s="241"/>
      <c r="I47" s="156"/>
    </row>
    <row r="48" spans="1:9" ht="17.25" thickTop="1" thickBot="1" x14ac:dyDescent="0.3">
      <c r="A48" s="173" t="s">
        <v>14</v>
      </c>
      <c r="B48" s="174"/>
      <c r="C48" s="227">
        <f>SUM(C45:C47)</f>
        <v>258447223.88999999</v>
      </c>
      <c r="D48" s="229">
        <f>SUM(D45:D47)</f>
        <v>25905606.77</v>
      </c>
      <c r="E48" s="270">
        <f>SUM(E45:E47)</f>
        <v>20725128.710000001</v>
      </c>
      <c r="F48" s="175">
        <f>(+D48-E48)/E48</f>
        <v>0.24996120084409351</v>
      </c>
      <c r="G48" s="248">
        <f>D48/C48</f>
        <v>0.10023557761651916</v>
      </c>
      <c r="H48" s="269">
        <f>1-G48</f>
        <v>0.89976442238348087</v>
      </c>
      <c r="I48" s="156"/>
    </row>
    <row r="49" spans="1:9" ht="15.75" thickTop="1" x14ac:dyDescent="0.2">
      <c r="A49" s="166"/>
      <c r="B49" s="178"/>
      <c r="C49" s="228"/>
      <c r="D49" s="228"/>
      <c r="E49" s="228"/>
      <c r="F49" s="179"/>
      <c r="G49" s="246"/>
      <c r="H49" s="247"/>
      <c r="I49" s="156"/>
    </row>
    <row r="50" spans="1:9" ht="15.75" x14ac:dyDescent="0.25">
      <c r="A50" s="163" t="s">
        <v>16</v>
      </c>
      <c r="B50" s="164">
        <f>DATE(25,7,1)</f>
        <v>9314</v>
      </c>
      <c r="C50" s="225">
        <v>159207103.13999999</v>
      </c>
      <c r="D50" s="225">
        <v>15262289.550000001</v>
      </c>
      <c r="E50" s="225">
        <v>14744546.640000001</v>
      </c>
      <c r="F50" s="165">
        <f>(+D50-E50)/E50</f>
        <v>3.5114196634261526E-2</v>
      </c>
      <c r="G50" s="240">
        <f>D50/C50</f>
        <v>9.5864375703004837E-2</v>
      </c>
      <c r="H50" s="241">
        <f>1-G50</f>
        <v>0.90413562429699512</v>
      </c>
      <c r="I50" s="156"/>
    </row>
    <row r="51" spans="1:9" ht="15.75" x14ac:dyDescent="0.25">
      <c r="A51" s="163"/>
      <c r="B51" s="164">
        <f>DATE(25,8,1)</f>
        <v>9345</v>
      </c>
      <c r="C51" s="225">
        <v>162847837.30000001</v>
      </c>
      <c r="D51" s="225">
        <v>15853734.359999999</v>
      </c>
      <c r="E51" s="225">
        <v>15706191.880000001</v>
      </c>
      <c r="F51" s="165">
        <f>(+D51-E51)/E51</f>
        <v>9.3939053544784892E-3</v>
      </c>
      <c r="G51" s="240">
        <f>D51/C51</f>
        <v>9.7353054377959478E-2</v>
      </c>
      <c r="H51" s="241">
        <f>1-G51</f>
        <v>0.90264694562204051</v>
      </c>
      <c r="I51" s="156"/>
    </row>
    <row r="52" spans="1:9" ht="15.75" customHeight="1" thickBot="1" x14ac:dyDescent="0.3">
      <c r="A52" s="163"/>
      <c r="B52" s="164"/>
      <c r="C52" s="225"/>
      <c r="D52" s="225"/>
      <c r="E52" s="225"/>
      <c r="F52" s="165"/>
      <c r="G52" s="240"/>
      <c r="H52" s="241"/>
      <c r="I52" s="156"/>
    </row>
    <row r="53" spans="1:9" ht="17.25" thickTop="1" thickBot="1" x14ac:dyDescent="0.3">
      <c r="A53" s="173" t="s">
        <v>14</v>
      </c>
      <c r="B53" s="180"/>
      <c r="C53" s="227">
        <f>SUM(C50:C52)</f>
        <v>322054940.44</v>
      </c>
      <c r="D53" s="227">
        <f>SUM(D50:D52)</f>
        <v>31116023.91</v>
      </c>
      <c r="E53" s="227">
        <f>SUM(E50:E52)</f>
        <v>30450738.520000003</v>
      </c>
      <c r="F53" s="175">
        <f>(+D53-E53)/E53</f>
        <v>2.1847922984299325E-2</v>
      </c>
      <c r="G53" s="244">
        <f>D53/C53</f>
        <v>9.6617129572638946E-2</v>
      </c>
      <c r="H53" s="245">
        <f>1-G53</f>
        <v>0.9033828704273611</v>
      </c>
      <c r="I53" s="156"/>
    </row>
    <row r="54" spans="1:9" ht="15.75" thickTop="1" x14ac:dyDescent="0.2">
      <c r="A54" s="170"/>
      <c r="B54" s="171"/>
      <c r="C54" s="226"/>
      <c r="D54" s="226"/>
      <c r="E54" s="226"/>
      <c r="F54" s="172"/>
      <c r="G54" s="242"/>
      <c r="H54" s="243"/>
      <c r="I54" s="156"/>
    </row>
    <row r="55" spans="1:9" ht="15.75" x14ac:dyDescent="0.25">
      <c r="A55" s="163" t="s">
        <v>53</v>
      </c>
      <c r="B55" s="164">
        <f>DATE(25,7,1)</f>
        <v>9314</v>
      </c>
      <c r="C55" s="225">
        <v>208655549.31</v>
      </c>
      <c r="D55" s="225">
        <v>20027858.210000001</v>
      </c>
      <c r="E55" s="225">
        <v>17994367.18</v>
      </c>
      <c r="F55" s="165">
        <f>(+D55-E55)/E55</f>
        <v>0.11300708769909636</v>
      </c>
      <c r="G55" s="240">
        <f>D55/C55</f>
        <v>9.5985265075526793E-2</v>
      </c>
      <c r="H55" s="241">
        <f>1-G55</f>
        <v>0.90401473492447315</v>
      </c>
      <c r="I55" s="156"/>
    </row>
    <row r="56" spans="1:9" ht="15.75" x14ac:dyDescent="0.25">
      <c r="A56" s="163"/>
      <c r="B56" s="164">
        <f>DATE(25,8,1)</f>
        <v>9345</v>
      </c>
      <c r="C56" s="225">
        <v>214762394.52000001</v>
      </c>
      <c r="D56" s="225">
        <v>20920695.829999998</v>
      </c>
      <c r="E56" s="225">
        <v>18616519.079999998</v>
      </c>
      <c r="F56" s="165">
        <f>(+D56-E56)/E56</f>
        <v>0.12377054701248695</v>
      </c>
      <c r="G56" s="240">
        <f>D56/C56</f>
        <v>9.7413217415266498E-2</v>
      </c>
      <c r="H56" s="241">
        <f>1-G56</f>
        <v>0.90258678258473346</v>
      </c>
      <c r="I56" s="156"/>
    </row>
    <row r="57" spans="1:9" ht="15.75" thickBot="1" x14ac:dyDescent="0.25">
      <c r="A57" s="166"/>
      <c r="B57" s="167"/>
      <c r="C57" s="225"/>
      <c r="D57" s="225"/>
      <c r="E57" s="225"/>
      <c r="F57" s="165"/>
      <c r="G57" s="240"/>
      <c r="H57" s="241"/>
      <c r="I57" s="156"/>
    </row>
    <row r="58" spans="1:9" ht="17.25" thickTop="1" thickBot="1" x14ac:dyDescent="0.3">
      <c r="A58" s="173" t="s">
        <v>14</v>
      </c>
      <c r="B58" s="174"/>
      <c r="C58" s="227">
        <f>SUM(C55:C57)</f>
        <v>423417943.83000004</v>
      </c>
      <c r="D58" s="227">
        <f>SUM(D55:D57)</f>
        <v>40948554.039999999</v>
      </c>
      <c r="E58" s="227">
        <f>SUM(E55:E57)</f>
        <v>36610886.259999998</v>
      </c>
      <c r="F58" s="175">
        <f>(+D58-E58)/E58</f>
        <v>0.11848027248494152</v>
      </c>
      <c r="G58" s="248">
        <f>D58/C58</f>
        <v>9.6709538735185521E-2</v>
      </c>
      <c r="H58" s="269">
        <f>1-G58</f>
        <v>0.90329046126481449</v>
      </c>
      <c r="I58" s="156"/>
    </row>
    <row r="59" spans="1:9" ht="15.75" thickTop="1" x14ac:dyDescent="0.2">
      <c r="A59" s="166"/>
      <c r="B59" s="167"/>
      <c r="C59" s="225"/>
      <c r="D59" s="225"/>
      <c r="E59" s="225"/>
      <c r="F59" s="165"/>
      <c r="G59" s="240"/>
      <c r="H59" s="241"/>
      <c r="I59" s="156"/>
    </row>
    <row r="60" spans="1:9" ht="15.75" x14ac:dyDescent="0.25">
      <c r="A60" s="163" t="s">
        <v>54</v>
      </c>
      <c r="B60" s="164">
        <f>DATE(25,7,1)</f>
        <v>9314</v>
      </c>
      <c r="C60" s="225">
        <v>28283296.43</v>
      </c>
      <c r="D60" s="225">
        <v>2945968.77</v>
      </c>
      <c r="E60" s="225">
        <v>2829692.37</v>
      </c>
      <c r="F60" s="165">
        <f>(+D60-E60)/E60</f>
        <v>4.1091533918225856E-2</v>
      </c>
      <c r="G60" s="240">
        <f>D60/C60</f>
        <v>0.10415931457251286</v>
      </c>
      <c r="H60" s="241">
        <f>1-G60</f>
        <v>0.89584068542748718</v>
      </c>
      <c r="I60" s="156"/>
    </row>
    <row r="61" spans="1:9" ht="15.75" x14ac:dyDescent="0.25">
      <c r="A61" s="163"/>
      <c r="B61" s="164">
        <f>DATE(25,8,1)</f>
        <v>9345</v>
      </c>
      <c r="C61" s="225">
        <v>27999385.52</v>
      </c>
      <c r="D61" s="225">
        <v>3020485.7</v>
      </c>
      <c r="E61" s="225">
        <v>2718513.58</v>
      </c>
      <c r="F61" s="165">
        <f>(+D61-E61)/E61</f>
        <v>0.11107986446034238</v>
      </c>
      <c r="G61" s="240">
        <f>D61/C61</f>
        <v>0.10787685672038992</v>
      </c>
      <c r="H61" s="241">
        <f>1-G61</f>
        <v>0.89212314327961006</v>
      </c>
      <c r="I61" s="156"/>
    </row>
    <row r="62" spans="1:9" ht="15.75" thickBot="1" x14ac:dyDescent="0.25">
      <c r="A62" s="166"/>
      <c r="B62" s="167"/>
      <c r="C62" s="225"/>
      <c r="D62" s="225"/>
      <c r="E62" s="225"/>
      <c r="F62" s="165"/>
      <c r="G62" s="240"/>
      <c r="H62" s="241"/>
      <c r="I62" s="156"/>
    </row>
    <row r="63" spans="1:9" ht="17.25" thickTop="1" thickBot="1" x14ac:dyDescent="0.3">
      <c r="A63" s="181" t="s">
        <v>14</v>
      </c>
      <c r="B63" s="182"/>
      <c r="C63" s="229">
        <f>SUM(C60:C62)</f>
        <v>56282681.950000003</v>
      </c>
      <c r="D63" s="229">
        <f>SUM(D60:D62)</f>
        <v>5966454.4700000007</v>
      </c>
      <c r="E63" s="229">
        <f>SUM(E60:E62)</f>
        <v>5548205.9500000002</v>
      </c>
      <c r="F63" s="175">
        <f>(+D63-E63)/E63</f>
        <v>7.5384461890784793E-2</v>
      </c>
      <c r="G63" s="248">
        <f>D63/C63</f>
        <v>0.10600870930956055</v>
      </c>
      <c r="H63" s="245">
        <f>1-G63</f>
        <v>0.89399129069043948</v>
      </c>
      <c r="I63" s="156"/>
    </row>
    <row r="64" spans="1:9" ht="15.75" thickTop="1" x14ac:dyDescent="0.2">
      <c r="A64" s="166"/>
      <c r="B64" s="167"/>
      <c r="C64" s="225"/>
      <c r="D64" s="225"/>
      <c r="E64" s="225"/>
      <c r="F64" s="165"/>
      <c r="G64" s="240"/>
      <c r="H64" s="241"/>
      <c r="I64" s="156"/>
    </row>
    <row r="65" spans="1:9" ht="15.75" x14ac:dyDescent="0.25">
      <c r="A65" s="163" t="s">
        <v>37</v>
      </c>
      <c r="B65" s="164">
        <f>DATE(25,7,1)</f>
        <v>9314</v>
      </c>
      <c r="C65" s="225">
        <v>238893036.09999999</v>
      </c>
      <c r="D65" s="225">
        <v>21223682.460000001</v>
      </c>
      <c r="E65" s="225">
        <v>19555438.370000001</v>
      </c>
      <c r="F65" s="165">
        <f>(+D65-E65)/E65</f>
        <v>8.5308447626479864E-2</v>
      </c>
      <c r="G65" s="240">
        <f>D65/C65</f>
        <v>8.884177959509805E-2</v>
      </c>
      <c r="H65" s="241">
        <f>1-G65</f>
        <v>0.91115822040490191</v>
      </c>
      <c r="I65" s="156"/>
    </row>
    <row r="66" spans="1:9" ht="15.75" x14ac:dyDescent="0.25">
      <c r="A66" s="163"/>
      <c r="B66" s="164">
        <f>DATE(25,8,1)</f>
        <v>9345</v>
      </c>
      <c r="C66" s="225">
        <v>246476505.31999999</v>
      </c>
      <c r="D66" s="225">
        <v>22321398.02</v>
      </c>
      <c r="E66" s="225">
        <v>20551772.199999999</v>
      </c>
      <c r="F66" s="165">
        <f>(+D66-E66)/E66</f>
        <v>8.6105752962754245E-2</v>
      </c>
      <c r="G66" s="240">
        <f>D66/C66</f>
        <v>9.0561970565998448E-2</v>
      </c>
      <c r="H66" s="241">
        <f>1-G66</f>
        <v>0.90943802943400154</v>
      </c>
      <c r="I66" s="156"/>
    </row>
    <row r="67" spans="1:9" ht="15.75" thickBot="1" x14ac:dyDescent="0.25">
      <c r="A67" s="166"/>
      <c r="B67" s="167"/>
      <c r="C67" s="225"/>
      <c r="D67" s="225"/>
      <c r="E67" s="225"/>
      <c r="F67" s="165"/>
      <c r="G67" s="240"/>
      <c r="H67" s="241"/>
      <c r="I67" s="156"/>
    </row>
    <row r="68" spans="1:9" ht="17.25" thickTop="1" thickBot="1" x14ac:dyDescent="0.3">
      <c r="A68" s="173" t="s">
        <v>14</v>
      </c>
      <c r="B68" s="174"/>
      <c r="C68" s="227">
        <f>SUM(C65:C67)</f>
        <v>485369541.41999996</v>
      </c>
      <c r="D68" s="227">
        <f>SUM(D65:D67)</f>
        <v>43545080.480000004</v>
      </c>
      <c r="E68" s="227">
        <f>SUM(E65:E67)</f>
        <v>40107210.57</v>
      </c>
      <c r="F68" s="175">
        <f>(+D68-E68)/E68</f>
        <v>8.5717003529821992E-2</v>
      </c>
      <c r="G68" s="244">
        <f>D68/C68</f>
        <v>8.9715313310769901E-2</v>
      </c>
      <c r="H68" s="245">
        <f>1-G68</f>
        <v>0.91028468668923013</v>
      </c>
      <c r="I68" s="156"/>
    </row>
    <row r="69" spans="1:9" ht="15.75" thickTop="1" x14ac:dyDescent="0.2">
      <c r="A69" s="166"/>
      <c r="B69" s="167"/>
      <c r="C69" s="225"/>
      <c r="D69" s="225"/>
      <c r="E69" s="225"/>
      <c r="F69" s="165"/>
      <c r="G69" s="240"/>
      <c r="H69" s="241"/>
      <c r="I69" s="156"/>
    </row>
    <row r="70" spans="1:9" ht="15.75" x14ac:dyDescent="0.25">
      <c r="A70" s="163" t="s">
        <v>57</v>
      </c>
      <c r="B70" s="164">
        <f>DATE(25,7,1)</f>
        <v>9314</v>
      </c>
      <c r="C70" s="225">
        <v>37790635.450000003</v>
      </c>
      <c r="D70" s="225">
        <v>4106639.16</v>
      </c>
      <c r="E70" s="225">
        <v>3886760.9</v>
      </c>
      <c r="F70" s="165">
        <f>(+D70-E70)/E70</f>
        <v>5.6571079533088917E-2</v>
      </c>
      <c r="G70" s="240">
        <f>D70/C70</f>
        <v>0.10866816900799163</v>
      </c>
      <c r="H70" s="241">
        <f>1-G70</f>
        <v>0.89133183099200841</v>
      </c>
      <c r="I70" s="156"/>
    </row>
    <row r="71" spans="1:9" ht="15.75" x14ac:dyDescent="0.25">
      <c r="A71" s="163"/>
      <c r="B71" s="164">
        <f>DATE(25,8,1)</f>
        <v>9345</v>
      </c>
      <c r="C71" s="225">
        <v>38538227.060000002</v>
      </c>
      <c r="D71" s="225">
        <v>3943183.1</v>
      </c>
      <c r="E71" s="225">
        <v>4094103.92</v>
      </c>
      <c r="F71" s="165">
        <f>(+D71-E71)/E71</f>
        <v>-3.6862967562386606E-2</v>
      </c>
      <c r="G71" s="240">
        <f>D71/C71</f>
        <v>0.10231874688632861</v>
      </c>
      <c r="H71" s="241">
        <f>1-G71</f>
        <v>0.89768125311367142</v>
      </c>
      <c r="I71" s="156"/>
    </row>
    <row r="72" spans="1:9" ht="15.75" thickBot="1" x14ac:dyDescent="0.25">
      <c r="A72" s="166"/>
      <c r="B72" s="167"/>
      <c r="C72" s="225"/>
      <c r="D72" s="225"/>
      <c r="E72" s="225"/>
      <c r="F72" s="165"/>
      <c r="G72" s="240"/>
      <c r="H72" s="241"/>
      <c r="I72" s="156"/>
    </row>
    <row r="73" spans="1:9" ht="17.25" thickTop="1" thickBot="1" x14ac:dyDescent="0.3">
      <c r="A73" s="168" t="s">
        <v>14</v>
      </c>
      <c r="B73" s="154"/>
      <c r="C73" s="222">
        <f>SUM(C70:C72)</f>
        <v>76328862.510000005</v>
      </c>
      <c r="D73" s="222">
        <f>SUM(D70:D72)</f>
        <v>8049822.2599999998</v>
      </c>
      <c r="E73" s="222">
        <f>SUM(E70:E72)</f>
        <v>7980864.8200000003</v>
      </c>
      <c r="F73" s="175">
        <f>(+D73-E73)/E73</f>
        <v>8.6403468239673147E-3</v>
      </c>
      <c r="G73" s="244">
        <f>D73/C73</f>
        <v>0.1054623637152378</v>
      </c>
      <c r="H73" s="245">
        <f>1-G73</f>
        <v>0.89453763628476224</v>
      </c>
      <c r="I73" s="156"/>
    </row>
    <row r="74" spans="1:9" ht="16.5" thickTop="1" thickBot="1" x14ac:dyDescent="0.25">
      <c r="A74" s="170"/>
      <c r="B74" s="171"/>
      <c r="C74" s="226"/>
      <c r="D74" s="226"/>
      <c r="E74" s="226"/>
      <c r="F74" s="172"/>
      <c r="G74" s="242"/>
      <c r="H74" s="243"/>
      <c r="I74" s="156"/>
    </row>
    <row r="75" spans="1:9" ht="17.25" thickTop="1" thickBot="1" x14ac:dyDescent="0.3">
      <c r="A75" s="183" t="s">
        <v>38</v>
      </c>
      <c r="B75" s="154"/>
      <c r="C75" s="222">
        <f>C73+C68+C53+C43+C33+C23+C13+C28+C63+C18+C48+C58+C38</f>
        <v>3061568876.6899996</v>
      </c>
      <c r="D75" s="222">
        <f>D73+D68+D53+D43+D33+D23+D13+D28+D63+D18+D48+D58+D38</f>
        <v>297652439.03000003</v>
      </c>
      <c r="E75" s="222">
        <f>E73+E68+E53+E43+E33+E23+E13+E28+E63+E18+E48+E58+E38</f>
        <v>272912334.82999998</v>
      </c>
      <c r="F75" s="169">
        <f>(+D75-E75)/E75</f>
        <v>9.0652202346995142E-2</v>
      </c>
      <c r="G75" s="235">
        <f>D75/C75</f>
        <v>9.7222192613809669E-2</v>
      </c>
      <c r="H75" s="236">
        <f>1-G75</f>
        <v>0.90277780738619029</v>
      </c>
      <c r="I75" s="156"/>
    </row>
    <row r="76" spans="1:9" ht="17.25" thickTop="1" thickBot="1" x14ac:dyDescent="0.3">
      <c r="A76" s="183"/>
      <c r="B76" s="154"/>
      <c r="C76" s="222"/>
      <c r="D76" s="222"/>
      <c r="E76" s="222"/>
      <c r="F76" s="169"/>
      <c r="G76" s="235"/>
      <c r="H76" s="236"/>
      <c r="I76" s="156"/>
    </row>
    <row r="77" spans="1:9" ht="17.25" thickTop="1" thickBot="1" x14ac:dyDescent="0.3">
      <c r="A77" s="183" t="s">
        <v>39</v>
      </c>
      <c r="B77" s="154"/>
      <c r="C77" s="222">
        <f>+C11+C16+C21+C26+C31+C36+C41+C51+C46+C56+C61+C66+C71</f>
        <v>1557499545.8599999</v>
      </c>
      <c r="D77" s="222">
        <f>+D11+D16+D21+D26+D31+D36+D41+D51+D46+D56+D61+D66+D71</f>
        <v>151771640.69</v>
      </c>
      <c r="E77" s="222">
        <f>+E11+E16+E21+E26+E31+E36+E41+E51+E46+E56+E61+E66+E71</f>
        <v>139326633.91999996</v>
      </c>
      <c r="F77" s="169">
        <f>(+D77-E77)/E77</f>
        <v>8.9322525204662925E-2</v>
      </c>
      <c r="G77" s="235">
        <f>D77/C77</f>
        <v>9.7445704618935675E-2</v>
      </c>
      <c r="H77" s="245">
        <f>1-G77</f>
        <v>0.90255429538106435</v>
      </c>
      <c r="I77" s="156"/>
    </row>
    <row r="78" spans="1:9" ht="16.5" thickTop="1" x14ac:dyDescent="0.25">
      <c r="A78" s="184"/>
      <c r="B78" s="185"/>
      <c r="C78" s="230"/>
      <c r="D78" s="230"/>
      <c r="E78" s="230"/>
      <c r="F78" s="186"/>
      <c r="G78" s="249"/>
      <c r="H78" s="249"/>
      <c r="I78" s="150"/>
    </row>
    <row r="79" spans="1:9" ht="16.5" customHeight="1" x14ac:dyDescent="0.3">
      <c r="A79" s="187" t="s">
        <v>49</v>
      </c>
      <c r="B79" s="188"/>
      <c r="C79" s="231"/>
      <c r="D79" s="231"/>
      <c r="E79" s="231"/>
      <c r="F79" s="189"/>
      <c r="G79" s="250"/>
      <c r="H79" s="250"/>
      <c r="I79" s="150"/>
    </row>
    <row r="80" spans="1:9" ht="15.75" x14ac:dyDescent="0.25">
      <c r="A80" s="190"/>
      <c r="B80" s="188"/>
      <c r="C80" s="231"/>
      <c r="D80" s="231"/>
      <c r="E80" s="231"/>
      <c r="F80" s="189"/>
      <c r="G80" s="256"/>
      <c r="H80" s="256"/>
      <c r="I80" s="150"/>
    </row>
    <row r="81" spans="1:9" ht="15.75" x14ac:dyDescent="0.25">
      <c r="A81" s="71"/>
      <c r="I81" s="150"/>
    </row>
  </sheetData>
  <phoneticPr fontId="0" type="noConversion"/>
  <printOptions horizontalCentered="1"/>
  <pageMargins left="0.75" right="0.25" top="0.31940000000000002" bottom="0.2" header="0.5" footer="0.5"/>
  <pageSetup scale="65" orientation="landscape" r:id="rId1"/>
  <headerFooter alignWithMargins="0"/>
  <rowBreaks count="1" manualBreakCount="1">
    <brk id="5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2025-09-09T14:24:57Z</cp:lastPrinted>
  <dcterms:created xsi:type="dcterms:W3CDTF">2003-09-09T14:41:43Z</dcterms:created>
  <dcterms:modified xsi:type="dcterms:W3CDTF">2025-09-09T21:50:10Z</dcterms:modified>
</cp:coreProperties>
</file>