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w _WebDev\Michael\financials 4.9.2026\"/>
    </mc:Choice>
  </mc:AlternateContent>
  <bookViews>
    <workbookView xWindow="0" yWindow="0" windowWidth="28800" windowHeight="12210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STATS'!$A$1:$M$169</definedName>
    <definedName name="_xlnm.Print_Area" localSheetId="4">'SLOT STATS'!$A$1:$I$170</definedName>
    <definedName name="_xlnm.Print_Area" localSheetId="2">'TABLE STATS'!$A$1:$H$169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162913"/>
</workbook>
</file>

<file path=xl/calcChain.xml><?xml version="1.0" encoding="utf-8"?>
<calcChain xmlns="http://schemas.openxmlformats.org/spreadsheetml/2006/main">
  <c r="E168" i="4" l="1"/>
  <c r="D168" i="4"/>
  <c r="C168" i="4"/>
  <c r="F162" i="4"/>
  <c r="G162" i="4"/>
  <c r="H162" i="4" s="1"/>
  <c r="F150" i="4"/>
  <c r="G150" i="4"/>
  <c r="H150" i="4"/>
  <c r="F138" i="4"/>
  <c r="G138" i="4"/>
  <c r="H138" i="4" s="1"/>
  <c r="F126" i="4"/>
  <c r="G126" i="4"/>
  <c r="H126" i="4" s="1"/>
  <c r="F114" i="4"/>
  <c r="G114" i="4"/>
  <c r="H114" i="4" s="1"/>
  <c r="F102" i="4"/>
  <c r="G102" i="4"/>
  <c r="H102" i="4"/>
  <c r="F90" i="4"/>
  <c r="G90" i="4"/>
  <c r="H90" i="4" s="1"/>
  <c r="F78" i="4"/>
  <c r="G78" i="4"/>
  <c r="H78" i="4" s="1"/>
  <c r="F66" i="4"/>
  <c r="G66" i="4"/>
  <c r="H66" i="4" s="1"/>
  <c r="F54" i="4"/>
  <c r="G54" i="4"/>
  <c r="H54" i="4"/>
  <c r="F42" i="4"/>
  <c r="G42" i="4"/>
  <c r="H42" i="4" s="1"/>
  <c r="F30" i="4"/>
  <c r="G30" i="4"/>
  <c r="H30" i="4" s="1"/>
  <c r="F18" i="4"/>
  <c r="G18" i="4"/>
  <c r="H18" i="4" s="1"/>
  <c r="B162" i="4"/>
  <c r="B150" i="4"/>
  <c r="B138" i="4"/>
  <c r="B126" i="4"/>
  <c r="B114" i="4"/>
  <c r="B102" i="4"/>
  <c r="B90" i="4"/>
  <c r="B78" i="4"/>
  <c r="B66" i="4"/>
  <c r="B54" i="4"/>
  <c r="B42" i="4"/>
  <c r="B30" i="4"/>
  <c r="B18" i="4"/>
  <c r="E168" i="5"/>
  <c r="D168" i="5"/>
  <c r="C168" i="5"/>
  <c r="F162" i="5"/>
  <c r="G162" i="5"/>
  <c r="H162" i="5" s="1"/>
  <c r="B162" i="5"/>
  <c r="B150" i="5"/>
  <c r="B138" i="5"/>
  <c r="B126" i="5"/>
  <c r="B114" i="5"/>
  <c r="B102" i="5"/>
  <c r="B90" i="5"/>
  <c r="B78" i="5"/>
  <c r="B66" i="5"/>
  <c r="B54" i="5"/>
  <c r="B42" i="5"/>
  <c r="B30" i="5"/>
  <c r="B18" i="5"/>
  <c r="E167" i="3"/>
  <c r="D167" i="3"/>
  <c r="C167" i="3"/>
  <c r="F161" i="3"/>
  <c r="G161" i="3"/>
  <c r="F149" i="3"/>
  <c r="G149" i="3"/>
  <c r="F125" i="3"/>
  <c r="G125" i="3"/>
  <c r="F113" i="3"/>
  <c r="G113" i="3"/>
  <c r="F101" i="3"/>
  <c r="G101" i="3"/>
  <c r="F89" i="3"/>
  <c r="G89" i="3"/>
  <c r="F77" i="3"/>
  <c r="G77" i="3"/>
  <c r="F65" i="3"/>
  <c r="G65" i="3"/>
  <c r="F53" i="3"/>
  <c r="G53" i="3"/>
  <c r="F41" i="3"/>
  <c r="G41" i="3"/>
  <c r="F29" i="3"/>
  <c r="G29" i="3"/>
  <c r="F17" i="3"/>
  <c r="G17" i="3"/>
  <c r="B161" i="3"/>
  <c r="B149" i="3"/>
  <c r="B137" i="3"/>
  <c r="B125" i="3"/>
  <c r="B113" i="3"/>
  <c r="B101" i="3"/>
  <c r="B89" i="3"/>
  <c r="B77" i="3"/>
  <c r="B65" i="3"/>
  <c r="B53" i="3"/>
  <c r="B41" i="3"/>
  <c r="B29" i="3"/>
  <c r="B17" i="3"/>
  <c r="N39" i="2"/>
  <c r="M39" i="2"/>
  <c r="L39" i="2"/>
  <c r="K39" i="2"/>
  <c r="J39" i="2"/>
  <c r="I39" i="2"/>
  <c r="H39" i="2"/>
  <c r="G39" i="2"/>
  <c r="F39" i="2"/>
  <c r="F44" i="2" s="1"/>
  <c r="E39" i="2"/>
  <c r="D39" i="2"/>
  <c r="C39" i="2"/>
  <c r="B39" i="2"/>
  <c r="O39" i="2" s="1"/>
  <c r="A39" i="2"/>
  <c r="N18" i="2"/>
  <c r="M18" i="2"/>
  <c r="M23" i="2"/>
  <c r="L18" i="2"/>
  <c r="K18" i="2"/>
  <c r="K23" i="2"/>
  <c r="J18" i="2"/>
  <c r="I18" i="2"/>
  <c r="H18" i="2"/>
  <c r="G18" i="2"/>
  <c r="F18" i="2"/>
  <c r="E18" i="2"/>
  <c r="D18" i="2"/>
  <c r="C18" i="2"/>
  <c r="B18" i="2"/>
  <c r="O18" i="2" s="1"/>
  <c r="A18" i="2"/>
  <c r="F24" i="1"/>
  <c r="F25" i="1"/>
  <c r="F40" i="1"/>
  <c r="F39" i="1"/>
  <c r="F38" i="1"/>
  <c r="F37" i="1"/>
  <c r="F36" i="1"/>
  <c r="F35" i="1"/>
  <c r="F43" i="1" s="1"/>
  <c r="F34" i="1"/>
  <c r="F51" i="1"/>
  <c r="F50" i="1"/>
  <c r="F55" i="1" s="1"/>
  <c r="F49" i="1"/>
  <c r="F48" i="1"/>
  <c r="F47" i="1"/>
  <c r="F46" i="1"/>
  <c r="F45" i="1"/>
  <c r="F74" i="1"/>
  <c r="F75" i="1"/>
  <c r="F76" i="1"/>
  <c r="F82" i="1"/>
  <c r="J82" i="1" s="1"/>
  <c r="F87" i="1"/>
  <c r="F86" i="1"/>
  <c r="F85" i="1"/>
  <c r="H85" i="1" s="1"/>
  <c r="F84" i="1"/>
  <c r="F112" i="1"/>
  <c r="F106" i="1"/>
  <c r="J106" i="1"/>
  <c r="F131" i="1"/>
  <c r="G111" i="1"/>
  <c r="L167" i="1"/>
  <c r="K167" i="1"/>
  <c r="D167" i="1"/>
  <c r="C167" i="1"/>
  <c r="I167" i="1" s="1"/>
  <c r="M161" i="1"/>
  <c r="I161" i="1"/>
  <c r="J161" i="1"/>
  <c r="G161" i="1"/>
  <c r="F161" i="1"/>
  <c r="H161" i="1" s="1"/>
  <c r="E161" i="1"/>
  <c r="M149" i="1"/>
  <c r="I149" i="1"/>
  <c r="G149" i="1"/>
  <c r="H149" i="1" s="1"/>
  <c r="F149" i="1"/>
  <c r="J149" i="1" s="1"/>
  <c r="E149" i="1"/>
  <c r="M137" i="1"/>
  <c r="I137" i="1"/>
  <c r="G137" i="1"/>
  <c r="F137" i="1"/>
  <c r="H137" i="1" s="1"/>
  <c r="E137" i="1"/>
  <c r="M125" i="1"/>
  <c r="I125" i="1"/>
  <c r="G125" i="1"/>
  <c r="F125" i="1"/>
  <c r="H125" i="1" s="1"/>
  <c r="E125" i="1"/>
  <c r="M113" i="1"/>
  <c r="I113" i="1"/>
  <c r="J113" i="1"/>
  <c r="G113" i="1"/>
  <c r="F113" i="1"/>
  <c r="H113" i="1" s="1"/>
  <c r="E113" i="1"/>
  <c r="M101" i="1"/>
  <c r="I101" i="1"/>
  <c r="J101" i="1"/>
  <c r="G101" i="1"/>
  <c r="H101" i="1" s="1"/>
  <c r="F101" i="1"/>
  <c r="E101" i="1"/>
  <c r="M89" i="1"/>
  <c r="I89" i="1"/>
  <c r="G89" i="1"/>
  <c r="H89" i="1" s="1"/>
  <c r="F89" i="1"/>
  <c r="J89" i="1" s="1"/>
  <c r="E89" i="1"/>
  <c r="M77" i="1"/>
  <c r="I77" i="1"/>
  <c r="G77" i="1"/>
  <c r="F77" i="1"/>
  <c r="H77" i="1" s="1"/>
  <c r="E77" i="1"/>
  <c r="M65" i="1"/>
  <c r="I65" i="1"/>
  <c r="G65" i="1"/>
  <c r="F65" i="1"/>
  <c r="H65" i="1" s="1"/>
  <c r="E65" i="1"/>
  <c r="M53" i="1"/>
  <c r="I53" i="1"/>
  <c r="G53" i="1"/>
  <c r="F53" i="1"/>
  <c r="J53" i="1" s="1"/>
  <c r="E53" i="1"/>
  <c r="M41" i="1"/>
  <c r="I41" i="1"/>
  <c r="G41" i="1"/>
  <c r="F41" i="1"/>
  <c r="H41" i="1" s="1"/>
  <c r="E41" i="1"/>
  <c r="G29" i="1"/>
  <c r="H29" i="1" s="1"/>
  <c r="M29" i="1"/>
  <c r="I29" i="1"/>
  <c r="J29" i="1"/>
  <c r="F29" i="1"/>
  <c r="E29" i="1"/>
  <c r="M17" i="1"/>
  <c r="I17" i="1"/>
  <c r="G17" i="1"/>
  <c r="F17" i="1"/>
  <c r="F167" i="1" s="1"/>
  <c r="E17" i="1"/>
  <c r="B161" i="1"/>
  <c r="B149" i="1"/>
  <c r="B137" i="1"/>
  <c r="B125" i="1"/>
  <c r="B113" i="1"/>
  <c r="B101" i="1"/>
  <c r="B89" i="1"/>
  <c r="B77" i="1"/>
  <c r="B65" i="1"/>
  <c r="B53" i="1"/>
  <c r="B41" i="1"/>
  <c r="B29" i="1"/>
  <c r="B17" i="1"/>
  <c r="B16" i="1"/>
  <c r="B10" i="4"/>
  <c r="F10" i="4"/>
  <c r="G10" i="4"/>
  <c r="H10" i="4" s="1"/>
  <c r="B11" i="4"/>
  <c r="F11" i="4"/>
  <c r="G11" i="4"/>
  <c r="H11" i="4"/>
  <c r="B12" i="4"/>
  <c r="F12" i="4"/>
  <c r="G12" i="4"/>
  <c r="H12" i="4" s="1"/>
  <c r="B13" i="4"/>
  <c r="F13" i="4"/>
  <c r="G13" i="4"/>
  <c r="H13" i="4" s="1"/>
  <c r="B14" i="4"/>
  <c r="F14" i="4"/>
  <c r="G14" i="4"/>
  <c r="H14" i="4"/>
  <c r="B15" i="4"/>
  <c r="F15" i="4"/>
  <c r="G15" i="4"/>
  <c r="H15" i="4" s="1"/>
  <c r="B16" i="4"/>
  <c r="F16" i="4"/>
  <c r="G16" i="4"/>
  <c r="H16" i="4" s="1"/>
  <c r="B17" i="4"/>
  <c r="F17" i="4"/>
  <c r="G17" i="4"/>
  <c r="H17" i="4"/>
  <c r="C20" i="4"/>
  <c r="D20" i="4"/>
  <c r="G20" i="4"/>
  <c r="H20" i="4" s="1"/>
  <c r="E20" i="4"/>
  <c r="B22" i="4"/>
  <c r="F22" i="4"/>
  <c r="G22" i="4"/>
  <c r="H22" i="4" s="1"/>
  <c r="B23" i="4"/>
  <c r="F23" i="4"/>
  <c r="G23" i="4"/>
  <c r="H23" i="4" s="1"/>
  <c r="B24" i="4"/>
  <c r="F24" i="4"/>
  <c r="G24" i="4"/>
  <c r="H24" i="4"/>
  <c r="B25" i="4"/>
  <c r="F25" i="4"/>
  <c r="G25" i="4"/>
  <c r="H25" i="4" s="1"/>
  <c r="B26" i="4"/>
  <c r="F26" i="4"/>
  <c r="G26" i="4"/>
  <c r="H26" i="4" s="1"/>
  <c r="B27" i="4"/>
  <c r="F27" i="4"/>
  <c r="G27" i="4"/>
  <c r="H27" i="4"/>
  <c r="B28" i="4"/>
  <c r="F28" i="4"/>
  <c r="G28" i="4"/>
  <c r="H28" i="4" s="1"/>
  <c r="B29" i="4"/>
  <c r="F29" i="4"/>
  <c r="G29" i="4"/>
  <c r="H29" i="4" s="1"/>
  <c r="C32" i="4"/>
  <c r="D32" i="4"/>
  <c r="F32" i="4" s="1"/>
  <c r="E32" i="4"/>
  <c r="B34" i="4"/>
  <c r="F34" i="4"/>
  <c r="G34" i="4"/>
  <c r="H34" i="4"/>
  <c r="B35" i="4"/>
  <c r="F35" i="4"/>
  <c r="G35" i="4"/>
  <c r="H35" i="4" s="1"/>
  <c r="B36" i="4"/>
  <c r="F36" i="4"/>
  <c r="G36" i="4"/>
  <c r="H36" i="4"/>
  <c r="B37" i="4"/>
  <c r="F37" i="4"/>
  <c r="G37" i="4"/>
  <c r="H37" i="4"/>
  <c r="B38" i="4"/>
  <c r="F38" i="4"/>
  <c r="G38" i="4"/>
  <c r="H38" i="4" s="1"/>
  <c r="B39" i="4"/>
  <c r="F39" i="4"/>
  <c r="G39" i="4"/>
  <c r="H39" i="4"/>
  <c r="B40" i="4"/>
  <c r="F40" i="4"/>
  <c r="G40" i="4"/>
  <c r="H40" i="4"/>
  <c r="B41" i="4"/>
  <c r="F41" i="4"/>
  <c r="G41" i="4"/>
  <c r="H41" i="4" s="1"/>
  <c r="C44" i="4"/>
  <c r="D44" i="4"/>
  <c r="E44" i="4"/>
  <c r="B46" i="4"/>
  <c r="F46" i="4"/>
  <c r="G46" i="4"/>
  <c r="H46" i="4" s="1"/>
  <c r="B47" i="4"/>
  <c r="F47" i="4"/>
  <c r="G47" i="4"/>
  <c r="H47" i="4" s="1"/>
  <c r="B48" i="4"/>
  <c r="F48" i="4"/>
  <c r="G48" i="4"/>
  <c r="H48" i="4" s="1"/>
  <c r="B49" i="4"/>
  <c r="F49" i="4"/>
  <c r="G49" i="4"/>
  <c r="H49" i="4" s="1"/>
  <c r="B50" i="4"/>
  <c r="F50" i="4"/>
  <c r="G50" i="4"/>
  <c r="H50" i="4" s="1"/>
  <c r="B51" i="4"/>
  <c r="F51" i="4"/>
  <c r="G51" i="4"/>
  <c r="H51" i="4" s="1"/>
  <c r="B52" i="4"/>
  <c r="F52" i="4"/>
  <c r="G52" i="4"/>
  <c r="H52" i="4" s="1"/>
  <c r="B53" i="4"/>
  <c r="F53" i="4"/>
  <c r="G53" i="4"/>
  <c r="H53" i="4" s="1"/>
  <c r="C56" i="4"/>
  <c r="D56" i="4"/>
  <c r="F56" i="4" s="1"/>
  <c r="E56" i="4"/>
  <c r="B58" i="4"/>
  <c r="F58" i="4"/>
  <c r="G58" i="4"/>
  <c r="H58" i="4" s="1"/>
  <c r="B59" i="4"/>
  <c r="F59" i="4"/>
  <c r="G59" i="4"/>
  <c r="H59" i="4"/>
  <c r="B60" i="4"/>
  <c r="F60" i="4"/>
  <c r="G60" i="4"/>
  <c r="H60" i="4" s="1"/>
  <c r="B61" i="4"/>
  <c r="F61" i="4"/>
  <c r="G61" i="4"/>
  <c r="H61" i="4" s="1"/>
  <c r="B62" i="4"/>
  <c r="F62" i="4"/>
  <c r="G62" i="4"/>
  <c r="H62" i="4"/>
  <c r="B63" i="4"/>
  <c r="F63" i="4"/>
  <c r="G63" i="4"/>
  <c r="H63" i="4" s="1"/>
  <c r="B64" i="4"/>
  <c r="F64" i="4"/>
  <c r="G64" i="4"/>
  <c r="H64" i="4" s="1"/>
  <c r="B65" i="4"/>
  <c r="F65" i="4"/>
  <c r="G65" i="4"/>
  <c r="H65" i="4"/>
  <c r="C68" i="4"/>
  <c r="D68" i="4"/>
  <c r="E68" i="4"/>
  <c r="F68" i="4" s="1"/>
  <c r="B70" i="4"/>
  <c r="F70" i="4"/>
  <c r="G70" i="4"/>
  <c r="H70" i="4" s="1"/>
  <c r="B71" i="4"/>
  <c r="F71" i="4"/>
  <c r="G71" i="4"/>
  <c r="H71" i="4" s="1"/>
  <c r="B72" i="4"/>
  <c r="F72" i="4"/>
  <c r="G72" i="4"/>
  <c r="H72" i="4"/>
  <c r="B73" i="4"/>
  <c r="F73" i="4"/>
  <c r="G73" i="4"/>
  <c r="H73" i="4" s="1"/>
  <c r="B74" i="4"/>
  <c r="F74" i="4"/>
  <c r="G74" i="4"/>
  <c r="H74" i="4" s="1"/>
  <c r="B75" i="4"/>
  <c r="F75" i="4"/>
  <c r="G75" i="4"/>
  <c r="H75" i="4"/>
  <c r="B76" i="4"/>
  <c r="F76" i="4"/>
  <c r="G76" i="4"/>
  <c r="H76" i="4" s="1"/>
  <c r="B77" i="4"/>
  <c r="F77" i="4"/>
  <c r="G77" i="4"/>
  <c r="H77" i="4" s="1"/>
  <c r="C80" i="4"/>
  <c r="G80" i="4" s="1"/>
  <c r="H80" i="4" s="1"/>
  <c r="D80" i="4"/>
  <c r="E80" i="4"/>
  <c r="B82" i="4"/>
  <c r="F82" i="4"/>
  <c r="G82" i="4"/>
  <c r="H82" i="4"/>
  <c r="B83" i="4"/>
  <c r="F83" i="4"/>
  <c r="G83" i="4"/>
  <c r="H83" i="4"/>
  <c r="B84" i="4"/>
  <c r="F84" i="4"/>
  <c r="G84" i="4"/>
  <c r="H84" i="4" s="1"/>
  <c r="B85" i="4"/>
  <c r="F85" i="4"/>
  <c r="G85" i="4"/>
  <c r="H85" i="4"/>
  <c r="B86" i="4"/>
  <c r="F86" i="4"/>
  <c r="G86" i="4"/>
  <c r="H86" i="4"/>
  <c r="B87" i="4"/>
  <c r="F87" i="4"/>
  <c r="G87" i="4"/>
  <c r="H87" i="4" s="1"/>
  <c r="B88" i="4"/>
  <c r="F88" i="4"/>
  <c r="G88" i="4"/>
  <c r="H88" i="4"/>
  <c r="B89" i="4"/>
  <c r="F89" i="4"/>
  <c r="G89" i="4"/>
  <c r="H89" i="4"/>
  <c r="C92" i="4"/>
  <c r="D92" i="4"/>
  <c r="D166" i="4" s="1"/>
  <c r="E92" i="4"/>
  <c r="B94" i="4"/>
  <c r="F94" i="4"/>
  <c r="G94" i="4"/>
  <c r="H94" i="4"/>
  <c r="B95" i="4"/>
  <c r="F95" i="4"/>
  <c r="G95" i="4"/>
  <c r="H95" i="4" s="1"/>
  <c r="B96" i="4"/>
  <c r="F96" i="4"/>
  <c r="G96" i="4"/>
  <c r="H96" i="4" s="1"/>
  <c r="B97" i="4"/>
  <c r="F97" i="4"/>
  <c r="G97" i="4"/>
  <c r="H97" i="4"/>
  <c r="B98" i="4"/>
  <c r="F98" i="4"/>
  <c r="G98" i="4"/>
  <c r="H98" i="4" s="1"/>
  <c r="B99" i="4"/>
  <c r="F99" i="4"/>
  <c r="G99" i="4"/>
  <c r="H99" i="4" s="1"/>
  <c r="B100" i="4"/>
  <c r="F100" i="4"/>
  <c r="G100" i="4"/>
  <c r="H100" i="4"/>
  <c r="B101" i="4"/>
  <c r="F101" i="4"/>
  <c r="G101" i="4"/>
  <c r="H101" i="4" s="1"/>
  <c r="C104" i="4"/>
  <c r="D104" i="4"/>
  <c r="E104" i="4"/>
  <c r="F104" i="4" s="1"/>
  <c r="B106" i="4"/>
  <c r="F106" i="4"/>
  <c r="G106" i="4"/>
  <c r="H106" i="4" s="1"/>
  <c r="B107" i="4"/>
  <c r="F107" i="4"/>
  <c r="G107" i="4"/>
  <c r="H107" i="4" s="1"/>
  <c r="B108" i="4"/>
  <c r="F108" i="4"/>
  <c r="G108" i="4"/>
  <c r="H108" i="4"/>
  <c r="B109" i="4"/>
  <c r="F109" i="4"/>
  <c r="G109" i="4"/>
  <c r="H109" i="4" s="1"/>
  <c r="B110" i="4"/>
  <c r="F110" i="4"/>
  <c r="G110" i="4"/>
  <c r="H110" i="4" s="1"/>
  <c r="B111" i="4"/>
  <c r="F111" i="4"/>
  <c r="G111" i="4"/>
  <c r="H111" i="4"/>
  <c r="B112" i="4"/>
  <c r="F112" i="4"/>
  <c r="G112" i="4"/>
  <c r="H112" i="4" s="1"/>
  <c r="B113" i="4"/>
  <c r="F113" i="4"/>
  <c r="G113" i="4"/>
  <c r="H113" i="4" s="1"/>
  <c r="C116" i="4"/>
  <c r="D116" i="4"/>
  <c r="E116" i="4"/>
  <c r="B118" i="4"/>
  <c r="F118" i="4"/>
  <c r="G118" i="4"/>
  <c r="H118" i="4"/>
  <c r="B119" i="4"/>
  <c r="F119" i="4"/>
  <c r="G119" i="4"/>
  <c r="H119" i="4" s="1"/>
  <c r="B120" i="4"/>
  <c r="F120" i="4"/>
  <c r="G120" i="4"/>
  <c r="H120" i="4" s="1"/>
  <c r="B121" i="4"/>
  <c r="F121" i="4"/>
  <c r="G121" i="4"/>
  <c r="H121" i="4"/>
  <c r="B122" i="4"/>
  <c r="F122" i="4"/>
  <c r="G122" i="4"/>
  <c r="H122" i="4" s="1"/>
  <c r="B123" i="4"/>
  <c r="F123" i="4"/>
  <c r="G123" i="4"/>
  <c r="H123" i="4" s="1"/>
  <c r="B124" i="4"/>
  <c r="F124" i="4"/>
  <c r="G124" i="4"/>
  <c r="H124" i="4"/>
  <c r="B125" i="4"/>
  <c r="F125" i="4"/>
  <c r="G125" i="4"/>
  <c r="H125" i="4" s="1"/>
  <c r="C128" i="4"/>
  <c r="D128" i="4"/>
  <c r="E128" i="4"/>
  <c r="B130" i="4"/>
  <c r="F130" i="4"/>
  <c r="G130" i="4"/>
  <c r="H130" i="4" s="1"/>
  <c r="B131" i="4"/>
  <c r="F131" i="4"/>
  <c r="G131" i="4"/>
  <c r="H131" i="4"/>
  <c r="B132" i="4"/>
  <c r="F132" i="4"/>
  <c r="G132" i="4"/>
  <c r="H132" i="4"/>
  <c r="B133" i="4"/>
  <c r="F133" i="4"/>
  <c r="G133" i="4"/>
  <c r="H133" i="4" s="1"/>
  <c r="B134" i="4"/>
  <c r="F134" i="4"/>
  <c r="G134" i="4"/>
  <c r="H134" i="4"/>
  <c r="B135" i="4"/>
  <c r="F135" i="4"/>
  <c r="G135" i="4"/>
  <c r="H135" i="4"/>
  <c r="B136" i="4"/>
  <c r="F136" i="4"/>
  <c r="G136" i="4"/>
  <c r="H136" i="4" s="1"/>
  <c r="B137" i="4"/>
  <c r="F137" i="4"/>
  <c r="G137" i="4"/>
  <c r="H137" i="4"/>
  <c r="C140" i="4"/>
  <c r="D140" i="4"/>
  <c r="E140" i="4"/>
  <c r="B142" i="4"/>
  <c r="F142" i="4"/>
  <c r="G142" i="4"/>
  <c r="H142" i="4" s="1"/>
  <c r="B143" i="4"/>
  <c r="F143" i="4"/>
  <c r="G143" i="4"/>
  <c r="H143" i="4"/>
  <c r="B144" i="4"/>
  <c r="F144" i="4"/>
  <c r="G144" i="4"/>
  <c r="H144" i="4" s="1"/>
  <c r="B145" i="4"/>
  <c r="F145" i="4"/>
  <c r="G145" i="4"/>
  <c r="H145" i="4" s="1"/>
  <c r="B146" i="4"/>
  <c r="F146" i="4"/>
  <c r="G146" i="4"/>
  <c r="H146" i="4"/>
  <c r="B147" i="4"/>
  <c r="F147" i="4"/>
  <c r="G147" i="4"/>
  <c r="H147" i="4" s="1"/>
  <c r="B148" i="4"/>
  <c r="F148" i="4"/>
  <c r="G148" i="4"/>
  <c r="H148" i="4" s="1"/>
  <c r="B149" i="4"/>
  <c r="F149" i="4"/>
  <c r="G149" i="4"/>
  <c r="H149" i="4"/>
  <c r="C152" i="4"/>
  <c r="D152" i="4"/>
  <c r="E152" i="4"/>
  <c r="B154" i="4"/>
  <c r="F154" i="4"/>
  <c r="G154" i="4"/>
  <c r="H154" i="4"/>
  <c r="B155" i="4"/>
  <c r="F155" i="4"/>
  <c r="G155" i="4"/>
  <c r="H155" i="4" s="1"/>
  <c r="B156" i="4"/>
  <c r="F156" i="4"/>
  <c r="G156" i="4"/>
  <c r="H156" i="4" s="1"/>
  <c r="B157" i="4"/>
  <c r="F157" i="4"/>
  <c r="G157" i="4"/>
  <c r="H157" i="4"/>
  <c r="B158" i="4"/>
  <c r="F158" i="4"/>
  <c r="G158" i="4"/>
  <c r="H158" i="4" s="1"/>
  <c r="B159" i="4"/>
  <c r="F159" i="4"/>
  <c r="G159" i="4"/>
  <c r="H159" i="4" s="1"/>
  <c r="B160" i="4"/>
  <c r="F160" i="4"/>
  <c r="G160" i="4"/>
  <c r="H160" i="4"/>
  <c r="B161" i="4"/>
  <c r="F161" i="4"/>
  <c r="G161" i="4"/>
  <c r="H161" i="4" s="1"/>
  <c r="C164" i="4"/>
  <c r="D164" i="4"/>
  <c r="E164" i="4"/>
  <c r="B10" i="5"/>
  <c r="B11" i="5"/>
  <c r="B12" i="5"/>
  <c r="B13" i="5"/>
  <c r="B14" i="5"/>
  <c r="B15" i="5"/>
  <c r="B16" i="5"/>
  <c r="B17" i="5"/>
  <c r="C20" i="5"/>
  <c r="D20" i="5"/>
  <c r="E20" i="5"/>
  <c r="B22" i="5"/>
  <c r="B23" i="5"/>
  <c r="B24" i="5"/>
  <c r="B25" i="5"/>
  <c r="B26" i="5"/>
  <c r="B27" i="5"/>
  <c r="B28" i="5"/>
  <c r="B29" i="5"/>
  <c r="C32" i="5"/>
  <c r="D32" i="5"/>
  <c r="E32" i="5"/>
  <c r="B34" i="5"/>
  <c r="B35" i="5"/>
  <c r="B36" i="5"/>
  <c r="B37" i="5"/>
  <c r="B38" i="5"/>
  <c r="B39" i="5"/>
  <c r="B40" i="5"/>
  <c r="B41" i="5"/>
  <c r="C44" i="5"/>
  <c r="D44" i="5"/>
  <c r="D166" i="5" s="1"/>
  <c r="E44" i="5"/>
  <c r="B46" i="5"/>
  <c r="B47" i="5"/>
  <c r="B48" i="5"/>
  <c r="B49" i="5"/>
  <c r="B50" i="5"/>
  <c r="B51" i="5"/>
  <c r="B52" i="5"/>
  <c r="B53" i="5"/>
  <c r="C56" i="5"/>
  <c r="D56" i="5"/>
  <c r="E56" i="5"/>
  <c r="B58" i="5"/>
  <c r="B59" i="5"/>
  <c r="B60" i="5"/>
  <c r="B61" i="5"/>
  <c r="B62" i="5"/>
  <c r="B63" i="5"/>
  <c r="B64" i="5"/>
  <c r="B65" i="5"/>
  <c r="C68" i="5"/>
  <c r="C166" i="5" s="1"/>
  <c r="D68" i="5"/>
  <c r="E68" i="5"/>
  <c r="B70" i="5"/>
  <c r="B71" i="5"/>
  <c r="B72" i="5"/>
  <c r="B73" i="5"/>
  <c r="B74" i="5"/>
  <c r="B75" i="5"/>
  <c r="B76" i="5"/>
  <c r="B77" i="5"/>
  <c r="C80" i="5"/>
  <c r="D80" i="5"/>
  <c r="E80" i="5"/>
  <c r="B82" i="5"/>
  <c r="B83" i="5"/>
  <c r="B84" i="5"/>
  <c r="B85" i="5"/>
  <c r="B86" i="5"/>
  <c r="B87" i="5"/>
  <c r="B88" i="5"/>
  <c r="B89" i="5"/>
  <c r="C92" i="5"/>
  <c r="D92" i="5"/>
  <c r="E92" i="5"/>
  <c r="B94" i="5"/>
  <c r="B95" i="5"/>
  <c r="B96" i="5"/>
  <c r="B97" i="5"/>
  <c r="B98" i="5"/>
  <c r="B99" i="5"/>
  <c r="B100" i="5"/>
  <c r="B101" i="5"/>
  <c r="C104" i="5"/>
  <c r="D104" i="5"/>
  <c r="E104" i="5"/>
  <c r="B106" i="5"/>
  <c r="B107" i="5"/>
  <c r="B108" i="5"/>
  <c r="B109" i="5"/>
  <c r="B110" i="5"/>
  <c r="B111" i="5"/>
  <c r="B112" i="5"/>
  <c r="B113" i="5"/>
  <c r="C116" i="5"/>
  <c r="D116" i="5"/>
  <c r="E116" i="5"/>
  <c r="B118" i="5"/>
  <c r="B119" i="5"/>
  <c r="B120" i="5"/>
  <c r="B121" i="5"/>
  <c r="B122" i="5"/>
  <c r="B123" i="5"/>
  <c r="B124" i="5"/>
  <c r="B125" i="5"/>
  <c r="C128" i="5"/>
  <c r="D128" i="5"/>
  <c r="E128" i="5"/>
  <c r="B130" i="5"/>
  <c r="B131" i="5"/>
  <c r="B132" i="5"/>
  <c r="B133" i="5"/>
  <c r="B134" i="5"/>
  <c r="B135" i="5"/>
  <c r="B136" i="5"/>
  <c r="B137" i="5"/>
  <c r="C140" i="5"/>
  <c r="D140" i="5"/>
  <c r="E140" i="5"/>
  <c r="B142" i="5"/>
  <c r="B143" i="5"/>
  <c r="B144" i="5"/>
  <c r="B145" i="5"/>
  <c r="B146" i="5"/>
  <c r="B147" i="5"/>
  <c r="B148" i="5"/>
  <c r="B149" i="5"/>
  <c r="C152" i="5"/>
  <c r="D152" i="5"/>
  <c r="E152" i="5"/>
  <c r="B154" i="5"/>
  <c r="G154" i="5"/>
  <c r="H154" i="5"/>
  <c r="B155" i="5"/>
  <c r="G155" i="5"/>
  <c r="H155" i="5" s="1"/>
  <c r="B156" i="5"/>
  <c r="G156" i="5"/>
  <c r="H156" i="5" s="1"/>
  <c r="B157" i="5"/>
  <c r="F157" i="5"/>
  <c r="G157" i="5"/>
  <c r="H157" i="5" s="1"/>
  <c r="B158" i="5"/>
  <c r="F158" i="5"/>
  <c r="G158" i="5"/>
  <c r="H158" i="5"/>
  <c r="B159" i="5"/>
  <c r="F159" i="5"/>
  <c r="G159" i="5"/>
  <c r="H159" i="5" s="1"/>
  <c r="B160" i="5"/>
  <c r="F160" i="5"/>
  <c r="G160" i="5"/>
  <c r="H160" i="5" s="1"/>
  <c r="B161" i="5"/>
  <c r="F161" i="5"/>
  <c r="G161" i="5"/>
  <c r="H161" i="5"/>
  <c r="C164" i="5"/>
  <c r="D164" i="5"/>
  <c r="E164" i="5"/>
  <c r="E166" i="5" s="1"/>
  <c r="B9" i="3"/>
  <c r="F9" i="3"/>
  <c r="G9" i="3"/>
  <c r="B10" i="3"/>
  <c r="F10" i="3"/>
  <c r="G10" i="3"/>
  <c r="B11" i="3"/>
  <c r="F11" i="3"/>
  <c r="G11" i="3"/>
  <c r="B12" i="3"/>
  <c r="F12" i="3"/>
  <c r="G12" i="3"/>
  <c r="B13" i="3"/>
  <c r="F13" i="3"/>
  <c r="G13" i="3"/>
  <c r="B14" i="3"/>
  <c r="F14" i="3"/>
  <c r="G14" i="3"/>
  <c r="B15" i="3"/>
  <c r="F15" i="3"/>
  <c r="G15" i="3"/>
  <c r="B16" i="3"/>
  <c r="F16" i="3"/>
  <c r="G16" i="3"/>
  <c r="C19" i="3"/>
  <c r="D19" i="3"/>
  <c r="E19" i="3"/>
  <c r="B21" i="3"/>
  <c r="F21" i="3"/>
  <c r="G21" i="3"/>
  <c r="B22" i="3"/>
  <c r="F22" i="3"/>
  <c r="G22" i="3"/>
  <c r="B23" i="3"/>
  <c r="F23" i="3"/>
  <c r="G23" i="3"/>
  <c r="B24" i="3"/>
  <c r="F24" i="3"/>
  <c r="G24" i="3"/>
  <c r="B25" i="3"/>
  <c r="F25" i="3"/>
  <c r="G25" i="3"/>
  <c r="B26" i="3"/>
  <c r="F26" i="3"/>
  <c r="G26" i="3"/>
  <c r="B27" i="3"/>
  <c r="F27" i="3"/>
  <c r="G27" i="3"/>
  <c r="B28" i="3"/>
  <c r="F28" i="3"/>
  <c r="G28" i="3"/>
  <c r="C31" i="3"/>
  <c r="D31" i="3"/>
  <c r="E31" i="3"/>
  <c r="B33" i="3"/>
  <c r="F33" i="3"/>
  <c r="G33" i="3"/>
  <c r="B34" i="3"/>
  <c r="F34" i="3"/>
  <c r="G34" i="3"/>
  <c r="B35" i="3"/>
  <c r="F35" i="3"/>
  <c r="G35" i="3"/>
  <c r="B36" i="3"/>
  <c r="F36" i="3"/>
  <c r="G36" i="3"/>
  <c r="B37" i="3"/>
  <c r="F37" i="3"/>
  <c r="G37" i="3"/>
  <c r="B38" i="3"/>
  <c r="F38" i="3"/>
  <c r="G38" i="3"/>
  <c r="B39" i="3"/>
  <c r="F39" i="3"/>
  <c r="G39" i="3"/>
  <c r="B40" i="3"/>
  <c r="F40" i="3"/>
  <c r="G40" i="3"/>
  <c r="C43" i="3"/>
  <c r="D43" i="3"/>
  <c r="E43" i="3"/>
  <c r="F43" i="3" s="1"/>
  <c r="B45" i="3"/>
  <c r="F45" i="3"/>
  <c r="G45" i="3"/>
  <c r="B46" i="3"/>
  <c r="F46" i="3"/>
  <c r="G46" i="3"/>
  <c r="B47" i="3"/>
  <c r="F47" i="3"/>
  <c r="G47" i="3"/>
  <c r="B48" i="3"/>
  <c r="F48" i="3"/>
  <c r="G48" i="3"/>
  <c r="B49" i="3"/>
  <c r="F49" i="3"/>
  <c r="G49" i="3"/>
  <c r="B50" i="3"/>
  <c r="F50" i="3"/>
  <c r="G50" i="3"/>
  <c r="B51" i="3"/>
  <c r="F51" i="3"/>
  <c r="G51" i="3"/>
  <c r="B52" i="3"/>
  <c r="F52" i="3"/>
  <c r="G52" i="3"/>
  <c r="C55" i="3"/>
  <c r="D55" i="3"/>
  <c r="E55" i="3"/>
  <c r="F55" i="3" s="1"/>
  <c r="B57" i="3"/>
  <c r="F57" i="3"/>
  <c r="G57" i="3"/>
  <c r="B58" i="3"/>
  <c r="F58" i="3"/>
  <c r="G58" i="3"/>
  <c r="B59" i="3"/>
  <c r="F59" i="3"/>
  <c r="G59" i="3"/>
  <c r="B60" i="3"/>
  <c r="F60" i="3"/>
  <c r="G60" i="3"/>
  <c r="B61" i="3"/>
  <c r="F61" i="3"/>
  <c r="G61" i="3"/>
  <c r="B62" i="3"/>
  <c r="F62" i="3"/>
  <c r="G62" i="3"/>
  <c r="B63" i="3"/>
  <c r="F63" i="3"/>
  <c r="G63" i="3"/>
  <c r="B64" i="3"/>
  <c r="F64" i="3"/>
  <c r="G64" i="3"/>
  <c r="C67" i="3"/>
  <c r="D67" i="3"/>
  <c r="E67" i="3"/>
  <c r="B69" i="3"/>
  <c r="F69" i="3"/>
  <c r="G69" i="3"/>
  <c r="B70" i="3"/>
  <c r="F70" i="3"/>
  <c r="G70" i="3"/>
  <c r="B71" i="3"/>
  <c r="F71" i="3"/>
  <c r="G71" i="3"/>
  <c r="B72" i="3"/>
  <c r="F72" i="3"/>
  <c r="G72" i="3"/>
  <c r="B73" i="3"/>
  <c r="F73" i="3"/>
  <c r="G73" i="3"/>
  <c r="B74" i="3"/>
  <c r="F74" i="3"/>
  <c r="G74" i="3"/>
  <c r="B75" i="3"/>
  <c r="F75" i="3"/>
  <c r="G75" i="3"/>
  <c r="B76" i="3"/>
  <c r="F76" i="3"/>
  <c r="G76" i="3"/>
  <c r="C79" i="3"/>
  <c r="D79" i="3"/>
  <c r="E79" i="3"/>
  <c r="B81" i="3"/>
  <c r="F81" i="3"/>
  <c r="G81" i="3"/>
  <c r="B82" i="3"/>
  <c r="F82" i="3"/>
  <c r="G82" i="3"/>
  <c r="B83" i="3"/>
  <c r="F83" i="3"/>
  <c r="G83" i="3"/>
  <c r="B84" i="3"/>
  <c r="F84" i="3"/>
  <c r="G84" i="3"/>
  <c r="B85" i="3"/>
  <c r="F85" i="3"/>
  <c r="G85" i="3"/>
  <c r="B86" i="3"/>
  <c r="F86" i="3"/>
  <c r="G86" i="3"/>
  <c r="B87" i="3"/>
  <c r="F87" i="3"/>
  <c r="G87" i="3"/>
  <c r="B88" i="3"/>
  <c r="F88" i="3"/>
  <c r="G88" i="3"/>
  <c r="C91" i="3"/>
  <c r="D91" i="3"/>
  <c r="E91" i="3"/>
  <c r="F91" i="3" s="1"/>
  <c r="B93" i="3"/>
  <c r="F93" i="3"/>
  <c r="G93" i="3"/>
  <c r="B94" i="3"/>
  <c r="F94" i="3"/>
  <c r="G94" i="3"/>
  <c r="B95" i="3"/>
  <c r="F95" i="3"/>
  <c r="G95" i="3"/>
  <c r="B96" i="3"/>
  <c r="F96" i="3"/>
  <c r="G96" i="3"/>
  <c r="B97" i="3"/>
  <c r="F97" i="3"/>
  <c r="G97" i="3"/>
  <c r="B98" i="3"/>
  <c r="F98" i="3"/>
  <c r="G98" i="3"/>
  <c r="B99" i="3"/>
  <c r="F99" i="3"/>
  <c r="G99" i="3"/>
  <c r="B100" i="3"/>
  <c r="F100" i="3"/>
  <c r="G100" i="3"/>
  <c r="C103" i="3"/>
  <c r="D103" i="3"/>
  <c r="E103" i="3"/>
  <c r="F103" i="3" s="1"/>
  <c r="B105" i="3"/>
  <c r="F105" i="3"/>
  <c r="G105" i="3"/>
  <c r="B106" i="3"/>
  <c r="F106" i="3"/>
  <c r="G106" i="3"/>
  <c r="B107" i="3"/>
  <c r="F107" i="3"/>
  <c r="G107" i="3"/>
  <c r="B108" i="3"/>
  <c r="F108" i="3"/>
  <c r="G108" i="3"/>
  <c r="B109" i="3"/>
  <c r="F109" i="3"/>
  <c r="G109" i="3"/>
  <c r="B110" i="3"/>
  <c r="F110" i="3"/>
  <c r="G110" i="3"/>
  <c r="B111" i="3"/>
  <c r="F111" i="3"/>
  <c r="G111" i="3"/>
  <c r="B112" i="3"/>
  <c r="F112" i="3"/>
  <c r="G112" i="3"/>
  <c r="C115" i="3"/>
  <c r="D115" i="3"/>
  <c r="E115" i="3"/>
  <c r="B117" i="3"/>
  <c r="F117" i="3"/>
  <c r="G117" i="3"/>
  <c r="B118" i="3"/>
  <c r="F118" i="3"/>
  <c r="G118" i="3"/>
  <c r="B119" i="3"/>
  <c r="F119" i="3"/>
  <c r="G119" i="3"/>
  <c r="B120" i="3"/>
  <c r="F120" i="3"/>
  <c r="G120" i="3"/>
  <c r="B121" i="3"/>
  <c r="F121" i="3"/>
  <c r="G121" i="3"/>
  <c r="B122" i="3"/>
  <c r="F122" i="3"/>
  <c r="G122" i="3"/>
  <c r="B123" i="3"/>
  <c r="F123" i="3"/>
  <c r="G123" i="3"/>
  <c r="B124" i="3"/>
  <c r="F124" i="3"/>
  <c r="G124" i="3"/>
  <c r="C127" i="3"/>
  <c r="D127" i="3"/>
  <c r="E127" i="3"/>
  <c r="B129" i="3"/>
  <c r="B130" i="3"/>
  <c r="B131" i="3"/>
  <c r="B132" i="3"/>
  <c r="B133" i="3"/>
  <c r="B134" i="3"/>
  <c r="B135" i="3"/>
  <c r="B136" i="3"/>
  <c r="C139" i="3"/>
  <c r="D139" i="3"/>
  <c r="E139" i="3"/>
  <c r="B141" i="3"/>
  <c r="F141" i="3"/>
  <c r="G141" i="3"/>
  <c r="B142" i="3"/>
  <c r="F142" i="3"/>
  <c r="G142" i="3"/>
  <c r="B143" i="3"/>
  <c r="F143" i="3"/>
  <c r="G143" i="3"/>
  <c r="B144" i="3"/>
  <c r="F144" i="3"/>
  <c r="G144" i="3"/>
  <c r="B145" i="3"/>
  <c r="F145" i="3"/>
  <c r="G145" i="3"/>
  <c r="B146" i="3"/>
  <c r="F146" i="3"/>
  <c r="G146" i="3"/>
  <c r="B147" i="3"/>
  <c r="F147" i="3"/>
  <c r="G147" i="3"/>
  <c r="B148" i="3"/>
  <c r="F148" i="3"/>
  <c r="G148" i="3"/>
  <c r="C151" i="3"/>
  <c r="D151" i="3"/>
  <c r="E151" i="3"/>
  <c r="B153" i="3"/>
  <c r="F153" i="3"/>
  <c r="G153" i="3"/>
  <c r="B154" i="3"/>
  <c r="F154" i="3"/>
  <c r="G154" i="3"/>
  <c r="B155" i="3"/>
  <c r="F155" i="3"/>
  <c r="G155" i="3"/>
  <c r="B156" i="3"/>
  <c r="F156" i="3"/>
  <c r="G156" i="3"/>
  <c r="B157" i="3"/>
  <c r="F157" i="3"/>
  <c r="G157" i="3"/>
  <c r="B158" i="3"/>
  <c r="F158" i="3"/>
  <c r="G158" i="3"/>
  <c r="B159" i="3"/>
  <c r="F159" i="3"/>
  <c r="G159" i="3"/>
  <c r="B160" i="3"/>
  <c r="F160" i="3"/>
  <c r="G160" i="3"/>
  <c r="C163" i="3"/>
  <c r="G163" i="3" s="1"/>
  <c r="D163" i="3"/>
  <c r="E163" i="3"/>
  <c r="E165" i="3"/>
  <c r="A10" i="2"/>
  <c r="B10" i="2"/>
  <c r="C10" i="2"/>
  <c r="C23" i="2" s="1"/>
  <c r="D10" i="2"/>
  <c r="E10" i="2"/>
  <c r="E23" i="2" s="1"/>
  <c r="F10" i="2"/>
  <c r="G10" i="2"/>
  <c r="G23" i="2" s="1"/>
  <c r="H10" i="2"/>
  <c r="I10" i="2"/>
  <c r="I23" i="2" s="1"/>
  <c r="J10" i="2"/>
  <c r="K10" i="2"/>
  <c r="L10" i="2"/>
  <c r="L23" i="2" s="1"/>
  <c r="M10" i="2"/>
  <c r="N10" i="2"/>
  <c r="A11" i="2"/>
  <c r="B11" i="2"/>
  <c r="O11" i="2" s="1"/>
  <c r="C11" i="2"/>
  <c r="D11" i="2"/>
  <c r="E11" i="2"/>
  <c r="F11" i="2"/>
  <c r="G11" i="2"/>
  <c r="H11" i="2"/>
  <c r="I11" i="2"/>
  <c r="J11" i="2"/>
  <c r="K11" i="2"/>
  <c r="L11" i="2"/>
  <c r="M11" i="2"/>
  <c r="N11" i="2"/>
  <c r="N23" i="2" s="1"/>
  <c r="A12" i="2"/>
  <c r="B12" i="2"/>
  <c r="C12" i="2"/>
  <c r="D12" i="2"/>
  <c r="O12" i="2" s="1"/>
  <c r="E12" i="2"/>
  <c r="F12" i="2"/>
  <c r="G12" i="2"/>
  <c r="H12" i="2"/>
  <c r="I12" i="2"/>
  <c r="J12" i="2"/>
  <c r="K12" i="2"/>
  <c r="L12" i="2"/>
  <c r="M12" i="2"/>
  <c r="N12" i="2"/>
  <c r="A13" i="2"/>
  <c r="B13" i="2"/>
  <c r="B23" i="2" s="1"/>
  <c r="C13" i="2"/>
  <c r="D13" i="2"/>
  <c r="E13" i="2"/>
  <c r="F13" i="2"/>
  <c r="G13" i="2"/>
  <c r="H13" i="2"/>
  <c r="I13" i="2"/>
  <c r="J13" i="2"/>
  <c r="K13" i="2"/>
  <c r="L13" i="2"/>
  <c r="M13" i="2"/>
  <c r="N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A16" i="2"/>
  <c r="B16" i="2"/>
  <c r="O16" i="2" s="1"/>
  <c r="C16" i="2"/>
  <c r="D16" i="2"/>
  <c r="E16" i="2"/>
  <c r="F16" i="2"/>
  <c r="G16" i="2"/>
  <c r="H16" i="2"/>
  <c r="I16" i="2"/>
  <c r="J16" i="2"/>
  <c r="K16" i="2"/>
  <c r="L16" i="2"/>
  <c r="M16" i="2"/>
  <c r="N16" i="2"/>
  <c r="A17" i="2"/>
  <c r="B17" i="2"/>
  <c r="O17" i="2" s="1"/>
  <c r="C17" i="2"/>
  <c r="D17" i="2"/>
  <c r="E17" i="2"/>
  <c r="F17" i="2"/>
  <c r="G17" i="2"/>
  <c r="H17" i="2"/>
  <c r="I17" i="2"/>
  <c r="J17" i="2"/>
  <c r="K17" i="2"/>
  <c r="L17" i="2"/>
  <c r="M17" i="2"/>
  <c r="N17" i="2"/>
  <c r="F23" i="2"/>
  <c r="H23" i="2"/>
  <c r="J23" i="2"/>
  <c r="A31" i="2"/>
  <c r="B31" i="2"/>
  <c r="O31" i="2" s="1"/>
  <c r="C31" i="2"/>
  <c r="D31" i="2"/>
  <c r="E31" i="2"/>
  <c r="F31" i="2"/>
  <c r="G31" i="2"/>
  <c r="G44" i="2" s="1"/>
  <c r="H31" i="2"/>
  <c r="I31" i="2"/>
  <c r="J31" i="2"/>
  <c r="J44" i="2" s="1"/>
  <c r="K31" i="2"/>
  <c r="L31" i="2"/>
  <c r="M31" i="2"/>
  <c r="N31" i="2"/>
  <c r="A32" i="2"/>
  <c r="B32" i="2"/>
  <c r="O32" i="2" s="1"/>
  <c r="C32" i="2"/>
  <c r="D32" i="2"/>
  <c r="D44" i="2" s="1"/>
  <c r="E32" i="2"/>
  <c r="F32" i="2"/>
  <c r="G32" i="2"/>
  <c r="H32" i="2"/>
  <c r="I32" i="2"/>
  <c r="J32" i="2"/>
  <c r="K32" i="2"/>
  <c r="L32" i="2"/>
  <c r="M32" i="2"/>
  <c r="N32" i="2"/>
  <c r="A33" i="2"/>
  <c r="B33" i="2"/>
  <c r="C33" i="2"/>
  <c r="D33" i="2"/>
  <c r="E33" i="2"/>
  <c r="F33" i="2"/>
  <c r="G33" i="2"/>
  <c r="H33" i="2"/>
  <c r="I33" i="2"/>
  <c r="J33" i="2"/>
  <c r="K33" i="2"/>
  <c r="L33" i="2"/>
  <c r="M33" i="2"/>
  <c r="M44" i="2" s="1"/>
  <c r="N33" i="2"/>
  <c r="A34" i="2"/>
  <c r="B34" i="2"/>
  <c r="O34" i="2" s="1"/>
  <c r="C34" i="2"/>
  <c r="D34" i="2"/>
  <c r="E34" i="2"/>
  <c r="F34" i="2"/>
  <c r="G34" i="2"/>
  <c r="H34" i="2"/>
  <c r="I34" i="2"/>
  <c r="J34" i="2"/>
  <c r="K34" i="2"/>
  <c r="L34" i="2"/>
  <c r="M34" i="2"/>
  <c r="N34" i="2"/>
  <c r="N44" i="2" s="1"/>
  <c r="A35" i="2"/>
  <c r="B35" i="2"/>
  <c r="C35" i="2"/>
  <c r="D35" i="2"/>
  <c r="E35" i="2"/>
  <c r="F35" i="2"/>
  <c r="G35" i="2"/>
  <c r="H35" i="2"/>
  <c r="I35" i="2"/>
  <c r="O35" i="2" s="1"/>
  <c r="J35" i="2"/>
  <c r="K35" i="2"/>
  <c r="L35" i="2"/>
  <c r="L44" i="2" s="1"/>
  <c r="M35" i="2"/>
  <c r="N35" i="2"/>
  <c r="A36" i="2"/>
  <c r="B36" i="2"/>
  <c r="C36" i="2"/>
  <c r="D36" i="2"/>
  <c r="E36" i="2"/>
  <c r="F36" i="2"/>
  <c r="G36" i="2"/>
  <c r="O36" i="2" s="1"/>
  <c r="H36" i="2"/>
  <c r="I36" i="2"/>
  <c r="J36" i="2"/>
  <c r="K36" i="2"/>
  <c r="L36" i="2"/>
  <c r="M36" i="2"/>
  <c r="N36" i="2"/>
  <c r="A37" i="2"/>
  <c r="B37" i="2"/>
  <c r="C37" i="2"/>
  <c r="D37" i="2"/>
  <c r="E37" i="2"/>
  <c r="E44" i="2" s="1"/>
  <c r="F37" i="2"/>
  <c r="G37" i="2"/>
  <c r="H37" i="2"/>
  <c r="H44" i="2" s="1"/>
  <c r="I37" i="2"/>
  <c r="J37" i="2"/>
  <c r="K37" i="2"/>
  <c r="L37" i="2"/>
  <c r="M37" i="2"/>
  <c r="N37" i="2"/>
  <c r="A38" i="2"/>
  <c r="B38" i="2"/>
  <c r="O38" i="2" s="1"/>
  <c r="C38" i="2"/>
  <c r="D38" i="2"/>
  <c r="E38" i="2"/>
  <c r="F38" i="2"/>
  <c r="G38" i="2"/>
  <c r="H38" i="2"/>
  <c r="I38" i="2"/>
  <c r="J38" i="2"/>
  <c r="K38" i="2"/>
  <c r="L38" i="2"/>
  <c r="M38" i="2"/>
  <c r="N38" i="2"/>
  <c r="B9" i="1"/>
  <c r="E9" i="1"/>
  <c r="F9" i="1"/>
  <c r="F19" i="1" s="1"/>
  <c r="H19" i="1" s="1"/>
  <c r="G9" i="1"/>
  <c r="I9" i="1"/>
  <c r="M9" i="1"/>
  <c r="B10" i="1"/>
  <c r="E10" i="1"/>
  <c r="F10" i="1"/>
  <c r="G10" i="1"/>
  <c r="H10" i="1" s="1"/>
  <c r="I10" i="1"/>
  <c r="J10" i="1"/>
  <c r="M10" i="1"/>
  <c r="B11" i="1"/>
  <c r="E11" i="1"/>
  <c r="F11" i="1"/>
  <c r="G11" i="1"/>
  <c r="H11" i="1"/>
  <c r="I11" i="1"/>
  <c r="J11" i="1"/>
  <c r="M11" i="1"/>
  <c r="B12" i="1"/>
  <c r="E12" i="1"/>
  <c r="F12" i="1"/>
  <c r="J12" i="1" s="1"/>
  <c r="G12" i="1"/>
  <c r="I12" i="1"/>
  <c r="M12" i="1"/>
  <c r="B13" i="1"/>
  <c r="E13" i="1"/>
  <c r="F13" i="1"/>
  <c r="J13" i="1" s="1"/>
  <c r="G13" i="1"/>
  <c r="G19" i="1" s="1"/>
  <c r="I13" i="1"/>
  <c r="M13" i="1"/>
  <c r="B14" i="1"/>
  <c r="E14" i="1"/>
  <c r="F14" i="1"/>
  <c r="H14" i="1" s="1"/>
  <c r="G14" i="1"/>
  <c r="I14" i="1"/>
  <c r="M14" i="1"/>
  <c r="B15" i="1"/>
  <c r="E15" i="1"/>
  <c r="F15" i="1"/>
  <c r="J15" i="1" s="1"/>
  <c r="G15" i="1"/>
  <c r="I15" i="1"/>
  <c r="M15" i="1"/>
  <c r="E16" i="1"/>
  <c r="F16" i="1"/>
  <c r="G16" i="1"/>
  <c r="I16" i="1"/>
  <c r="J16" i="1"/>
  <c r="M16" i="1"/>
  <c r="C19" i="1"/>
  <c r="D19" i="1"/>
  <c r="K19" i="1"/>
  <c r="M19" i="1" s="1"/>
  <c r="L19" i="1"/>
  <c r="B21" i="1"/>
  <c r="E21" i="1"/>
  <c r="F21" i="1"/>
  <c r="G21" i="1"/>
  <c r="H21" i="1"/>
  <c r="I21" i="1"/>
  <c r="J21" i="1"/>
  <c r="M21" i="1"/>
  <c r="B22" i="1"/>
  <c r="E22" i="1"/>
  <c r="F22" i="1"/>
  <c r="F31" i="1" s="1"/>
  <c r="G22" i="1"/>
  <c r="I22" i="1"/>
  <c r="J22" i="1"/>
  <c r="M22" i="1"/>
  <c r="B23" i="1"/>
  <c r="E23" i="1"/>
  <c r="F23" i="1"/>
  <c r="G23" i="1"/>
  <c r="I23" i="1"/>
  <c r="M23" i="1"/>
  <c r="B24" i="1"/>
  <c r="E24" i="1"/>
  <c r="G24" i="1"/>
  <c r="I24" i="1"/>
  <c r="M24" i="1"/>
  <c r="B25" i="1"/>
  <c r="E25" i="1"/>
  <c r="G25" i="1"/>
  <c r="I25" i="1"/>
  <c r="J25" i="1"/>
  <c r="M25" i="1"/>
  <c r="B26" i="1"/>
  <c r="E26" i="1"/>
  <c r="F26" i="1"/>
  <c r="H26" i="1" s="1"/>
  <c r="G26" i="1"/>
  <c r="I26" i="1"/>
  <c r="M26" i="1"/>
  <c r="B27" i="1"/>
  <c r="E27" i="1"/>
  <c r="F27" i="1"/>
  <c r="G27" i="1"/>
  <c r="H27" i="1"/>
  <c r="I27" i="1"/>
  <c r="J27" i="1"/>
  <c r="M27" i="1"/>
  <c r="B28" i="1"/>
  <c r="E28" i="1"/>
  <c r="F28" i="1"/>
  <c r="G28" i="1"/>
  <c r="I28" i="1"/>
  <c r="M28" i="1"/>
  <c r="C31" i="1"/>
  <c r="D31" i="1"/>
  <c r="K31" i="1"/>
  <c r="L31" i="1"/>
  <c r="B33" i="1"/>
  <c r="E33" i="1"/>
  <c r="F33" i="1"/>
  <c r="G33" i="1"/>
  <c r="G43" i="1" s="1"/>
  <c r="I33" i="1"/>
  <c r="M33" i="1"/>
  <c r="B34" i="1"/>
  <c r="E34" i="1"/>
  <c r="J34" i="1"/>
  <c r="G34" i="1"/>
  <c r="I34" i="1"/>
  <c r="M34" i="1"/>
  <c r="B35" i="1"/>
  <c r="E35" i="1"/>
  <c r="G35" i="1"/>
  <c r="I35" i="1"/>
  <c r="M35" i="1"/>
  <c r="B36" i="1"/>
  <c r="E36" i="1"/>
  <c r="G36" i="1"/>
  <c r="I36" i="1"/>
  <c r="J36" i="1"/>
  <c r="M36" i="1"/>
  <c r="B37" i="1"/>
  <c r="E37" i="1"/>
  <c r="G37" i="1"/>
  <c r="I37" i="1"/>
  <c r="J37" i="1"/>
  <c r="M37" i="1"/>
  <c r="B38" i="1"/>
  <c r="E38" i="1"/>
  <c r="G38" i="1"/>
  <c r="H38" i="1" s="1"/>
  <c r="I38" i="1"/>
  <c r="J38" i="1"/>
  <c r="M38" i="1"/>
  <c r="B39" i="1"/>
  <c r="E39" i="1"/>
  <c r="G39" i="1"/>
  <c r="H39" i="1"/>
  <c r="I39" i="1"/>
  <c r="J39" i="1"/>
  <c r="M39" i="1"/>
  <c r="B40" i="1"/>
  <c r="E40" i="1"/>
  <c r="G40" i="1"/>
  <c r="I40" i="1"/>
  <c r="M40" i="1"/>
  <c r="C43" i="1"/>
  <c r="C165" i="1" s="1"/>
  <c r="E165" i="1" s="1"/>
  <c r="D43" i="1"/>
  <c r="K43" i="1"/>
  <c r="I43" i="1" s="1"/>
  <c r="L43" i="1"/>
  <c r="B45" i="1"/>
  <c r="E45" i="1"/>
  <c r="G45" i="1"/>
  <c r="H45" i="1" s="1"/>
  <c r="I45" i="1"/>
  <c r="J45" i="1"/>
  <c r="M45" i="1"/>
  <c r="B46" i="1"/>
  <c r="E46" i="1"/>
  <c r="G46" i="1"/>
  <c r="I46" i="1"/>
  <c r="J46" i="1"/>
  <c r="M46" i="1"/>
  <c r="B47" i="1"/>
  <c r="E47" i="1"/>
  <c r="G47" i="1"/>
  <c r="H47" i="1" s="1"/>
  <c r="I47" i="1"/>
  <c r="J47" i="1"/>
  <c r="L47" i="1"/>
  <c r="M47" i="1" s="1"/>
  <c r="B48" i="1"/>
  <c r="E48" i="1"/>
  <c r="G48" i="1"/>
  <c r="I48" i="1"/>
  <c r="J48" i="1"/>
  <c r="L48" i="1"/>
  <c r="M48" i="1" s="1"/>
  <c r="B49" i="1"/>
  <c r="E49" i="1"/>
  <c r="J49" i="1"/>
  <c r="G49" i="1"/>
  <c r="I49" i="1"/>
  <c r="M49" i="1"/>
  <c r="B50" i="1"/>
  <c r="E50" i="1"/>
  <c r="G50" i="1"/>
  <c r="I50" i="1"/>
  <c r="M50" i="1"/>
  <c r="B51" i="1"/>
  <c r="E51" i="1"/>
  <c r="G51" i="1"/>
  <c r="H51" i="1"/>
  <c r="I51" i="1"/>
  <c r="J51" i="1"/>
  <c r="M51" i="1"/>
  <c r="B52" i="1"/>
  <c r="E52" i="1"/>
  <c r="F52" i="1"/>
  <c r="H52" i="1" s="1"/>
  <c r="G52" i="1"/>
  <c r="I52" i="1"/>
  <c r="J52" i="1"/>
  <c r="M52" i="1"/>
  <c r="C55" i="1"/>
  <c r="I55" i="1" s="1"/>
  <c r="D55" i="1"/>
  <c r="G55" i="1"/>
  <c r="K55" i="1"/>
  <c r="B57" i="1"/>
  <c r="E57" i="1"/>
  <c r="F57" i="1"/>
  <c r="F67" i="1" s="1"/>
  <c r="G57" i="1"/>
  <c r="G67" i="1" s="1"/>
  <c r="I57" i="1"/>
  <c r="J57" i="1"/>
  <c r="M57" i="1"/>
  <c r="B58" i="1"/>
  <c r="E58" i="1"/>
  <c r="F58" i="1"/>
  <c r="J58" i="1" s="1"/>
  <c r="G58" i="1"/>
  <c r="H58" i="1"/>
  <c r="I58" i="1"/>
  <c r="M58" i="1"/>
  <c r="B59" i="1"/>
  <c r="E59" i="1"/>
  <c r="F59" i="1"/>
  <c r="J59" i="1" s="1"/>
  <c r="G59" i="1"/>
  <c r="I59" i="1"/>
  <c r="M59" i="1"/>
  <c r="B60" i="1"/>
  <c r="E60" i="1"/>
  <c r="F60" i="1"/>
  <c r="G60" i="1"/>
  <c r="H60" i="1"/>
  <c r="I60" i="1"/>
  <c r="J60" i="1"/>
  <c r="M60" i="1"/>
  <c r="B61" i="1"/>
  <c r="E61" i="1"/>
  <c r="F61" i="1"/>
  <c r="J61" i="1"/>
  <c r="G61" i="1"/>
  <c r="I61" i="1"/>
  <c r="M61" i="1"/>
  <c r="B62" i="1"/>
  <c r="E62" i="1"/>
  <c r="F62" i="1"/>
  <c r="J62" i="1" s="1"/>
  <c r="G62" i="1"/>
  <c r="H62" i="1" s="1"/>
  <c r="I62" i="1"/>
  <c r="M62" i="1"/>
  <c r="B63" i="1"/>
  <c r="E63" i="1"/>
  <c r="F63" i="1"/>
  <c r="J63" i="1" s="1"/>
  <c r="G63" i="1"/>
  <c r="I63" i="1"/>
  <c r="M63" i="1"/>
  <c r="B64" i="1"/>
  <c r="E64" i="1"/>
  <c r="F64" i="1"/>
  <c r="J64" i="1" s="1"/>
  <c r="G64" i="1"/>
  <c r="H64" i="1" s="1"/>
  <c r="I64" i="1"/>
  <c r="M64" i="1"/>
  <c r="C67" i="1"/>
  <c r="D67" i="1"/>
  <c r="K67" i="1"/>
  <c r="L67" i="1"/>
  <c r="B69" i="1"/>
  <c r="E69" i="1"/>
  <c r="F69" i="1"/>
  <c r="J69" i="1" s="1"/>
  <c r="G69" i="1"/>
  <c r="G79" i="1" s="1"/>
  <c r="H69" i="1"/>
  <c r="I69" i="1"/>
  <c r="M69" i="1"/>
  <c r="B70" i="1"/>
  <c r="E70" i="1"/>
  <c r="F70" i="1"/>
  <c r="G70" i="1"/>
  <c r="H70" i="1" s="1"/>
  <c r="I70" i="1"/>
  <c r="J70" i="1"/>
  <c r="M70" i="1"/>
  <c r="B71" i="1"/>
  <c r="E71" i="1"/>
  <c r="F71" i="1"/>
  <c r="J71" i="1" s="1"/>
  <c r="G71" i="1"/>
  <c r="H71" i="1"/>
  <c r="I71" i="1"/>
  <c r="M71" i="1"/>
  <c r="B72" i="1"/>
  <c r="E72" i="1"/>
  <c r="F72" i="1"/>
  <c r="J72" i="1" s="1"/>
  <c r="G72" i="1"/>
  <c r="H72" i="1"/>
  <c r="I72" i="1"/>
  <c r="M72" i="1"/>
  <c r="B73" i="1"/>
  <c r="E73" i="1"/>
  <c r="F73" i="1"/>
  <c r="G73" i="1"/>
  <c r="H73" i="1" s="1"/>
  <c r="I73" i="1"/>
  <c r="J73" i="1"/>
  <c r="M73" i="1"/>
  <c r="B74" i="1"/>
  <c r="E74" i="1"/>
  <c r="G74" i="1"/>
  <c r="I74" i="1"/>
  <c r="J74" i="1"/>
  <c r="M74" i="1"/>
  <c r="B75" i="1"/>
  <c r="E75" i="1"/>
  <c r="G75" i="1"/>
  <c r="I75" i="1"/>
  <c r="J75" i="1"/>
  <c r="M75" i="1"/>
  <c r="B76" i="1"/>
  <c r="E76" i="1"/>
  <c r="G76" i="1"/>
  <c r="I76" i="1"/>
  <c r="J76" i="1"/>
  <c r="M76" i="1"/>
  <c r="C79" i="1"/>
  <c r="D79" i="1"/>
  <c r="K79" i="1"/>
  <c r="I79" i="1" s="1"/>
  <c r="L79" i="1"/>
  <c r="B81" i="1"/>
  <c r="E81" i="1"/>
  <c r="F81" i="1"/>
  <c r="J81" i="1"/>
  <c r="G81" i="1"/>
  <c r="G91" i="1" s="1"/>
  <c r="I81" i="1"/>
  <c r="M81" i="1"/>
  <c r="B82" i="1"/>
  <c r="E82" i="1"/>
  <c r="G82" i="1"/>
  <c r="I82" i="1"/>
  <c r="M82" i="1"/>
  <c r="B83" i="1"/>
  <c r="E83" i="1"/>
  <c r="F83" i="1"/>
  <c r="G83" i="1"/>
  <c r="H83" i="1"/>
  <c r="I83" i="1"/>
  <c r="J83" i="1"/>
  <c r="M83" i="1"/>
  <c r="B84" i="1"/>
  <c r="E84" i="1"/>
  <c r="G84" i="1"/>
  <c r="I84" i="1"/>
  <c r="J84" i="1"/>
  <c r="M84" i="1"/>
  <c r="B85" i="1"/>
  <c r="E85" i="1"/>
  <c r="G85" i="1"/>
  <c r="I85" i="1"/>
  <c r="M85" i="1"/>
  <c r="B86" i="1"/>
  <c r="E86" i="1"/>
  <c r="J86" i="1"/>
  <c r="G86" i="1"/>
  <c r="I86" i="1"/>
  <c r="M86" i="1"/>
  <c r="B87" i="1"/>
  <c r="E87" i="1"/>
  <c r="G87" i="1"/>
  <c r="I87" i="1"/>
  <c r="J87" i="1"/>
  <c r="M87" i="1"/>
  <c r="B88" i="1"/>
  <c r="E88" i="1"/>
  <c r="F88" i="1"/>
  <c r="J88" i="1" s="1"/>
  <c r="G88" i="1"/>
  <c r="H88" i="1" s="1"/>
  <c r="I88" i="1"/>
  <c r="M88" i="1"/>
  <c r="C91" i="1"/>
  <c r="D91" i="1"/>
  <c r="K91" i="1"/>
  <c r="L91" i="1"/>
  <c r="B93" i="1"/>
  <c r="E93" i="1"/>
  <c r="F93" i="1"/>
  <c r="G93" i="1"/>
  <c r="H93" i="1" s="1"/>
  <c r="I93" i="1"/>
  <c r="J93" i="1"/>
  <c r="M93" i="1"/>
  <c r="B94" i="1"/>
  <c r="E94" i="1"/>
  <c r="F94" i="1"/>
  <c r="G94" i="1"/>
  <c r="I94" i="1"/>
  <c r="J94" i="1"/>
  <c r="M94" i="1"/>
  <c r="B95" i="1"/>
  <c r="E95" i="1"/>
  <c r="F95" i="1"/>
  <c r="J95" i="1"/>
  <c r="G95" i="1"/>
  <c r="I95" i="1"/>
  <c r="M95" i="1"/>
  <c r="B96" i="1"/>
  <c r="E96" i="1"/>
  <c r="F96" i="1"/>
  <c r="J96" i="1" s="1"/>
  <c r="G96" i="1"/>
  <c r="H96" i="1" s="1"/>
  <c r="I96" i="1"/>
  <c r="M96" i="1"/>
  <c r="B97" i="1"/>
  <c r="E97" i="1"/>
  <c r="F97" i="1"/>
  <c r="J97" i="1" s="1"/>
  <c r="G97" i="1"/>
  <c r="I97" i="1"/>
  <c r="M97" i="1"/>
  <c r="B98" i="1"/>
  <c r="E98" i="1"/>
  <c r="F98" i="1"/>
  <c r="J98" i="1" s="1"/>
  <c r="G98" i="1"/>
  <c r="I98" i="1"/>
  <c r="M98" i="1"/>
  <c r="B99" i="1"/>
  <c r="E99" i="1"/>
  <c r="F99" i="1"/>
  <c r="G99" i="1"/>
  <c r="H99" i="1"/>
  <c r="I99" i="1"/>
  <c r="J99" i="1"/>
  <c r="M99" i="1"/>
  <c r="B100" i="1"/>
  <c r="E100" i="1"/>
  <c r="F100" i="1"/>
  <c r="G100" i="1"/>
  <c r="I100" i="1"/>
  <c r="J100" i="1"/>
  <c r="M100" i="1"/>
  <c r="C103" i="1"/>
  <c r="D103" i="1"/>
  <c r="F103" i="1"/>
  <c r="K103" i="1"/>
  <c r="L103" i="1"/>
  <c r="B105" i="1"/>
  <c r="E105" i="1"/>
  <c r="F105" i="1"/>
  <c r="J105" i="1" s="1"/>
  <c r="G105" i="1"/>
  <c r="I105" i="1"/>
  <c r="M105" i="1"/>
  <c r="B106" i="1"/>
  <c r="E106" i="1"/>
  <c r="G106" i="1"/>
  <c r="G115" i="1" s="1"/>
  <c r="I106" i="1"/>
  <c r="M106" i="1"/>
  <c r="B107" i="1"/>
  <c r="E107" i="1"/>
  <c r="F107" i="1"/>
  <c r="G107" i="1"/>
  <c r="H107" i="1"/>
  <c r="I107" i="1"/>
  <c r="J107" i="1"/>
  <c r="M107" i="1"/>
  <c r="B108" i="1"/>
  <c r="E108" i="1"/>
  <c r="F108" i="1"/>
  <c r="J108" i="1" s="1"/>
  <c r="G108" i="1"/>
  <c r="I108" i="1"/>
  <c r="M108" i="1"/>
  <c r="B109" i="1"/>
  <c r="E109" i="1"/>
  <c r="F109" i="1"/>
  <c r="J109" i="1"/>
  <c r="G109" i="1"/>
  <c r="I109" i="1"/>
  <c r="M109" i="1"/>
  <c r="B110" i="1"/>
  <c r="E110" i="1"/>
  <c r="F110" i="1"/>
  <c r="J110" i="1" s="1"/>
  <c r="G110" i="1"/>
  <c r="I110" i="1"/>
  <c r="M110" i="1"/>
  <c r="B111" i="1"/>
  <c r="E111" i="1"/>
  <c r="F111" i="1"/>
  <c r="I111" i="1"/>
  <c r="J111" i="1"/>
  <c r="M111" i="1"/>
  <c r="B112" i="1"/>
  <c r="E112" i="1"/>
  <c r="G112" i="1"/>
  <c r="I112" i="1"/>
  <c r="J112" i="1"/>
  <c r="M112" i="1"/>
  <c r="C115" i="1"/>
  <c r="D115" i="1"/>
  <c r="K115" i="1"/>
  <c r="L115" i="1"/>
  <c r="B117" i="1"/>
  <c r="E117" i="1"/>
  <c r="F117" i="1"/>
  <c r="H117" i="1" s="1"/>
  <c r="G117" i="1"/>
  <c r="G127" i="1" s="1"/>
  <c r="I117" i="1"/>
  <c r="J117" i="1"/>
  <c r="M117" i="1"/>
  <c r="B118" i="1"/>
  <c r="E118" i="1"/>
  <c r="F118" i="1"/>
  <c r="F127" i="1" s="1"/>
  <c r="G118" i="1"/>
  <c r="H118" i="1"/>
  <c r="I118" i="1"/>
  <c r="M118" i="1"/>
  <c r="B119" i="1"/>
  <c r="E119" i="1"/>
  <c r="F119" i="1"/>
  <c r="J119" i="1" s="1"/>
  <c r="G119" i="1"/>
  <c r="I119" i="1"/>
  <c r="M119" i="1"/>
  <c r="B120" i="1"/>
  <c r="E120" i="1"/>
  <c r="F120" i="1"/>
  <c r="J120" i="1" s="1"/>
  <c r="G120" i="1"/>
  <c r="I120" i="1"/>
  <c r="M120" i="1"/>
  <c r="B121" i="1"/>
  <c r="E121" i="1"/>
  <c r="F121" i="1"/>
  <c r="G121" i="1"/>
  <c r="H121" i="1"/>
  <c r="I121" i="1"/>
  <c r="J121" i="1"/>
  <c r="M121" i="1"/>
  <c r="B122" i="1"/>
  <c r="E122" i="1"/>
  <c r="F122" i="1"/>
  <c r="J122" i="1"/>
  <c r="G122" i="1"/>
  <c r="I122" i="1"/>
  <c r="M122" i="1"/>
  <c r="B123" i="1"/>
  <c r="E123" i="1"/>
  <c r="F123" i="1"/>
  <c r="J123" i="1" s="1"/>
  <c r="G123" i="1"/>
  <c r="H123" i="1" s="1"/>
  <c r="I123" i="1"/>
  <c r="M123" i="1"/>
  <c r="B124" i="1"/>
  <c r="E124" i="1"/>
  <c r="F124" i="1"/>
  <c r="J124" i="1" s="1"/>
  <c r="G124" i="1"/>
  <c r="I124" i="1"/>
  <c r="M124" i="1"/>
  <c r="C127" i="1"/>
  <c r="D127" i="1"/>
  <c r="D165" i="1" s="1"/>
  <c r="K127" i="1"/>
  <c r="L127" i="1"/>
  <c r="B129" i="1"/>
  <c r="E129" i="1"/>
  <c r="F129" i="1"/>
  <c r="J129" i="1" s="1"/>
  <c r="G129" i="1"/>
  <c r="I129" i="1"/>
  <c r="M129" i="1"/>
  <c r="B130" i="1"/>
  <c r="E130" i="1"/>
  <c r="F130" i="1"/>
  <c r="G130" i="1"/>
  <c r="H130" i="1" s="1"/>
  <c r="I130" i="1"/>
  <c r="J130" i="1"/>
  <c r="M130" i="1"/>
  <c r="B131" i="1"/>
  <c r="E131" i="1"/>
  <c r="J131" i="1"/>
  <c r="G131" i="1"/>
  <c r="I131" i="1"/>
  <c r="M131" i="1"/>
  <c r="B132" i="1"/>
  <c r="E132" i="1"/>
  <c r="F132" i="1"/>
  <c r="J132" i="1" s="1"/>
  <c r="G132" i="1"/>
  <c r="I132" i="1"/>
  <c r="M132" i="1"/>
  <c r="B133" i="1"/>
  <c r="E133" i="1"/>
  <c r="F133" i="1"/>
  <c r="J133" i="1" s="1"/>
  <c r="G133" i="1"/>
  <c r="H133" i="1"/>
  <c r="I133" i="1"/>
  <c r="M133" i="1"/>
  <c r="B134" i="1"/>
  <c r="E134" i="1"/>
  <c r="F134" i="1"/>
  <c r="J134" i="1"/>
  <c r="G134" i="1"/>
  <c r="I134" i="1"/>
  <c r="M134" i="1"/>
  <c r="B135" i="1"/>
  <c r="E135" i="1"/>
  <c r="F135" i="1"/>
  <c r="G135" i="1"/>
  <c r="H135" i="1"/>
  <c r="I135" i="1"/>
  <c r="J135" i="1"/>
  <c r="M135" i="1"/>
  <c r="B136" i="1"/>
  <c r="E136" i="1"/>
  <c r="F136" i="1"/>
  <c r="J136" i="1"/>
  <c r="G136" i="1"/>
  <c r="I136" i="1"/>
  <c r="M136" i="1"/>
  <c r="C139" i="1"/>
  <c r="D139" i="1"/>
  <c r="E139" i="1" s="1"/>
  <c r="K139" i="1"/>
  <c r="L139" i="1"/>
  <c r="B141" i="1"/>
  <c r="E141" i="1"/>
  <c r="F141" i="1"/>
  <c r="J141" i="1"/>
  <c r="G141" i="1"/>
  <c r="G151" i="1" s="1"/>
  <c r="H141" i="1"/>
  <c r="I141" i="1"/>
  <c r="M141" i="1"/>
  <c r="B142" i="1"/>
  <c r="E142" i="1"/>
  <c r="F142" i="1"/>
  <c r="J142" i="1" s="1"/>
  <c r="G142" i="1"/>
  <c r="H142" i="1"/>
  <c r="I142" i="1"/>
  <c r="M142" i="1"/>
  <c r="B143" i="1"/>
  <c r="E143" i="1"/>
  <c r="F143" i="1"/>
  <c r="G143" i="1"/>
  <c r="H143" i="1"/>
  <c r="I143" i="1"/>
  <c r="J143" i="1"/>
  <c r="M143" i="1"/>
  <c r="B144" i="1"/>
  <c r="E144" i="1"/>
  <c r="F144" i="1"/>
  <c r="J144" i="1" s="1"/>
  <c r="G144" i="1"/>
  <c r="H144" i="1" s="1"/>
  <c r="I144" i="1"/>
  <c r="M144" i="1"/>
  <c r="B145" i="1"/>
  <c r="E145" i="1"/>
  <c r="F145" i="1"/>
  <c r="G145" i="1"/>
  <c r="I145" i="1"/>
  <c r="J145" i="1"/>
  <c r="M145" i="1"/>
  <c r="B146" i="1"/>
  <c r="E146" i="1"/>
  <c r="F146" i="1"/>
  <c r="H146" i="1" s="1"/>
  <c r="G146" i="1"/>
  <c r="I146" i="1"/>
  <c r="M146" i="1"/>
  <c r="B147" i="1"/>
  <c r="E147" i="1"/>
  <c r="F147" i="1"/>
  <c r="G147" i="1"/>
  <c r="I147" i="1"/>
  <c r="J147" i="1"/>
  <c r="M147" i="1"/>
  <c r="B148" i="1"/>
  <c r="E148" i="1"/>
  <c r="F148" i="1"/>
  <c r="H148" i="1" s="1"/>
  <c r="G148" i="1"/>
  <c r="I148" i="1"/>
  <c r="M148" i="1"/>
  <c r="C151" i="1"/>
  <c r="D151" i="1"/>
  <c r="K151" i="1"/>
  <c r="L151" i="1"/>
  <c r="B153" i="1"/>
  <c r="E153" i="1"/>
  <c r="F153" i="1"/>
  <c r="G153" i="1"/>
  <c r="I153" i="1"/>
  <c r="J153" i="1"/>
  <c r="M153" i="1"/>
  <c r="B154" i="1"/>
  <c r="E154" i="1"/>
  <c r="F154" i="1"/>
  <c r="J154" i="1"/>
  <c r="G154" i="1"/>
  <c r="I154" i="1"/>
  <c r="M154" i="1"/>
  <c r="B155" i="1"/>
  <c r="E155" i="1"/>
  <c r="F155" i="1"/>
  <c r="J155" i="1" s="1"/>
  <c r="G155" i="1"/>
  <c r="G163" i="1" s="1"/>
  <c r="I155" i="1"/>
  <c r="M155" i="1"/>
  <c r="B156" i="1"/>
  <c r="E156" i="1"/>
  <c r="F156" i="1"/>
  <c r="J156" i="1" s="1"/>
  <c r="G156" i="1"/>
  <c r="I156" i="1"/>
  <c r="M156" i="1"/>
  <c r="B157" i="1"/>
  <c r="E157" i="1"/>
  <c r="F157" i="1"/>
  <c r="G157" i="1"/>
  <c r="H157" i="1"/>
  <c r="I157" i="1"/>
  <c r="J157" i="1"/>
  <c r="M157" i="1"/>
  <c r="B158" i="1"/>
  <c r="E158" i="1"/>
  <c r="F158" i="1"/>
  <c r="G158" i="1"/>
  <c r="I158" i="1"/>
  <c r="J158" i="1"/>
  <c r="M158" i="1"/>
  <c r="B159" i="1"/>
  <c r="E159" i="1"/>
  <c r="F159" i="1"/>
  <c r="H159" i="1" s="1"/>
  <c r="G159" i="1"/>
  <c r="I159" i="1"/>
  <c r="J159" i="1"/>
  <c r="M159" i="1"/>
  <c r="B160" i="1"/>
  <c r="E160" i="1"/>
  <c r="F160" i="1"/>
  <c r="H160" i="1" s="1"/>
  <c r="G160" i="1"/>
  <c r="I160" i="1"/>
  <c r="M160" i="1"/>
  <c r="C163" i="1"/>
  <c r="D163" i="1"/>
  <c r="F163" i="1"/>
  <c r="K163" i="1"/>
  <c r="L163" i="1"/>
  <c r="G68" i="4"/>
  <c r="H68" i="4" s="1"/>
  <c r="G104" i="4"/>
  <c r="H104" i="4" s="1"/>
  <c r="F44" i="4"/>
  <c r="G152" i="4"/>
  <c r="H152" i="4" s="1"/>
  <c r="G44" i="4"/>
  <c r="H44" i="4" s="1"/>
  <c r="G140" i="4"/>
  <c r="H140" i="4"/>
  <c r="G116" i="4"/>
  <c r="H116" i="4" s="1"/>
  <c r="F116" i="4"/>
  <c r="G164" i="4"/>
  <c r="H164" i="4"/>
  <c r="F164" i="4"/>
  <c r="F140" i="4"/>
  <c r="G92" i="4"/>
  <c r="H92" i="4" s="1"/>
  <c r="F168" i="4"/>
  <c r="F152" i="4"/>
  <c r="G168" i="4"/>
  <c r="H168" i="4" s="1"/>
  <c r="F128" i="4"/>
  <c r="G128" i="4"/>
  <c r="H128" i="4"/>
  <c r="F20" i="4"/>
  <c r="C166" i="4"/>
  <c r="F80" i="4"/>
  <c r="G164" i="5"/>
  <c r="H164" i="5" s="1"/>
  <c r="G168" i="5"/>
  <c r="H168" i="5"/>
  <c r="F168" i="5"/>
  <c r="C165" i="3"/>
  <c r="F151" i="3"/>
  <c r="G43" i="3"/>
  <c r="G55" i="3"/>
  <c r="G115" i="3"/>
  <c r="G151" i="3"/>
  <c r="F115" i="3"/>
  <c r="F19" i="3"/>
  <c r="G19" i="3"/>
  <c r="G31" i="3"/>
  <c r="F31" i="3"/>
  <c r="G67" i="3"/>
  <c r="F67" i="3"/>
  <c r="G79" i="3"/>
  <c r="F79" i="3"/>
  <c r="G91" i="3"/>
  <c r="G103" i="3"/>
  <c r="G127" i="3"/>
  <c r="F127" i="3"/>
  <c r="D165" i="3"/>
  <c r="G165" i="3" s="1"/>
  <c r="F163" i="3"/>
  <c r="F167" i="3"/>
  <c r="G167" i="3"/>
  <c r="J40" i="1"/>
  <c r="H84" i="1"/>
  <c r="H129" i="1"/>
  <c r="H49" i="1"/>
  <c r="H13" i="1"/>
  <c r="H110" i="1"/>
  <c r="H111" i="1"/>
  <c r="H34" i="1"/>
  <c r="H37" i="1"/>
  <c r="H63" i="1"/>
  <c r="H156" i="1"/>
  <c r="H76" i="1"/>
  <c r="H119" i="1"/>
  <c r="H15" i="1"/>
  <c r="O15" i="2"/>
  <c r="H25" i="1"/>
  <c r="H61" i="1"/>
  <c r="H74" i="1"/>
  <c r="H87" i="1"/>
  <c r="H98" i="1"/>
  <c r="H106" i="1"/>
  <c r="H108" i="1"/>
  <c r="H134" i="1"/>
  <c r="H12" i="1"/>
  <c r="H16" i="1"/>
  <c r="E19" i="1"/>
  <c r="H28" i="1"/>
  <c r="H36" i="1"/>
  <c r="H40" i="1"/>
  <c r="H48" i="1"/>
  <c r="H81" i="1"/>
  <c r="M91" i="1"/>
  <c r="H94" i="1"/>
  <c r="H97" i="1"/>
  <c r="H109" i="1"/>
  <c r="H131" i="1"/>
  <c r="M139" i="1"/>
  <c r="H155" i="1"/>
  <c r="H23" i="1"/>
  <c r="J23" i="1"/>
  <c r="J28" i="1"/>
  <c r="H122" i="1"/>
  <c r="H46" i="1"/>
  <c r="H59" i="1"/>
  <c r="E67" i="1"/>
  <c r="H86" i="1"/>
  <c r="H124" i="1"/>
  <c r="H136" i="1"/>
  <c r="H154" i="1"/>
  <c r="H158" i="1"/>
  <c r="M167" i="1"/>
  <c r="J33" i="1"/>
  <c r="H75" i="1"/>
  <c r="E79" i="1"/>
  <c r="K44" i="2"/>
  <c r="M67" i="1"/>
  <c r="C44" i="2"/>
  <c r="O33" i="2"/>
  <c r="E151" i="1"/>
  <c r="J24" i="1"/>
  <c r="H24" i="1"/>
  <c r="H112" i="1"/>
  <c r="E31" i="1"/>
  <c r="E55" i="1"/>
  <c r="H100" i="1"/>
  <c r="E103" i="1"/>
  <c r="M103" i="1"/>
  <c r="E115" i="1"/>
  <c r="M115" i="1"/>
  <c r="H120" i="1"/>
  <c r="H145" i="1"/>
  <c r="H147" i="1"/>
  <c r="H153" i="1"/>
  <c r="M163" i="1"/>
  <c r="M31" i="1"/>
  <c r="E91" i="1"/>
  <c r="H95" i="1"/>
  <c r="E163" i="1"/>
  <c r="H9" i="1"/>
  <c r="I31" i="1"/>
  <c r="I67" i="1"/>
  <c r="I91" i="1"/>
  <c r="I103" i="1"/>
  <c r="J103" i="1"/>
  <c r="H105" i="1"/>
  <c r="I115" i="1"/>
  <c r="I139" i="1"/>
  <c r="I151" i="1"/>
  <c r="I163" i="1"/>
  <c r="F165" i="3"/>
  <c r="H67" i="1" l="1"/>
  <c r="J67" i="1"/>
  <c r="H127" i="1"/>
  <c r="J43" i="1"/>
  <c r="H43" i="1"/>
  <c r="J127" i="1"/>
  <c r="J167" i="1"/>
  <c r="H167" i="1"/>
  <c r="L165" i="1"/>
  <c r="J151" i="1"/>
  <c r="H55" i="1"/>
  <c r="J55" i="1"/>
  <c r="G166" i="4"/>
  <c r="H166" i="4" s="1"/>
  <c r="J31" i="1"/>
  <c r="G166" i="5"/>
  <c r="H166" i="5" s="1"/>
  <c r="F166" i="5"/>
  <c r="H50" i="1"/>
  <c r="I44" i="2"/>
  <c r="M43" i="1"/>
  <c r="E166" i="4"/>
  <c r="F166" i="4" s="1"/>
  <c r="J160" i="1"/>
  <c r="F151" i="1"/>
  <c r="H151" i="1" s="1"/>
  <c r="F79" i="1"/>
  <c r="H57" i="1"/>
  <c r="G103" i="1"/>
  <c r="H103" i="1" s="1"/>
  <c r="F139" i="1"/>
  <c r="H22" i="1"/>
  <c r="F164" i="5"/>
  <c r="O37" i="2"/>
  <c r="O44" i="2" s="1"/>
  <c r="J17" i="1"/>
  <c r="H53" i="1"/>
  <c r="J137" i="1"/>
  <c r="F115" i="1"/>
  <c r="E127" i="1"/>
  <c r="K165" i="1"/>
  <c r="O10" i="2"/>
  <c r="J85" i="1"/>
  <c r="J77" i="1"/>
  <c r="G167" i="1"/>
  <c r="M151" i="1"/>
  <c r="H35" i="1"/>
  <c r="D23" i="2"/>
  <c r="G56" i="4"/>
  <c r="H56" i="4" s="1"/>
  <c r="F91" i="1"/>
  <c r="J41" i="1"/>
  <c r="J35" i="1"/>
  <c r="J148" i="1"/>
  <c r="J50" i="1"/>
  <c r="H17" i="1"/>
  <c r="E167" i="1"/>
  <c r="O13" i="2"/>
  <c r="J14" i="1"/>
  <c r="E43" i="1"/>
  <c r="J19" i="1"/>
  <c r="H33" i="1"/>
  <c r="M79" i="1"/>
  <c r="H132" i="1"/>
  <c r="F92" i="4"/>
  <c r="H163" i="1"/>
  <c r="L55" i="1"/>
  <c r="M55" i="1" s="1"/>
  <c r="J65" i="1"/>
  <c r="J125" i="1"/>
  <c r="I127" i="1"/>
  <c r="G139" i="1"/>
  <c r="B44" i="2"/>
  <c r="J163" i="1"/>
  <c r="I19" i="1"/>
  <c r="G31" i="1"/>
  <c r="H31" i="1" s="1"/>
  <c r="J146" i="1"/>
  <c r="J26" i="1"/>
  <c r="G32" i="4"/>
  <c r="H32" i="4" s="1"/>
  <c r="J9" i="1"/>
  <c r="M127" i="1"/>
  <c r="H82" i="1"/>
  <c r="J118" i="1"/>
  <c r="H91" i="1" l="1"/>
  <c r="J91" i="1"/>
  <c r="F165" i="1"/>
  <c r="O23" i="2"/>
  <c r="M165" i="1"/>
  <c r="I165" i="1"/>
  <c r="J165" i="1"/>
  <c r="H79" i="1"/>
  <c r="J79" i="1"/>
  <c r="G165" i="1"/>
  <c r="H139" i="1"/>
  <c r="J139" i="1"/>
  <c r="H115" i="1"/>
  <c r="J115" i="1"/>
  <c r="H165" i="1" l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<sst xmlns="http://schemas.openxmlformats.org/spreadsheetml/2006/main" count="241" uniqueCount="79">
  <si>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</si>
  <si>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</si>
  <si>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</si>
  <si>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</si>
  <si>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</si>
  <si>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</si>
  <si>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</si>
  <si>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</si>
  <si>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</si>
  <si>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</si>
  <si>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</si>
  <si>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</si>
  <si>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</si>
  <si>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</si>
  <si>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</si>
  <si>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</si>
  <si>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</si>
  <si>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</si>
  <si>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</si>
  <si>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</si>
  <si>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</si>
  <si>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</si>
  <si>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</si>
  <si>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</si>
  <si>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</si>
  <si>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</si>
  <si>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</si>
  <si>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</si>
  <si>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</si>
  <si>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</si>
  <si>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</si>
  <si>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</si>
  <si>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</si>
  <si>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</si>
  <si>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</si>
  <si>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</si>
  <si>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</si>
  <si>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</si>
  <si>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</si>
  <si>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</si>
  <si>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</si>
  <si>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</si>
  <si>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</si>
  <si>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</si>
  <si>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</si>
  <si>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</si>
  <si>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</si>
  <si>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</si>
  <si>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</si>
  <si>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</si>
  <si>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</si>
  <si>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</si>
  <si>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</si>
  <si>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</si>
  <si>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</si>
  <si>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</si>
  <si>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</si>
  <si>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</si>
  <si>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</si>
  <si>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</si>
  <si>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</si>
  <si>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</si>
  <si>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</si>
  <si>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</si>
  <si>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</si>
  <si>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</si>
  <si>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</si>
  <si>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</si>
  <si>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</si>
  <si>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</si>
  <si>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</si>
  <si>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2026 YTD ADMISSIONS, PATRONS AND AGR SUMMARY </t>
  </si>
  <si>
    <t>MONTH ENDED:  MARCH 31, 2026</t>
  </si>
  <si>
    <t>(as reported on the tax remittal database dtd 4/9/26)</t>
  </si>
  <si>
    <t>FOR THE MONTH ENDED:   MARCH 31, 2026</t>
  </si>
  <si>
    <t>THRU MONTH ENDED:   MARCH 31, 2026</t>
  </si>
  <si>
    <t>(as reported on the tax remittal database as of 4/9/26)</t>
  </si>
  <si>
    <t>THRU MONTH ENDED:    MARCH 31, 2026</t>
  </si>
  <si>
    <t>THRU MONTH ENDED:    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</si>
</sst>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439"/>
  <sheetViews>
    <sheetView tabSelected="1" showOutlineSymbols="0" zoomScaleNormal="100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72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73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DATE(2025,7,1)</f>
        <v>45839</v>
      </c>
      <c r="C9" s="21">
        <v>180280</v>
      </c>
      <c r="D9" s="21">
        <v>182873</v>
      </c>
      <c r="E9" s="22">
        <f t="shared" ref="E9:E17" si="0">(+C9-D9)/D9</f>
        <v>-1.4179239144105472E-2</v>
      </c>
      <c r="F9" s="21">
        <f>+C9-86141</f>
        <v>94139</v>
      </c>
      <c r="G9" s="21">
        <f>+D9-86094</f>
        <v>96779</v>
      </c>
      <c r="H9" s="22">
        <f t="shared" ref="H9:H17" si="1">(+F9-G9)/G9</f>
        <v>-2.7278645160623689E-2</v>
      </c>
      <c r="I9" s="23">
        <f t="shared" ref="I9:I17" si="2">K9/C9</f>
        <v>75.772670401597509</v>
      </c>
      <c r="J9" s="23">
        <f t="shared" ref="J9:J17" si="3">K9/F9</f>
        <v>145.10773452023071</v>
      </c>
      <c r="K9" s="21">
        <v>13660297.02</v>
      </c>
      <c r="L9" s="21">
        <v>13370133.560000001</v>
      </c>
      <c r="M9" s="24">
        <f t="shared" ref="M9:M17" si="4">(+K9-L9)/L9</f>
        <v>2.1702360615760297E-2</v>
      </c>
      <c r="N9" s="10"/>
      <c r="R9" s="2"/>
    </row>
    <row r="10" spans="1:18" ht="15.75" x14ac:dyDescent="0.25">
      <c r="A10" s="19"/>
      <c r="B10" s="20">
        <f>DATE(2025,8,1)</f>
        <v>45870</v>
      </c>
      <c r="C10" s="21">
        <v>189582</v>
      </c>
      <c r="D10" s="21">
        <v>193595</v>
      </c>
      <c r="E10" s="22">
        <f t="shared" si="0"/>
        <v>-2.0728841137426068E-2</v>
      </c>
      <c r="F10" s="21">
        <f>+C10-90399</f>
        <v>99183</v>
      </c>
      <c r="G10" s="21">
        <f>+D10-91892</f>
        <v>101703</v>
      </c>
      <c r="H10" s="22">
        <f t="shared" si="1"/>
        <v>-2.4778030146603344E-2</v>
      </c>
      <c r="I10" s="23">
        <f t="shared" si="2"/>
        <v>78.115140519669595</v>
      </c>
      <c r="J10" s="23">
        <f t="shared" si="3"/>
        <v>149.31212576752066</v>
      </c>
      <c r="K10" s="21">
        <v>14809224.57</v>
      </c>
      <c r="L10" s="21">
        <v>13993160.5</v>
      </c>
      <c r="M10" s="24">
        <f t="shared" si="4"/>
        <v>5.8318781521872795E-2</v>
      </c>
      <c r="N10" s="10"/>
      <c r="R10" s="2"/>
    </row>
    <row r="11" spans="1:18" ht="15.75" x14ac:dyDescent="0.25">
      <c r="A11" s="19"/>
      <c r="B11" s="20">
        <f>DATE(2025,9,1)</f>
        <v>45901</v>
      </c>
      <c r="C11" s="21">
        <v>160329</v>
      </c>
      <c r="D11" s="21">
        <v>175693</v>
      </c>
      <c r="E11" s="22">
        <f t="shared" si="0"/>
        <v>-8.7447991667283273E-2</v>
      </c>
      <c r="F11" s="21">
        <f>+C11-75298</f>
        <v>85031</v>
      </c>
      <c r="G11" s="21">
        <f>+D11-81570</f>
        <v>94123</v>
      </c>
      <c r="H11" s="22">
        <f t="shared" si="1"/>
        <v>-9.6597006045281181E-2</v>
      </c>
      <c r="I11" s="23">
        <f t="shared" si="2"/>
        <v>75.439092303950005</v>
      </c>
      <c r="J11" s="23">
        <f t="shared" si="3"/>
        <v>142.24311404076161</v>
      </c>
      <c r="K11" s="21">
        <v>12095074.23</v>
      </c>
      <c r="L11" s="21">
        <v>12504940.25</v>
      </c>
      <c r="M11" s="24">
        <f t="shared" si="4"/>
        <v>-3.2776327739750657E-2</v>
      </c>
      <c r="N11" s="10"/>
      <c r="R11" s="2"/>
    </row>
    <row r="12" spans="1:18" ht="15.75" x14ac:dyDescent="0.25">
      <c r="A12" s="19"/>
      <c r="B12" s="20">
        <f>DATE(2025,10,1)</f>
        <v>45931</v>
      </c>
      <c r="C12" s="21">
        <v>170956</v>
      </c>
      <c r="D12" s="21">
        <v>169905</v>
      </c>
      <c r="E12" s="22">
        <f t="shared" si="0"/>
        <v>6.1858097171949029E-3</v>
      </c>
      <c r="F12" s="21">
        <f>+C12-81592</f>
        <v>89364</v>
      </c>
      <c r="G12" s="21">
        <f>+D12-79197</f>
        <v>90708</v>
      </c>
      <c r="H12" s="22">
        <f t="shared" si="1"/>
        <v>-1.4816774705648895E-2</v>
      </c>
      <c r="I12" s="23">
        <f t="shared" si="2"/>
        <v>77.714595626944941</v>
      </c>
      <c r="J12" s="23">
        <f t="shared" si="3"/>
        <v>148.67034163645317</v>
      </c>
      <c r="K12" s="21">
        <v>13285776.41</v>
      </c>
      <c r="L12" s="21">
        <v>12397438.83</v>
      </c>
      <c r="M12" s="24">
        <f t="shared" si="4"/>
        <v>7.165492745568966E-2</v>
      </c>
      <c r="N12" s="10"/>
      <c r="R12" s="2"/>
    </row>
    <row r="13" spans="1:18" ht="15.75" x14ac:dyDescent="0.25">
      <c r="A13" s="19"/>
      <c r="B13" s="20">
        <f>DATE(2025,11,1)</f>
        <v>45962</v>
      </c>
      <c r="C13" s="21">
        <v>168263</v>
      </c>
      <c r="D13" s="21">
        <v>184234</v>
      </c>
      <c r="E13" s="22">
        <f t="shared" si="0"/>
        <v>-8.668866767263371E-2</v>
      </c>
      <c r="F13" s="21">
        <f>+C13-79739</f>
        <v>88524</v>
      </c>
      <c r="G13" s="21">
        <f>+D13-88163</f>
        <v>96071</v>
      </c>
      <c r="H13" s="22">
        <f t="shared" si="1"/>
        <v>-7.8556484266844306E-2</v>
      </c>
      <c r="I13" s="23">
        <f t="shared" si="2"/>
        <v>78.699185560699618</v>
      </c>
      <c r="J13" s="23">
        <f t="shared" si="3"/>
        <v>149.58837219285166</v>
      </c>
      <c r="K13" s="21">
        <v>13242161.060000001</v>
      </c>
      <c r="L13" s="21">
        <v>13614631.85</v>
      </c>
      <c r="M13" s="24">
        <f t="shared" si="4"/>
        <v>-2.735812426687095E-2</v>
      </c>
      <c r="N13" s="10"/>
      <c r="R13" s="2"/>
    </row>
    <row r="14" spans="1:18" ht="15.75" x14ac:dyDescent="0.25">
      <c r="A14" s="19"/>
      <c r="B14" s="20">
        <f>DATE(2025,12,1)</f>
        <v>45992</v>
      </c>
      <c r="C14" s="21">
        <v>192820</v>
      </c>
      <c r="D14" s="21">
        <v>195892</v>
      </c>
      <c r="E14" s="22">
        <f t="shared" si="0"/>
        <v>-1.5682110550711618E-2</v>
      </c>
      <c r="F14" s="21">
        <f>+C14-93180</f>
        <v>99640</v>
      </c>
      <c r="G14" s="21">
        <f>+D14-94115</f>
        <v>101777</v>
      </c>
      <c r="H14" s="22">
        <f t="shared" si="1"/>
        <v>-2.099688534737711E-2</v>
      </c>
      <c r="I14" s="23">
        <f t="shared" si="2"/>
        <v>73.145365366663214</v>
      </c>
      <c r="J14" s="23">
        <f t="shared" si="3"/>
        <v>141.54846798474509</v>
      </c>
      <c r="K14" s="21">
        <v>14103889.35</v>
      </c>
      <c r="L14" s="21">
        <v>13872436.279999999</v>
      </c>
      <c r="M14" s="24">
        <f t="shared" si="4"/>
        <v>1.6684385159778173E-2</v>
      </c>
      <c r="N14" s="10"/>
      <c r="R14" s="2"/>
    </row>
    <row r="15" spans="1:18" ht="15.75" x14ac:dyDescent="0.25">
      <c r="A15" s="19"/>
      <c r="B15" s="20">
        <f>DATE(2026,1,1)</f>
        <v>46023</v>
      </c>
      <c r="C15" s="21">
        <v>176229</v>
      </c>
      <c r="D15" s="21">
        <v>165594</v>
      </c>
      <c r="E15" s="22">
        <f t="shared" si="0"/>
        <v>6.4223341425413971E-2</v>
      </c>
      <c r="F15" s="21">
        <f>+C15-85892</f>
        <v>90337</v>
      </c>
      <c r="G15" s="21">
        <f>+D15-80237</f>
        <v>85357</v>
      </c>
      <c r="H15" s="22">
        <f t="shared" si="1"/>
        <v>5.834319387982239E-2</v>
      </c>
      <c r="I15" s="23">
        <f t="shared" si="2"/>
        <v>79.713135409041655</v>
      </c>
      <c r="J15" s="23">
        <f t="shared" si="3"/>
        <v>155.5040143020025</v>
      </c>
      <c r="K15" s="21">
        <v>14047766.140000001</v>
      </c>
      <c r="L15" s="21">
        <v>12590432.300000001</v>
      </c>
      <c r="M15" s="24">
        <f t="shared" si="4"/>
        <v>0.11574930910037139</v>
      </c>
      <c r="N15" s="10"/>
      <c r="R15" s="2"/>
    </row>
    <row r="16" spans="1:18" ht="15.75" x14ac:dyDescent="0.25">
      <c r="A16" s="19"/>
      <c r="B16" s="20">
        <f>DATE(2026,2,1)</f>
        <v>46054</v>
      </c>
      <c r="C16" s="21">
        <v>179970</v>
      </c>
      <c r="D16" s="21">
        <v>167931</v>
      </c>
      <c r="E16" s="22">
        <f t="shared" si="0"/>
        <v>7.169015845793808E-2</v>
      </c>
      <c r="F16" s="21">
        <f>+C16-87262</f>
        <v>92708</v>
      </c>
      <c r="G16" s="21">
        <f>+D16-81960</f>
        <v>85971</v>
      </c>
      <c r="H16" s="22">
        <f t="shared" si="1"/>
        <v>7.8363634248758307E-2</v>
      </c>
      <c r="I16" s="23">
        <f t="shared" si="2"/>
        <v>76.866294604656332</v>
      </c>
      <c r="J16" s="23">
        <f t="shared" si="3"/>
        <v>149.21718772921429</v>
      </c>
      <c r="K16" s="21">
        <v>13833627.039999999</v>
      </c>
      <c r="L16" s="21">
        <v>11868208.76</v>
      </c>
      <c r="M16" s="24">
        <f t="shared" si="4"/>
        <v>0.16560361548611649</v>
      </c>
      <c r="N16" s="10"/>
      <c r="R16" s="2"/>
    </row>
    <row r="17" spans="1:18" ht="15.75" x14ac:dyDescent="0.25">
      <c r="A17" s="19"/>
      <c r="B17" s="20">
        <f>DATE(2026,3,1)</f>
        <v>46082</v>
      </c>
      <c r="C17" s="21">
        <v>189538</v>
      </c>
      <c r="D17" s="21">
        <v>199422</v>
      </c>
      <c r="E17" s="22">
        <f t="shared" si="0"/>
        <v>-4.9563237757118073E-2</v>
      </c>
      <c r="F17" s="21">
        <f>+C17-91076</f>
        <v>98462</v>
      </c>
      <c r="G17" s="21">
        <f>+D17-97405</f>
        <v>102017</v>
      </c>
      <c r="H17" s="22">
        <f t="shared" si="1"/>
        <v>-3.4847133320917101E-2</v>
      </c>
      <c r="I17" s="23">
        <f t="shared" si="2"/>
        <v>75.94239413732339</v>
      </c>
      <c r="J17" s="23">
        <f t="shared" si="3"/>
        <v>146.18806747780869</v>
      </c>
      <c r="K17" s="21">
        <v>14393969.5</v>
      </c>
      <c r="L17" s="21">
        <v>15407448.119999999</v>
      </c>
      <c r="M17" s="24">
        <f t="shared" si="4"/>
        <v>-6.5778486619366222E-2</v>
      </c>
      <c r="N17" s="10"/>
      <c r="R17" s="2"/>
    </row>
    <row r="18" spans="1:18" ht="15.75" customHeight="1" thickBot="1" x14ac:dyDescent="0.3">
      <c r="A18" s="19"/>
      <c r="B18" s="20"/>
      <c r="C18" s="21"/>
      <c r="D18" s="21"/>
      <c r="E18" s="22"/>
      <c r="F18" s="21"/>
      <c r="G18" s="21"/>
      <c r="H18" s="22"/>
      <c r="I18" s="23"/>
      <c r="J18" s="23"/>
      <c r="K18" s="21"/>
      <c r="L18" s="21"/>
      <c r="M18" s="24"/>
      <c r="N18" s="10"/>
      <c r="R18" s="2"/>
    </row>
    <row r="19" spans="1:18" ht="17.25" thickTop="1" thickBot="1" x14ac:dyDescent="0.3">
      <c r="A19" s="25" t="s">
        <v>14</v>
      </c>
      <c r="B19" s="26"/>
      <c r="C19" s="27">
        <f>SUM(C9:C18)</f>
        <v>1607967</v>
      </c>
      <c r="D19" s="27">
        <f>SUM(D9:D18)</f>
        <v>1635139</v>
      </c>
      <c r="E19" s="278">
        <f>(+C19-D19)/D19</f>
        <v>-1.6617547499019961E-2</v>
      </c>
      <c r="F19" s="27">
        <f>SUM(F9:F18)</f>
        <v>837388</v>
      </c>
      <c r="G19" s="27">
        <f>SUM(G9:G18)</f>
        <v>854506</v>
      </c>
      <c r="H19" s="29">
        <f>(+F19-G19)/G19</f>
        <v>-2.0032627038312194E-2</v>
      </c>
      <c r="I19" s="30">
        <f>K19/C19</f>
        <v>76.787512007398163</v>
      </c>
      <c r="J19" s="30">
        <f>K19/F19</f>
        <v>147.44871591185924</v>
      </c>
      <c r="K19" s="27">
        <f>SUM(K9:K18)</f>
        <v>123471785.31999999</v>
      </c>
      <c r="L19" s="27">
        <f>SUM(L9:L18)</f>
        <v>119618830.45</v>
      </c>
      <c r="M19" s="31">
        <f>(+K19-L19)/L19</f>
        <v>3.2210270368848853E-2</v>
      </c>
      <c r="N19" s="10"/>
      <c r="R19" s="2"/>
    </row>
    <row r="20" spans="1:18" ht="15.75" customHeight="1" thickTop="1" x14ac:dyDescent="0.25">
      <c r="A20" s="15"/>
      <c r="B20" s="16"/>
      <c r="C20" s="16"/>
      <c r="D20" s="16"/>
      <c r="E20" s="17"/>
      <c r="F20" s="16"/>
      <c r="G20" s="16"/>
      <c r="H20" s="17"/>
      <c r="I20" s="16"/>
      <c r="J20" s="16"/>
      <c r="K20" s="194"/>
      <c r="L20" s="194"/>
      <c r="M20" s="18"/>
      <c r="N20" s="10"/>
      <c r="R20" s="2"/>
    </row>
    <row r="21" spans="1:18" ht="15.75" x14ac:dyDescent="0.25">
      <c r="A21" s="19" t="s">
        <v>15</v>
      </c>
      <c r="B21" s="20">
        <f>DATE(2025,7,1)</f>
        <v>45839</v>
      </c>
      <c r="C21" s="21">
        <v>107305</v>
      </c>
      <c r="D21" s="21">
        <v>94277</v>
      </c>
      <c r="E21" s="22">
        <f t="shared" ref="E21:E29" si="5">(+C21-D21)/D21</f>
        <v>0.13818852954591257</v>
      </c>
      <c r="F21" s="21">
        <f>+C21-51168</f>
        <v>56137</v>
      </c>
      <c r="G21" s="21">
        <f>+D21-44772</f>
        <v>49505</v>
      </c>
      <c r="H21" s="22">
        <f t="shared" ref="H21:H29" si="6">(+F21-G21)/G21</f>
        <v>0.13396626603373396</v>
      </c>
      <c r="I21" s="23">
        <f t="shared" ref="I21:I29" si="7">K21/C21</f>
        <v>77.914331298634735</v>
      </c>
      <c r="J21" s="23">
        <f t="shared" ref="J21:J29" si="8">K21/F21</f>
        <v>148.93202914298948</v>
      </c>
      <c r="K21" s="21">
        <v>8360597.3200000003</v>
      </c>
      <c r="L21" s="21">
        <v>6681618.7599999998</v>
      </c>
      <c r="M21" s="24">
        <f t="shared" ref="M21:M29" si="9">(+K21-L21)/L21</f>
        <v>0.25128320251543362</v>
      </c>
      <c r="N21" s="10"/>
      <c r="R21" s="2"/>
    </row>
    <row r="22" spans="1:18" ht="15.75" x14ac:dyDescent="0.25">
      <c r="A22" s="19"/>
      <c r="B22" s="20">
        <f>DATE(2025,8,1)</f>
        <v>45870</v>
      </c>
      <c r="C22" s="21">
        <v>110037</v>
      </c>
      <c r="D22" s="21">
        <v>95698</v>
      </c>
      <c r="E22" s="22">
        <f t="shared" si="5"/>
        <v>0.14983594223494745</v>
      </c>
      <c r="F22" s="21">
        <f>+C22-52170</f>
        <v>57867</v>
      </c>
      <c r="G22" s="21">
        <f>+D22-45591</f>
        <v>50107</v>
      </c>
      <c r="H22" s="22">
        <f t="shared" si="6"/>
        <v>0.15486858123615463</v>
      </c>
      <c r="I22" s="23">
        <f t="shared" si="7"/>
        <v>75.953694484582456</v>
      </c>
      <c r="J22" s="23">
        <f t="shared" si="8"/>
        <v>144.42975581937893</v>
      </c>
      <c r="K22" s="21">
        <v>8357716.6799999997</v>
      </c>
      <c r="L22" s="21">
        <v>7224866.7999999998</v>
      </c>
      <c r="M22" s="24">
        <f t="shared" si="9"/>
        <v>0.15679872188093488</v>
      </c>
      <c r="N22" s="10"/>
      <c r="R22" s="2"/>
    </row>
    <row r="23" spans="1:18" ht="15.75" x14ac:dyDescent="0.25">
      <c r="A23" s="19"/>
      <c r="B23" s="20">
        <f>DATE(2025,9,1)</f>
        <v>45901</v>
      </c>
      <c r="C23" s="21">
        <v>100100</v>
      </c>
      <c r="D23" s="21">
        <v>91160</v>
      </c>
      <c r="E23" s="22">
        <f t="shared" si="5"/>
        <v>9.8069328652917953E-2</v>
      </c>
      <c r="F23" s="21">
        <f>+C23-46239</f>
        <v>53861</v>
      </c>
      <c r="G23" s="21">
        <f>+D23-43108</f>
        <v>48052</v>
      </c>
      <c r="H23" s="22">
        <f t="shared" si="6"/>
        <v>0.1208898693082494</v>
      </c>
      <c r="I23" s="23">
        <f t="shared" si="7"/>
        <v>79.124169630369636</v>
      </c>
      <c r="J23" s="23">
        <f t="shared" si="8"/>
        <v>147.0512872022428</v>
      </c>
      <c r="K23" s="21">
        <v>7920329.3799999999</v>
      </c>
      <c r="L23" s="21">
        <v>6820970.8499999996</v>
      </c>
      <c r="M23" s="24">
        <f t="shared" si="9"/>
        <v>0.16117332182998559</v>
      </c>
      <c r="N23" s="10"/>
      <c r="R23" s="2"/>
    </row>
    <row r="24" spans="1:18" ht="15.75" x14ac:dyDescent="0.25">
      <c r="A24" s="19"/>
      <c r="B24" s="20">
        <f>DATE(2025,10,1)</f>
        <v>45931</v>
      </c>
      <c r="C24" s="21">
        <v>104034</v>
      </c>
      <c r="D24" s="21">
        <v>92138</v>
      </c>
      <c r="E24" s="22">
        <f t="shared" si="5"/>
        <v>0.12911068180338189</v>
      </c>
      <c r="F24" s="21">
        <f>+C24-48960</f>
        <v>55074</v>
      </c>
      <c r="G24" s="21">
        <f>+D24-42815</f>
        <v>49323</v>
      </c>
      <c r="H24" s="22">
        <f t="shared" si="6"/>
        <v>0.11659874703485189</v>
      </c>
      <c r="I24" s="23">
        <f t="shared" si="7"/>
        <v>76.030170905665457</v>
      </c>
      <c r="J24" s="23">
        <f t="shared" si="8"/>
        <v>143.61990776046773</v>
      </c>
      <c r="K24" s="21">
        <v>7909722.7999999998</v>
      </c>
      <c r="L24" s="21">
        <v>6568817.1600000001</v>
      </c>
      <c r="M24" s="24">
        <f t="shared" si="9"/>
        <v>0.20413197800134836</v>
      </c>
      <c r="N24" s="10"/>
      <c r="R24" s="2"/>
    </row>
    <row r="25" spans="1:18" ht="15.75" x14ac:dyDescent="0.25">
      <c r="A25" s="19"/>
      <c r="B25" s="20">
        <f>DATE(2025,11,1)</f>
        <v>45962</v>
      </c>
      <c r="C25" s="21">
        <v>98052</v>
      </c>
      <c r="D25" s="21">
        <v>92599</v>
      </c>
      <c r="E25" s="22">
        <f t="shared" si="5"/>
        <v>5.8888324927914987E-2</v>
      </c>
      <c r="F25" s="21">
        <f>+C25-46499</f>
        <v>51553</v>
      </c>
      <c r="G25" s="21">
        <f>+D25-45193</f>
        <v>47406</v>
      </c>
      <c r="H25" s="22">
        <f t="shared" si="6"/>
        <v>8.7478378264354728E-2</v>
      </c>
      <c r="I25" s="23">
        <f t="shared" si="7"/>
        <v>77.338289071105123</v>
      </c>
      <c r="J25" s="23">
        <f t="shared" si="8"/>
        <v>147.09471650534402</v>
      </c>
      <c r="K25" s="21">
        <v>7583173.9199999999</v>
      </c>
      <c r="L25" s="21">
        <v>7336177.1699999999</v>
      </c>
      <c r="M25" s="24">
        <f t="shared" si="9"/>
        <v>3.3668318563794992E-2</v>
      </c>
      <c r="N25" s="10"/>
      <c r="R25" s="2"/>
    </row>
    <row r="26" spans="1:18" ht="15.75" x14ac:dyDescent="0.25">
      <c r="A26" s="19"/>
      <c r="B26" s="20">
        <f>DATE(2025,12,1)</f>
        <v>45992</v>
      </c>
      <c r="C26" s="21">
        <v>98906</v>
      </c>
      <c r="D26" s="21">
        <v>96752</v>
      </c>
      <c r="E26" s="22">
        <f t="shared" si="5"/>
        <v>2.2263105672234166E-2</v>
      </c>
      <c r="F26" s="21">
        <f>+C26-48203</f>
        <v>50703</v>
      </c>
      <c r="G26" s="21">
        <f>+D26-47637</f>
        <v>49115</v>
      </c>
      <c r="H26" s="22">
        <f t="shared" si="6"/>
        <v>3.2332281380433675E-2</v>
      </c>
      <c r="I26" s="23">
        <f t="shared" si="7"/>
        <v>78.630538389986455</v>
      </c>
      <c r="J26" s="23">
        <f t="shared" si="8"/>
        <v>153.38406070646707</v>
      </c>
      <c r="K26" s="21">
        <v>7777032.0300000003</v>
      </c>
      <c r="L26" s="21">
        <v>7359301.0700000003</v>
      </c>
      <c r="M26" s="24">
        <f t="shared" si="9"/>
        <v>5.6762314250584117E-2</v>
      </c>
      <c r="N26" s="10"/>
      <c r="R26" s="2"/>
    </row>
    <row r="27" spans="1:18" ht="15.75" x14ac:dyDescent="0.25">
      <c r="A27" s="19"/>
      <c r="B27" s="20">
        <f>DATE(2026,1,1)</f>
        <v>46023</v>
      </c>
      <c r="C27" s="21">
        <v>88769</v>
      </c>
      <c r="D27" s="21">
        <v>80878</v>
      </c>
      <c r="E27" s="22">
        <f t="shared" si="5"/>
        <v>9.7566705408145604E-2</v>
      </c>
      <c r="F27" s="21">
        <f>+C27-44339</f>
        <v>44430</v>
      </c>
      <c r="G27" s="21">
        <f>+D27-40002</f>
        <v>40876</v>
      </c>
      <c r="H27" s="22">
        <f t="shared" si="6"/>
        <v>8.6945885115960464E-2</v>
      </c>
      <c r="I27" s="23">
        <f t="shared" si="7"/>
        <v>81.643635278081319</v>
      </c>
      <c r="J27" s="23">
        <f t="shared" si="8"/>
        <v>163.12005086653164</v>
      </c>
      <c r="K27" s="21">
        <v>7247423.8600000003</v>
      </c>
      <c r="L27" s="21">
        <v>5945675.25</v>
      </c>
      <c r="M27" s="24">
        <f t="shared" si="9"/>
        <v>0.21894041555666874</v>
      </c>
      <c r="N27" s="10"/>
      <c r="R27" s="2"/>
    </row>
    <row r="28" spans="1:18" ht="15.75" x14ac:dyDescent="0.25">
      <c r="A28" s="19"/>
      <c r="B28" s="20">
        <f>DATE(2026,2,1)</f>
        <v>46054</v>
      </c>
      <c r="C28" s="21">
        <v>100199</v>
      </c>
      <c r="D28" s="21">
        <v>86445</v>
      </c>
      <c r="E28" s="22">
        <f t="shared" si="5"/>
        <v>0.15910694661345365</v>
      </c>
      <c r="F28" s="21">
        <f>+C28-49146</f>
        <v>51053</v>
      </c>
      <c r="G28" s="21">
        <f>+D28-42006</f>
        <v>44439</v>
      </c>
      <c r="H28" s="22">
        <f t="shared" si="6"/>
        <v>0.14883323207092869</v>
      </c>
      <c r="I28" s="23">
        <f t="shared" si="7"/>
        <v>78.315331390532833</v>
      </c>
      <c r="J28" s="23">
        <f t="shared" si="8"/>
        <v>153.70532368323114</v>
      </c>
      <c r="K28" s="21">
        <v>7847117.8899999997</v>
      </c>
      <c r="L28" s="21">
        <v>6804310.5700000003</v>
      </c>
      <c r="M28" s="24">
        <f t="shared" si="9"/>
        <v>0.15325686699218366</v>
      </c>
      <c r="N28" s="10"/>
      <c r="R28" s="2"/>
    </row>
    <row r="29" spans="1:18" ht="15.75" x14ac:dyDescent="0.25">
      <c r="A29" s="19"/>
      <c r="B29" s="20">
        <f>DATE(2026,3,1)</f>
        <v>46082</v>
      </c>
      <c r="C29" s="21">
        <v>98439</v>
      </c>
      <c r="D29" s="21">
        <v>105762</v>
      </c>
      <c r="E29" s="22">
        <f t="shared" si="5"/>
        <v>-6.9240369887105011E-2</v>
      </c>
      <c r="F29" s="21">
        <f>+C29-48312</f>
        <v>50127</v>
      </c>
      <c r="G29" s="21">
        <f>+D29-52062</f>
        <v>53700</v>
      </c>
      <c r="H29" s="22">
        <f t="shared" si="6"/>
        <v>-6.6536312849162005E-2</v>
      </c>
      <c r="I29" s="23">
        <f t="shared" si="7"/>
        <v>86.471835146639037</v>
      </c>
      <c r="J29" s="23">
        <f t="shared" si="8"/>
        <v>169.81269535380136</v>
      </c>
      <c r="K29" s="21">
        <v>8512200.9800000004</v>
      </c>
      <c r="L29" s="21">
        <v>8029841.2699999996</v>
      </c>
      <c r="M29" s="24">
        <f t="shared" si="9"/>
        <v>6.0070889794811712E-2</v>
      </c>
      <c r="N29" s="10"/>
      <c r="R29" s="2"/>
    </row>
    <row r="30" spans="1:18" ht="15.75" customHeight="1" thickBot="1" x14ac:dyDescent="0.3">
      <c r="A30" s="19"/>
      <c r="B30" s="20"/>
      <c r="C30" s="21"/>
      <c r="D30" s="21"/>
      <c r="E30" s="22"/>
      <c r="F30" s="21"/>
      <c r="G30" s="21"/>
      <c r="H30" s="22"/>
      <c r="I30" s="23"/>
      <c r="J30" s="23"/>
      <c r="K30" s="21"/>
      <c r="L30" s="21"/>
      <c r="M30" s="24"/>
      <c r="N30" s="10"/>
      <c r="R30" s="2"/>
    </row>
    <row r="31" spans="1:18" ht="17.25" customHeight="1" thickTop="1" thickBot="1" x14ac:dyDescent="0.3">
      <c r="A31" s="25" t="s">
        <v>14</v>
      </c>
      <c r="B31" s="26"/>
      <c r="C31" s="27">
        <f>SUM(C21:C30)</f>
        <v>905841</v>
      </c>
      <c r="D31" s="27">
        <f>SUM(D21:D30)</f>
        <v>835709</v>
      </c>
      <c r="E31" s="278">
        <f>(+C31-D31)/D31</f>
        <v>8.3919163249408582E-2</v>
      </c>
      <c r="F31" s="27">
        <f>SUM(F21:F30)</f>
        <v>470805</v>
      </c>
      <c r="G31" s="27">
        <f>SUM(G21:G30)</f>
        <v>432523</v>
      </c>
      <c r="H31" s="29">
        <f>(+F31-G31)/G31</f>
        <v>8.8508587982604386E-2</v>
      </c>
      <c r="I31" s="30">
        <f>K31/C31</f>
        <v>78.949081417158197</v>
      </c>
      <c r="J31" s="30">
        <f>K31/F31</f>
        <v>151.90007510540457</v>
      </c>
      <c r="K31" s="27">
        <f>SUM(K21:K30)</f>
        <v>71515314.859999999</v>
      </c>
      <c r="L31" s="27">
        <f>SUM(L21:L30)</f>
        <v>62771578.899999991</v>
      </c>
      <c r="M31" s="31">
        <f>(+K31-L31)/L31</f>
        <v>0.13929450418842354</v>
      </c>
      <c r="N31" s="10"/>
      <c r="R31" s="2"/>
    </row>
    <row r="32" spans="1:18" ht="15.75" customHeight="1" thickTop="1" x14ac:dyDescent="0.25">
      <c r="A32" s="32"/>
      <c r="B32" s="33"/>
      <c r="C32" s="34"/>
      <c r="D32" s="34"/>
      <c r="E32" s="28"/>
      <c r="F32" s="34"/>
      <c r="G32" s="34"/>
      <c r="H32" s="28"/>
      <c r="I32" s="35"/>
      <c r="J32" s="35"/>
      <c r="K32" s="34"/>
      <c r="L32" s="34"/>
      <c r="M32" s="36"/>
      <c r="N32" s="10"/>
      <c r="R32" s="2"/>
    </row>
    <row r="33" spans="1:18" ht="15.75" customHeight="1" x14ac:dyDescent="0.25">
      <c r="A33" s="19" t="s">
        <v>62</v>
      </c>
      <c r="B33" s="20">
        <f>DATE(2025,7,1)</f>
        <v>45839</v>
      </c>
      <c r="C33" s="21">
        <v>72536</v>
      </c>
      <c r="D33" s="21">
        <v>53756</v>
      </c>
      <c r="E33" s="22">
        <f t="shared" ref="E33:E41" si="10">(+C33-D33)/D33</f>
        <v>0.34935635091896716</v>
      </c>
      <c r="F33" s="21">
        <f>+C33-42110</f>
        <v>30426</v>
      </c>
      <c r="G33" s="21">
        <f>+D33-27520</f>
        <v>26236</v>
      </c>
      <c r="H33" s="22">
        <f t="shared" ref="H33:H41" si="11">(+F33-G33)/G33</f>
        <v>0.15970422320475683</v>
      </c>
      <c r="I33" s="23">
        <f t="shared" ref="I33:I41" si="12">K33/C33</f>
        <v>70.35019562699901</v>
      </c>
      <c r="J33" s="23">
        <f t="shared" ref="J33:J41" si="13">K33/F33</f>
        <v>167.7158282390061</v>
      </c>
      <c r="K33" s="21">
        <v>5102921.79</v>
      </c>
      <c r="L33" s="21">
        <v>3867138.09</v>
      </c>
      <c r="M33" s="24">
        <f t="shared" ref="M33:M41" si="14">(+K33-L33)/L33</f>
        <v>0.31956027202535203</v>
      </c>
      <c r="N33" s="10"/>
      <c r="R33" s="2"/>
    </row>
    <row r="34" spans="1:18" ht="15.75" customHeight="1" x14ac:dyDescent="0.25">
      <c r="A34" s="19"/>
      <c r="B34" s="20">
        <f>DATE(2025,8,1)</f>
        <v>45870</v>
      </c>
      <c r="C34" s="21">
        <v>76450</v>
      </c>
      <c r="D34" s="21">
        <v>54520</v>
      </c>
      <c r="E34" s="22">
        <f t="shared" si="10"/>
        <v>0.40223771093176813</v>
      </c>
      <c r="F34" s="21">
        <f>+C34-44909</f>
        <v>31541</v>
      </c>
      <c r="G34" s="21">
        <f>+D34-28215</f>
        <v>26305</v>
      </c>
      <c r="H34" s="22">
        <f t="shared" si="11"/>
        <v>0.19904961034023949</v>
      </c>
      <c r="I34" s="23">
        <f t="shared" si="12"/>
        <v>70.228495879659903</v>
      </c>
      <c r="J34" s="23">
        <f t="shared" si="13"/>
        <v>170.22188611648329</v>
      </c>
      <c r="K34" s="21">
        <v>5368968.5099999998</v>
      </c>
      <c r="L34" s="21">
        <v>3925251.53</v>
      </c>
      <c r="M34" s="24">
        <f t="shared" si="14"/>
        <v>0.36780241188772939</v>
      </c>
      <c r="N34" s="10"/>
      <c r="R34" s="2"/>
    </row>
    <row r="35" spans="1:18" ht="15.75" customHeight="1" x14ac:dyDescent="0.25">
      <c r="A35" s="19"/>
      <c r="B35" s="20">
        <f>DATE(2025,9,1)</f>
        <v>45901</v>
      </c>
      <c r="C35" s="21">
        <v>64354</v>
      </c>
      <c r="D35" s="21">
        <v>50120</v>
      </c>
      <c r="E35" s="22">
        <f t="shared" si="10"/>
        <v>0.28399840383080605</v>
      </c>
      <c r="F35" s="21">
        <f>+C35-36581</f>
        <v>27773</v>
      </c>
      <c r="G35" s="21">
        <f>+D35-26015</f>
        <v>24105</v>
      </c>
      <c r="H35" s="22">
        <f t="shared" si="11"/>
        <v>0.15216760008297034</v>
      </c>
      <c r="I35" s="23">
        <f t="shared" si="12"/>
        <v>71.832413680579307</v>
      </c>
      <c r="J35" s="23">
        <f t="shared" si="13"/>
        <v>166.44594210204156</v>
      </c>
      <c r="K35" s="21">
        <v>4622703.1500000004</v>
      </c>
      <c r="L35" s="21">
        <v>3808834.78</v>
      </c>
      <c r="M35" s="24">
        <f t="shared" si="14"/>
        <v>0.21367909531638982</v>
      </c>
      <c r="N35" s="10"/>
      <c r="R35" s="2"/>
    </row>
    <row r="36" spans="1:18" ht="15.75" customHeight="1" x14ac:dyDescent="0.25">
      <c r="A36" s="19"/>
      <c r="B36" s="20">
        <f>DATE(2025,10,1)</f>
        <v>45931</v>
      </c>
      <c r="C36" s="21">
        <v>67804</v>
      </c>
      <c r="D36" s="21">
        <v>42557</v>
      </c>
      <c r="E36" s="22">
        <f t="shared" si="10"/>
        <v>0.59325140399934206</v>
      </c>
      <c r="F36" s="21">
        <f>+C36-38697</f>
        <v>29107</v>
      </c>
      <c r="G36" s="21">
        <f>+D36-21743</f>
        <v>20814</v>
      </c>
      <c r="H36" s="22">
        <f t="shared" si="11"/>
        <v>0.39843374651676755</v>
      </c>
      <c r="I36" s="23">
        <f t="shared" si="12"/>
        <v>71.913778390655423</v>
      </c>
      <c r="J36" s="23">
        <f t="shared" si="13"/>
        <v>167.52127769952244</v>
      </c>
      <c r="K36" s="21">
        <v>4876041.83</v>
      </c>
      <c r="L36" s="21">
        <v>3023362.89</v>
      </c>
      <c r="M36" s="24">
        <f t="shared" si="14"/>
        <v>0.61278748446899134</v>
      </c>
      <c r="N36" s="10"/>
      <c r="R36" s="2"/>
    </row>
    <row r="37" spans="1:18" ht="15.75" customHeight="1" x14ac:dyDescent="0.25">
      <c r="A37" s="19"/>
      <c r="B37" s="20">
        <f>DATE(2025,11,1)</f>
        <v>45962</v>
      </c>
      <c r="C37" s="21">
        <v>70438</v>
      </c>
      <c r="D37" s="21">
        <v>78482</v>
      </c>
      <c r="E37" s="22">
        <f t="shared" si="10"/>
        <v>-0.10249483958105043</v>
      </c>
      <c r="F37" s="21">
        <f>+C37-41170</f>
        <v>29268</v>
      </c>
      <c r="G37" s="21">
        <f>+D37-44771</f>
        <v>33711</v>
      </c>
      <c r="H37" s="22">
        <f t="shared" si="11"/>
        <v>-0.13179674290291002</v>
      </c>
      <c r="I37" s="23">
        <f t="shared" si="12"/>
        <v>71.101504159686527</v>
      </c>
      <c r="J37" s="23">
        <f t="shared" si="13"/>
        <v>171.11684262675959</v>
      </c>
      <c r="K37" s="21">
        <v>5008247.75</v>
      </c>
      <c r="L37" s="21">
        <v>5253938.45</v>
      </c>
      <c r="M37" s="24">
        <f t="shared" si="14"/>
        <v>-4.6763147748714144E-2</v>
      </c>
      <c r="N37" s="10"/>
      <c r="R37" s="2"/>
    </row>
    <row r="38" spans="1:18" ht="15.75" customHeight="1" x14ac:dyDescent="0.25">
      <c r="A38" s="19"/>
      <c r="B38" s="20">
        <f>DATE(2025,12,1)</f>
        <v>45992</v>
      </c>
      <c r="C38" s="21">
        <v>72375</v>
      </c>
      <c r="D38" s="21">
        <v>65653</v>
      </c>
      <c r="E38" s="22">
        <f t="shared" si="10"/>
        <v>0.10238679115958144</v>
      </c>
      <c r="F38" s="21">
        <f>+C38-41868</f>
        <v>30507</v>
      </c>
      <c r="G38" s="21">
        <f>+D38-37748</f>
        <v>27905</v>
      </c>
      <c r="H38" s="22">
        <f t="shared" si="11"/>
        <v>9.3244938183121309E-2</v>
      </c>
      <c r="I38" s="23">
        <f t="shared" si="12"/>
        <v>72.888765734024176</v>
      </c>
      <c r="J38" s="23">
        <f t="shared" si="13"/>
        <v>172.9217694299669</v>
      </c>
      <c r="K38" s="21">
        <v>5275324.42</v>
      </c>
      <c r="L38" s="21">
        <v>4823289.1500000004</v>
      </c>
      <c r="M38" s="24">
        <f t="shared" si="14"/>
        <v>9.371929733882936E-2</v>
      </c>
      <c r="N38" s="10"/>
      <c r="R38" s="2"/>
    </row>
    <row r="39" spans="1:18" ht="15.75" customHeight="1" x14ac:dyDescent="0.25">
      <c r="A39" s="19"/>
      <c r="B39" s="20">
        <f>DATE(2026,1,1)</f>
        <v>46023</v>
      </c>
      <c r="C39" s="21">
        <v>63114</v>
      </c>
      <c r="D39" s="21">
        <v>59530</v>
      </c>
      <c r="E39" s="22">
        <f t="shared" si="10"/>
        <v>6.0204938686376615E-2</v>
      </c>
      <c r="F39" s="21">
        <f>+C39-36625</f>
        <v>26489</v>
      </c>
      <c r="G39" s="21">
        <f>+D39-33679</f>
        <v>25851</v>
      </c>
      <c r="H39" s="22">
        <f t="shared" si="11"/>
        <v>2.4679896328962128E-2</v>
      </c>
      <c r="I39" s="23">
        <f t="shared" si="12"/>
        <v>67.119965934657927</v>
      </c>
      <c r="J39" s="23">
        <f t="shared" si="13"/>
        <v>159.92334667220356</v>
      </c>
      <c r="K39" s="21">
        <v>4236209.53</v>
      </c>
      <c r="L39" s="21">
        <v>4256917.63</v>
      </c>
      <c r="M39" s="24">
        <f t="shared" si="14"/>
        <v>-4.8645761557758E-3</v>
      </c>
      <c r="N39" s="10"/>
      <c r="R39" s="2"/>
    </row>
    <row r="40" spans="1:18" ht="15.75" customHeight="1" x14ac:dyDescent="0.25">
      <c r="A40" s="19"/>
      <c r="B40" s="20">
        <f>DATE(2026,2,1)</f>
        <v>46054</v>
      </c>
      <c r="C40" s="21">
        <v>73726</v>
      </c>
      <c r="D40" s="21">
        <v>61538</v>
      </c>
      <c r="E40" s="22">
        <f t="shared" si="10"/>
        <v>0.19805648542364068</v>
      </c>
      <c r="F40" s="21">
        <f>+C40-43261</f>
        <v>30465</v>
      </c>
      <c r="G40" s="21">
        <f>+D40-35219</f>
        <v>26319</v>
      </c>
      <c r="H40" s="22">
        <f t="shared" si="11"/>
        <v>0.15752878148865837</v>
      </c>
      <c r="I40" s="23">
        <f t="shared" si="12"/>
        <v>71.332269619944114</v>
      </c>
      <c r="J40" s="23">
        <f t="shared" si="13"/>
        <v>172.62573149515839</v>
      </c>
      <c r="K40" s="21">
        <v>5259042.91</v>
      </c>
      <c r="L40" s="21">
        <v>4479664.49</v>
      </c>
      <c r="M40" s="24">
        <f t="shared" si="14"/>
        <v>0.17398142689922741</v>
      </c>
      <c r="N40" s="10"/>
      <c r="R40" s="2"/>
    </row>
    <row r="41" spans="1:18" ht="15.75" customHeight="1" x14ac:dyDescent="0.25">
      <c r="A41" s="19"/>
      <c r="B41" s="20">
        <f>DATE(2026,3,1)</f>
        <v>46082</v>
      </c>
      <c r="C41" s="21">
        <v>78040</v>
      </c>
      <c r="D41" s="21">
        <v>75339</v>
      </c>
      <c r="E41" s="22">
        <f t="shared" si="10"/>
        <v>3.5851285522770414E-2</v>
      </c>
      <c r="F41" s="21">
        <f>+C41-44808</f>
        <v>33232</v>
      </c>
      <c r="G41" s="21">
        <f>+D41-41949</f>
        <v>33390</v>
      </c>
      <c r="H41" s="22">
        <f t="shared" si="11"/>
        <v>-4.7319556753519015E-3</v>
      </c>
      <c r="I41" s="23">
        <f t="shared" si="12"/>
        <v>72.039905048692987</v>
      </c>
      <c r="J41" s="23">
        <f t="shared" si="13"/>
        <v>169.17411500962928</v>
      </c>
      <c r="K41" s="21">
        <v>5621994.1900000004</v>
      </c>
      <c r="L41" s="21">
        <v>5519744.0499999998</v>
      </c>
      <c r="M41" s="24">
        <f t="shared" si="14"/>
        <v>1.8524435023395805E-2</v>
      </c>
      <c r="N41" s="10"/>
      <c r="R41" s="2"/>
    </row>
    <row r="42" spans="1:18" ht="15.75" customHeight="1" thickBot="1" x14ac:dyDescent="0.25">
      <c r="A42" s="37"/>
      <c r="B42" s="20"/>
      <c r="C42" s="21"/>
      <c r="D42" s="21"/>
      <c r="E42" s="22"/>
      <c r="F42" s="21"/>
      <c r="G42" s="21"/>
      <c r="H42" s="22"/>
      <c r="I42" s="23"/>
      <c r="J42" s="23"/>
      <c r="K42" s="21"/>
      <c r="L42" s="21"/>
      <c r="M42" s="24"/>
      <c r="N42" s="10"/>
      <c r="R42" s="2"/>
    </row>
    <row r="43" spans="1:18" ht="17.25" customHeight="1" thickTop="1" thickBot="1" x14ac:dyDescent="0.3">
      <c r="A43" s="38" t="s">
        <v>14</v>
      </c>
      <c r="B43" s="39"/>
      <c r="C43" s="40">
        <f>SUM(C33:C42)</f>
        <v>638837</v>
      </c>
      <c r="D43" s="40">
        <f>SUM(D33:D42)</f>
        <v>541495</v>
      </c>
      <c r="E43" s="279">
        <f>(+C43-D43)/D43</f>
        <v>0.17976527945779738</v>
      </c>
      <c r="F43" s="40">
        <f>SUM(F33:F42)</f>
        <v>268808</v>
      </c>
      <c r="G43" s="40">
        <f>SUM(G33:G42)</f>
        <v>244636</v>
      </c>
      <c r="H43" s="41">
        <f>(+F43-G43)/G43</f>
        <v>9.8808024984057941E-2</v>
      </c>
      <c r="I43" s="42">
        <f>K43/C43</f>
        <v>71.021957212872763</v>
      </c>
      <c r="J43" s="42">
        <f>K43/F43</f>
        <v>168.78758846462901</v>
      </c>
      <c r="K43" s="40">
        <f>SUM(K33:K42)</f>
        <v>45371454.079999998</v>
      </c>
      <c r="L43" s="40">
        <f>SUM(L33:L42)</f>
        <v>38958141.059999995</v>
      </c>
      <c r="M43" s="43">
        <f>(+K43-L43)/L43</f>
        <v>0.16462061190555186</v>
      </c>
      <c r="N43" s="10"/>
      <c r="R43" s="2"/>
    </row>
    <row r="44" spans="1:18" ht="15.75" customHeight="1" thickTop="1" x14ac:dyDescent="0.2">
      <c r="A44" s="37"/>
      <c r="B44" s="44"/>
      <c r="C44" s="21"/>
      <c r="D44" s="21"/>
      <c r="E44" s="22"/>
      <c r="F44" s="21"/>
      <c r="G44" s="21"/>
      <c r="H44" s="22"/>
      <c r="I44" s="23"/>
      <c r="J44" s="23"/>
      <c r="K44" s="21"/>
      <c r="L44" s="21"/>
      <c r="M44" s="24"/>
      <c r="N44" s="10"/>
      <c r="R44" s="2"/>
    </row>
    <row r="45" spans="1:18" ht="15.75" customHeight="1" x14ac:dyDescent="0.25">
      <c r="A45" s="176" t="s">
        <v>58</v>
      </c>
      <c r="B45" s="20">
        <f>DATE(2025,7,1)</f>
        <v>45839</v>
      </c>
      <c r="C45" s="21">
        <v>313197</v>
      </c>
      <c r="D45" s="21">
        <v>318097</v>
      </c>
      <c r="E45" s="22">
        <f t="shared" ref="E45:E53" si="15">(+C45-D45)/D45</f>
        <v>-1.5404106294620823E-2</v>
      </c>
      <c r="F45" s="21">
        <f>+C45-156640</f>
        <v>156557</v>
      </c>
      <c r="G45" s="21">
        <f>+D45-155689</f>
        <v>162408</v>
      </c>
      <c r="H45" s="22">
        <f t="shared" ref="H45:H53" si="16">(+F45-G45)/G45</f>
        <v>-3.6026550416235655E-2</v>
      </c>
      <c r="I45" s="23">
        <f t="shared" ref="I45:I53" si="17">K45/C45</f>
        <v>70.43238003556867</v>
      </c>
      <c r="J45" s="23">
        <f t="shared" ref="J45:J53" si="18">K45/F45</f>
        <v>140.90210038516324</v>
      </c>
      <c r="K45" s="21">
        <v>22059210.129999999</v>
      </c>
      <c r="L45" s="21">
        <v>20559621.309999999</v>
      </c>
      <c r="M45" s="24">
        <f t="shared" ref="M45:M53" si="19">(+K45-L45)/L45</f>
        <v>7.2938542854902436E-2</v>
      </c>
      <c r="N45" s="10"/>
      <c r="R45" s="2"/>
    </row>
    <row r="46" spans="1:18" ht="15.75" customHeight="1" x14ac:dyDescent="0.25">
      <c r="A46" s="176"/>
      <c r="B46" s="20">
        <f>DATE(2025,8,1)</f>
        <v>45870</v>
      </c>
      <c r="C46" s="21">
        <v>333263</v>
      </c>
      <c r="D46" s="21">
        <v>340265</v>
      </c>
      <c r="E46" s="22">
        <f t="shared" si="15"/>
        <v>-2.0578078850307848E-2</v>
      </c>
      <c r="F46" s="21">
        <f>+C46-168558</f>
        <v>164705</v>
      </c>
      <c r="G46" s="21">
        <f>+D46-163301</f>
        <v>176964</v>
      </c>
      <c r="H46" s="22">
        <f t="shared" si="16"/>
        <v>-6.9273976628014738E-2</v>
      </c>
      <c r="I46" s="23">
        <f t="shared" si="17"/>
        <v>71.203168728601739</v>
      </c>
      <c r="J46" s="23">
        <f t="shared" si="18"/>
        <v>144.07201736437875</v>
      </c>
      <c r="K46" s="21">
        <v>23729381.620000001</v>
      </c>
      <c r="L46" s="21">
        <v>22930250.41</v>
      </c>
      <c r="M46" s="24">
        <f t="shared" si="19"/>
        <v>3.485052259400951E-2</v>
      </c>
      <c r="N46" s="10"/>
      <c r="R46" s="2"/>
    </row>
    <row r="47" spans="1:18" ht="15.75" customHeight="1" x14ac:dyDescent="0.25">
      <c r="A47" s="176"/>
      <c r="B47" s="20">
        <f>DATE(2025,9,1)</f>
        <v>45901</v>
      </c>
      <c r="C47" s="21">
        <v>294381</v>
      </c>
      <c r="D47" s="21">
        <v>306427</v>
      </c>
      <c r="E47" s="22">
        <f t="shared" si="15"/>
        <v>-3.9311157306634203E-2</v>
      </c>
      <c r="F47" s="21">
        <f>+C47-154040</f>
        <v>140341</v>
      </c>
      <c r="G47" s="21">
        <f>+D47-149563</f>
        <v>156864</v>
      </c>
      <c r="H47" s="22">
        <f t="shared" si="16"/>
        <v>-0.10533328233374133</v>
      </c>
      <c r="I47" s="23">
        <f t="shared" si="17"/>
        <v>71.465549101334659</v>
      </c>
      <c r="J47" s="23">
        <f t="shared" si="18"/>
        <v>149.90701085213871</v>
      </c>
      <c r="K47" s="21">
        <v>21038099.809999999</v>
      </c>
      <c r="L47" s="21">
        <f>20248455.39+180818.97</f>
        <v>20429274.359999999</v>
      </c>
      <c r="M47" s="24">
        <f t="shared" si="19"/>
        <v>2.9801618954810458E-2</v>
      </c>
      <c r="N47" s="10"/>
      <c r="R47" s="2"/>
    </row>
    <row r="48" spans="1:18" ht="15.75" customHeight="1" x14ac:dyDescent="0.25">
      <c r="A48" s="176"/>
      <c r="B48" s="20">
        <f>DATE(2025,10,1)</f>
        <v>45931</v>
      </c>
      <c r="C48" s="21">
        <v>305972</v>
      </c>
      <c r="D48" s="21">
        <v>285141</v>
      </c>
      <c r="E48" s="22">
        <f t="shared" si="15"/>
        <v>7.3055085028108896E-2</v>
      </c>
      <c r="F48" s="21">
        <f>+C48-159947</f>
        <v>146025</v>
      </c>
      <c r="G48" s="21">
        <f>+D48-140161</f>
        <v>144980</v>
      </c>
      <c r="H48" s="22">
        <f t="shared" si="16"/>
        <v>7.2078907435508344E-3</v>
      </c>
      <c r="I48" s="23">
        <f t="shared" si="17"/>
        <v>75.264575908906693</v>
      </c>
      <c r="J48" s="23">
        <f t="shared" si="18"/>
        <v>157.70486437253896</v>
      </c>
      <c r="K48" s="21">
        <v>23028852.82</v>
      </c>
      <c r="L48" s="21">
        <f>21581148.8-180818.97</f>
        <v>21400329.830000002</v>
      </c>
      <c r="M48" s="24">
        <f t="shared" si="19"/>
        <v>7.609803227037451E-2</v>
      </c>
      <c r="N48" s="10"/>
      <c r="R48" s="2"/>
    </row>
    <row r="49" spans="1:18" ht="15.75" customHeight="1" x14ac:dyDescent="0.25">
      <c r="A49" s="176"/>
      <c r="B49" s="20">
        <f>DATE(2025,11,1)</f>
        <v>45962</v>
      </c>
      <c r="C49" s="21">
        <v>297780</v>
      </c>
      <c r="D49" s="21">
        <v>289423</v>
      </c>
      <c r="E49" s="22">
        <f t="shared" si="15"/>
        <v>2.8874692059718821E-2</v>
      </c>
      <c r="F49" s="21">
        <f>+C49-160547</f>
        <v>137233</v>
      </c>
      <c r="G49" s="21">
        <f>+D49-144427</f>
        <v>144996</v>
      </c>
      <c r="H49" s="22">
        <f t="shared" si="16"/>
        <v>-5.3539407983668512E-2</v>
      </c>
      <c r="I49" s="23">
        <f t="shared" si="17"/>
        <v>70.328594264221906</v>
      </c>
      <c r="J49" s="23">
        <f t="shared" si="18"/>
        <v>152.60504980580473</v>
      </c>
      <c r="K49" s="21">
        <v>20942448.800000001</v>
      </c>
      <c r="L49" s="21">
        <v>19374975.079999998</v>
      </c>
      <c r="M49" s="24">
        <f t="shared" si="19"/>
        <v>8.0901973474951316E-2</v>
      </c>
      <c r="N49" s="10"/>
      <c r="R49" s="2"/>
    </row>
    <row r="50" spans="1:18" ht="15.75" customHeight="1" x14ac:dyDescent="0.25">
      <c r="A50" s="176"/>
      <c r="B50" s="20">
        <f>DATE(2025,12,1)</f>
        <v>45992</v>
      </c>
      <c r="C50" s="21">
        <v>308761</v>
      </c>
      <c r="D50" s="21">
        <v>304581</v>
      </c>
      <c r="E50" s="22">
        <f t="shared" si="15"/>
        <v>1.372377134489676E-2</v>
      </c>
      <c r="F50" s="21">
        <f>+C50-164183</f>
        <v>144578</v>
      </c>
      <c r="G50" s="21">
        <f>+D50-152410</f>
        <v>152171</v>
      </c>
      <c r="H50" s="22">
        <f t="shared" si="16"/>
        <v>-4.989781232955031E-2</v>
      </c>
      <c r="I50" s="23">
        <f t="shared" si="17"/>
        <v>71.869224189583534</v>
      </c>
      <c r="J50" s="23">
        <f t="shared" si="18"/>
        <v>153.48402613122329</v>
      </c>
      <c r="K50" s="21">
        <v>22190413.530000001</v>
      </c>
      <c r="L50" s="21">
        <v>22399477.760000002</v>
      </c>
      <c r="M50" s="24">
        <f t="shared" si="19"/>
        <v>-9.3334421561085731E-3</v>
      </c>
      <c r="N50" s="10"/>
      <c r="R50" s="2"/>
    </row>
    <row r="51" spans="1:18" ht="15.75" customHeight="1" x14ac:dyDescent="0.25">
      <c r="A51" s="176"/>
      <c r="B51" s="20">
        <f>DATE(2026,1,1)</f>
        <v>46023</v>
      </c>
      <c r="C51" s="21">
        <v>290015</v>
      </c>
      <c r="D51" s="21">
        <v>268474</v>
      </c>
      <c r="E51" s="22">
        <f t="shared" si="15"/>
        <v>8.0234957575035196E-2</v>
      </c>
      <c r="F51" s="21">
        <f>+C51-154219</f>
        <v>135796</v>
      </c>
      <c r="G51" s="21">
        <f>+D51-136675</f>
        <v>131799</v>
      </c>
      <c r="H51" s="22">
        <f t="shared" si="16"/>
        <v>3.0326481991517388E-2</v>
      </c>
      <c r="I51" s="23">
        <f t="shared" si="17"/>
        <v>72.005969242970195</v>
      </c>
      <c r="J51" s="23">
        <f t="shared" si="18"/>
        <v>153.78075326224632</v>
      </c>
      <c r="K51" s="21">
        <v>20882811.170000002</v>
      </c>
      <c r="L51" s="21">
        <v>18689534.469999999</v>
      </c>
      <c r="M51" s="24">
        <f t="shared" si="19"/>
        <v>0.11735320125392097</v>
      </c>
      <c r="N51" s="10"/>
      <c r="R51" s="2"/>
    </row>
    <row r="52" spans="1:18" ht="15.75" customHeight="1" x14ac:dyDescent="0.25">
      <c r="A52" s="176"/>
      <c r="B52" s="20">
        <f>DATE(2026,2,1)</f>
        <v>46054</v>
      </c>
      <c r="C52" s="21">
        <v>294498</v>
      </c>
      <c r="D52" s="21">
        <v>274476</v>
      </c>
      <c r="E52" s="22">
        <f t="shared" si="15"/>
        <v>7.2946268526209945E-2</v>
      </c>
      <c r="F52" s="21">
        <f>+C52-158412</f>
        <v>136086</v>
      </c>
      <c r="G52" s="21">
        <f>+D52-142761</f>
        <v>131715</v>
      </c>
      <c r="H52" s="22">
        <f t="shared" si="16"/>
        <v>3.3185286413848082E-2</v>
      </c>
      <c r="I52" s="23">
        <f t="shared" si="17"/>
        <v>70.499538944237315</v>
      </c>
      <c r="J52" s="23">
        <f t="shared" si="18"/>
        <v>152.56509280895904</v>
      </c>
      <c r="K52" s="21">
        <v>20761973.219999999</v>
      </c>
      <c r="L52" s="21">
        <v>19043607.649999999</v>
      </c>
      <c r="M52" s="24">
        <f t="shared" si="19"/>
        <v>9.0233195389320064E-2</v>
      </c>
      <c r="N52" s="10"/>
      <c r="R52" s="2"/>
    </row>
    <row r="53" spans="1:18" ht="15.75" customHeight="1" x14ac:dyDescent="0.25">
      <c r="A53" s="176"/>
      <c r="B53" s="20">
        <f>DATE(2026,3,1)</f>
        <v>46082</v>
      </c>
      <c r="C53" s="21">
        <v>325744</v>
      </c>
      <c r="D53" s="21">
        <v>312301</v>
      </c>
      <c r="E53" s="22">
        <f t="shared" si="15"/>
        <v>4.3045011063044945E-2</v>
      </c>
      <c r="F53" s="21">
        <f>+C53-173656</f>
        <v>152088</v>
      </c>
      <c r="G53" s="21">
        <f>+D53-158429</f>
        <v>153872</v>
      </c>
      <c r="H53" s="22">
        <f t="shared" si="16"/>
        <v>-1.1594052199230528E-2</v>
      </c>
      <c r="I53" s="23">
        <f t="shared" si="17"/>
        <v>71.145207064443241</v>
      </c>
      <c r="J53" s="23">
        <f t="shared" si="18"/>
        <v>152.37970339540266</v>
      </c>
      <c r="K53" s="21">
        <v>23175124.329999998</v>
      </c>
      <c r="L53" s="21">
        <v>22599348.899999999</v>
      </c>
      <c r="M53" s="24">
        <f t="shared" si="19"/>
        <v>2.5477522938725006E-2</v>
      </c>
      <c r="N53" s="10"/>
      <c r="R53" s="2"/>
    </row>
    <row r="54" spans="1:18" ht="15.75" thickBot="1" x14ac:dyDescent="0.25">
      <c r="A54" s="37"/>
      <c r="B54" s="44"/>
      <c r="C54" s="21"/>
      <c r="D54" s="21"/>
      <c r="E54" s="22"/>
      <c r="F54" s="21"/>
      <c r="G54" s="21"/>
      <c r="H54" s="22"/>
      <c r="I54" s="23"/>
      <c r="J54" s="23"/>
      <c r="K54" s="21"/>
      <c r="L54" s="21"/>
      <c r="M54" s="24"/>
      <c r="N54" s="10"/>
      <c r="R54" s="2"/>
    </row>
    <row r="55" spans="1:18" ht="17.25" thickTop="1" thickBot="1" x14ac:dyDescent="0.3">
      <c r="A55" s="38" t="s">
        <v>14</v>
      </c>
      <c r="B55" s="39"/>
      <c r="C55" s="40">
        <f>SUM(C45:C54)</f>
        <v>2763611</v>
      </c>
      <c r="D55" s="40">
        <f>SUM(D45:D54)</f>
        <v>2699185</v>
      </c>
      <c r="E55" s="279">
        <f>(+C55-D55)/D55</f>
        <v>2.3868686288638977E-2</v>
      </c>
      <c r="F55" s="40">
        <f>SUM(F45:F54)</f>
        <v>1313409</v>
      </c>
      <c r="G55" s="40">
        <f>SUM(G45:G54)</f>
        <v>1355769</v>
      </c>
      <c r="H55" s="41">
        <f>(+F55-G55)/G55</f>
        <v>-3.1244260637320959E-2</v>
      </c>
      <c r="I55" s="42">
        <f>K55/C55</f>
        <v>71.576034192221698</v>
      </c>
      <c r="J55" s="42">
        <f>K55/F55</f>
        <v>150.60679150972774</v>
      </c>
      <c r="K55" s="40">
        <f>SUM(K45:K54)</f>
        <v>197808315.43000001</v>
      </c>
      <c r="L55" s="40">
        <f>SUM(L45:L54)</f>
        <v>187426419.77000001</v>
      </c>
      <c r="M55" s="43">
        <f>(+K55-L55)/L55</f>
        <v>5.5391847492686039E-2</v>
      </c>
      <c r="N55" s="10"/>
      <c r="R55" s="2"/>
    </row>
    <row r="56" spans="1:18" ht="15.75" thickTop="1" x14ac:dyDescent="0.2">
      <c r="A56" s="37"/>
      <c r="B56" s="44"/>
      <c r="C56" s="21"/>
      <c r="D56" s="21"/>
      <c r="E56" s="22"/>
      <c r="F56" s="21"/>
      <c r="G56" s="21"/>
      <c r="H56" s="22"/>
      <c r="I56" s="23"/>
      <c r="J56" s="23"/>
      <c r="K56" s="21"/>
      <c r="L56" s="21"/>
      <c r="M56" s="24"/>
      <c r="N56" s="10"/>
      <c r="R56" s="2"/>
    </row>
    <row r="57" spans="1:18" ht="15.75" x14ac:dyDescent="0.25">
      <c r="A57" s="19" t="s">
        <v>60</v>
      </c>
      <c r="B57" s="20">
        <f>DATE(2025,7,1)</f>
        <v>45839</v>
      </c>
      <c r="C57" s="21">
        <v>189028</v>
      </c>
      <c r="D57" s="21">
        <v>164838</v>
      </c>
      <c r="E57" s="22">
        <f t="shared" ref="E57:E65" si="20">(+C57-D57)/D57</f>
        <v>0.14675014256421456</v>
      </c>
      <c r="F57" s="21">
        <f>+C57-89606</f>
        <v>99422</v>
      </c>
      <c r="G57" s="21">
        <f>+D57-73814</f>
        <v>91024</v>
      </c>
      <c r="H57" s="22">
        <f t="shared" ref="H57:H65" si="21">(+F57-G57)/G57</f>
        <v>9.2261381613640364E-2</v>
      </c>
      <c r="I57" s="23">
        <f t="shared" ref="I57:I65" si="22">K57/C57</f>
        <v>76.743073089700999</v>
      </c>
      <c r="J57" s="23">
        <f t="shared" ref="J57:J65" si="23">K57/F57</f>
        <v>145.90925167467964</v>
      </c>
      <c r="K57" s="21">
        <v>14506589.619999999</v>
      </c>
      <c r="L57" s="21">
        <v>12724515.279999999</v>
      </c>
      <c r="M57" s="24">
        <f t="shared" ref="M57:M65" si="24">(+K57-L57)/L57</f>
        <v>0.14005046956884945</v>
      </c>
      <c r="N57" s="10"/>
      <c r="R57" s="2"/>
    </row>
    <row r="58" spans="1:18" ht="15.75" x14ac:dyDescent="0.25">
      <c r="A58" s="19"/>
      <c r="B58" s="20">
        <f>DATE(2025,8,1)</f>
        <v>45870</v>
      </c>
      <c r="C58" s="21">
        <v>194053</v>
      </c>
      <c r="D58" s="21">
        <v>175348</v>
      </c>
      <c r="E58" s="22">
        <f t="shared" si="20"/>
        <v>0.1066735862399343</v>
      </c>
      <c r="F58" s="21">
        <f>+C58-90254</f>
        <v>103799</v>
      </c>
      <c r="G58" s="21">
        <f>+D58-80823</f>
        <v>94525</v>
      </c>
      <c r="H58" s="22">
        <f t="shared" si="21"/>
        <v>9.8111610685003972E-2</v>
      </c>
      <c r="I58" s="23">
        <f t="shared" si="22"/>
        <v>83.202486691780081</v>
      </c>
      <c r="J58" s="23">
        <f t="shared" si="23"/>
        <v>155.54766568078691</v>
      </c>
      <c r="K58" s="21">
        <v>16145692.15</v>
      </c>
      <c r="L58" s="21">
        <v>13808966.68</v>
      </c>
      <c r="M58" s="24">
        <f t="shared" si="24"/>
        <v>0.16921798163104851</v>
      </c>
      <c r="N58" s="10"/>
      <c r="R58" s="2"/>
    </row>
    <row r="59" spans="1:18" ht="15.75" x14ac:dyDescent="0.25">
      <c r="A59" s="19"/>
      <c r="B59" s="20">
        <f>DATE(2025,9,1)</f>
        <v>45901</v>
      </c>
      <c r="C59" s="21">
        <v>174429</v>
      </c>
      <c r="D59" s="21">
        <v>160883</v>
      </c>
      <c r="E59" s="22">
        <f t="shared" si="20"/>
        <v>8.4197833207983436E-2</v>
      </c>
      <c r="F59" s="21">
        <f>+C59-83114</f>
        <v>91315</v>
      </c>
      <c r="G59" s="21">
        <f>+D59-72644</f>
        <v>88239</v>
      </c>
      <c r="H59" s="22">
        <f t="shared" si="21"/>
        <v>3.4859869218826139E-2</v>
      </c>
      <c r="I59" s="23">
        <f t="shared" si="22"/>
        <v>86.026088838438568</v>
      </c>
      <c r="J59" s="23">
        <f t="shared" si="23"/>
        <v>164.32617477960906</v>
      </c>
      <c r="K59" s="21">
        <v>15005444.65</v>
      </c>
      <c r="L59" s="21">
        <v>12533263.369999999</v>
      </c>
      <c r="M59" s="24">
        <f t="shared" si="24"/>
        <v>0.19724960746596051</v>
      </c>
      <c r="N59" s="10"/>
      <c r="R59" s="2"/>
    </row>
    <row r="60" spans="1:18" ht="15.75" x14ac:dyDescent="0.25">
      <c r="A60" s="19"/>
      <c r="B60" s="20">
        <f>DATE(2025,10,1)</f>
        <v>45931</v>
      </c>
      <c r="C60" s="21">
        <v>181056</v>
      </c>
      <c r="D60" s="21">
        <v>173754</v>
      </c>
      <c r="E60" s="22">
        <f t="shared" si="20"/>
        <v>4.202493180013122E-2</v>
      </c>
      <c r="F60" s="21">
        <f>+C60-85844</f>
        <v>95212</v>
      </c>
      <c r="G60" s="21">
        <f>+D60-80828</f>
        <v>92926</v>
      </c>
      <c r="H60" s="22">
        <f t="shared" si="21"/>
        <v>2.4600219529518109E-2</v>
      </c>
      <c r="I60" s="23">
        <f t="shared" si="22"/>
        <v>76.664947198656762</v>
      </c>
      <c r="J60" s="23">
        <f t="shared" si="23"/>
        <v>145.78675671133891</v>
      </c>
      <c r="K60" s="21">
        <v>13880648.68</v>
      </c>
      <c r="L60" s="21">
        <v>13312238.460000001</v>
      </c>
      <c r="M60" s="24">
        <f t="shared" si="24"/>
        <v>4.2698320174171425E-2</v>
      </c>
      <c r="N60" s="10"/>
      <c r="R60" s="2"/>
    </row>
    <row r="61" spans="1:18" ht="15.75" x14ac:dyDescent="0.25">
      <c r="A61" s="19"/>
      <c r="B61" s="20">
        <f>DATE(2025,11,1)</f>
        <v>45962</v>
      </c>
      <c r="C61" s="21">
        <v>177694</v>
      </c>
      <c r="D61" s="21">
        <v>170154</v>
      </c>
      <c r="E61" s="22">
        <f t="shared" si="20"/>
        <v>4.4312798993852626E-2</v>
      </c>
      <c r="F61" s="21">
        <f>+C61-86343</f>
        <v>91351</v>
      </c>
      <c r="G61" s="21">
        <f>+D61-77441</f>
        <v>92713</v>
      </c>
      <c r="H61" s="22">
        <f t="shared" si="21"/>
        <v>-1.4690496478379516E-2</v>
      </c>
      <c r="I61" s="23">
        <f t="shared" si="22"/>
        <v>77.862690299053426</v>
      </c>
      <c r="J61" s="23">
        <f t="shared" si="23"/>
        <v>151.45683013869581</v>
      </c>
      <c r="K61" s="21">
        <v>13835732.890000001</v>
      </c>
      <c r="L61" s="21">
        <v>13348990.84</v>
      </c>
      <c r="M61" s="24">
        <f t="shared" si="24"/>
        <v>3.6462834968879247E-2</v>
      </c>
      <c r="N61" s="10"/>
      <c r="R61" s="2"/>
    </row>
    <row r="62" spans="1:18" ht="15.75" x14ac:dyDescent="0.25">
      <c r="A62" s="19"/>
      <c r="B62" s="20">
        <f>DATE(2025,12,1)</f>
        <v>45992</v>
      </c>
      <c r="C62" s="21">
        <v>207138</v>
      </c>
      <c r="D62" s="21">
        <v>183070</v>
      </c>
      <c r="E62" s="22">
        <f t="shared" si="20"/>
        <v>0.13146883705686349</v>
      </c>
      <c r="F62" s="21">
        <f>+C62-102914</f>
        <v>104224</v>
      </c>
      <c r="G62" s="21">
        <f>+D62-85167</f>
        <v>97903</v>
      </c>
      <c r="H62" s="22">
        <f t="shared" si="21"/>
        <v>6.4563905089731671E-2</v>
      </c>
      <c r="I62" s="23">
        <f t="shared" si="22"/>
        <v>82.451923114059227</v>
      </c>
      <c r="J62" s="23">
        <f t="shared" si="23"/>
        <v>163.86750124731347</v>
      </c>
      <c r="K62" s="21">
        <v>17078926.449999999</v>
      </c>
      <c r="L62" s="21">
        <v>14362744.140000001</v>
      </c>
      <c r="M62" s="24">
        <f t="shared" si="24"/>
        <v>0.18911304716732205</v>
      </c>
      <c r="N62" s="10"/>
      <c r="R62" s="2"/>
    </row>
    <row r="63" spans="1:18" ht="15.75" x14ac:dyDescent="0.25">
      <c r="A63" s="19"/>
      <c r="B63" s="20">
        <f>DATE(2026,1,1)</f>
        <v>46023</v>
      </c>
      <c r="C63" s="21">
        <v>174375</v>
      </c>
      <c r="D63" s="21">
        <v>155257</v>
      </c>
      <c r="E63" s="22">
        <f t="shared" si="20"/>
        <v>0.1231377651249219</v>
      </c>
      <c r="F63" s="21">
        <f>+C63-84164</f>
        <v>90211</v>
      </c>
      <c r="G63" s="21">
        <f>+D63-72937</f>
        <v>82320</v>
      </c>
      <c r="H63" s="22">
        <f t="shared" si="21"/>
        <v>9.5857628765792027E-2</v>
      </c>
      <c r="I63" s="23">
        <f t="shared" si="22"/>
        <v>84.946068071684579</v>
      </c>
      <c r="J63" s="23">
        <f t="shared" si="23"/>
        <v>164.1980536741639</v>
      </c>
      <c r="K63" s="21">
        <v>14812470.619999999</v>
      </c>
      <c r="L63" s="21">
        <v>12193055.33</v>
      </c>
      <c r="M63" s="24">
        <f t="shared" si="24"/>
        <v>0.21482845924229879</v>
      </c>
      <c r="N63" s="10"/>
      <c r="R63" s="2"/>
    </row>
    <row r="64" spans="1:18" ht="15.75" x14ac:dyDescent="0.25">
      <c r="A64" s="19"/>
      <c r="B64" s="20">
        <f>DATE(2026,2,1)</f>
        <v>46054</v>
      </c>
      <c r="C64" s="21">
        <v>180093</v>
      </c>
      <c r="D64" s="21">
        <v>159612</v>
      </c>
      <c r="E64" s="22">
        <f t="shared" si="20"/>
        <v>0.12831741974287647</v>
      </c>
      <c r="F64" s="21">
        <f>+C64-85311</f>
        <v>94782</v>
      </c>
      <c r="G64" s="21">
        <f>+D64-75635</f>
        <v>83977</v>
      </c>
      <c r="H64" s="22">
        <f t="shared" si="21"/>
        <v>0.12866618240708766</v>
      </c>
      <c r="I64" s="23">
        <f t="shared" si="22"/>
        <v>78.350702081702238</v>
      </c>
      <c r="J64" s="23">
        <f t="shared" si="23"/>
        <v>148.87228577156</v>
      </c>
      <c r="K64" s="21">
        <v>14110412.99</v>
      </c>
      <c r="L64" s="21">
        <v>13053823.449999999</v>
      </c>
      <c r="M64" s="24">
        <f t="shared" si="24"/>
        <v>8.0941001235925333E-2</v>
      </c>
      <c r="N64" s="10"/>
      <c r="R64" s="2"/>
    </row>
    <row r="65" spans="1:18" ht="15.75" x14ac:dyDescent="0.25">
      <c r="A65" s="19"/>
      <c r="B65" s="20">
        <f>DATE(2026,3,1)</f>
        <v>46082</v>
      </c>
      <c r="C65" s="21">
        <v>189934</v>
      </c>
      <c r="D65" s="21">
        <v>199392</v>
      </c>
      <c r="E65" s="22">
        <f t="shared" si="20"/>
        <v>-4.7434199967902421E-2</v>
      </c>
      <c r="F65" s="21">
        <f>+C65-91684</f>
        <v>98250</v>
      </c>
      <c r="G65" s="21">
        <f>+D65-93384</f>
        <v>106008</v>
      </c>
      <c r="H65" s="22">
        <f t="shared" si="21"/>
        <v>-7.3183155988227305E-2</v>
      </c>
      <c r="I65" s="23">
        <f t="shared" si="22"/>
        <v>84.095665020480794</v>
      </c>
      <c r="J65" s="23">
        <f t="shared" si="23"/>
        <v>162.57125740458014</v>
      </c>
      <c r="K65" s="21">
        <v>15972626.039999999</v>
      </c>
      <c r="L65" s="21">
        <v>15152331.41</v>
      </c>
      <c r="M65" s="24">
        <f t="shared" si="24"/>
        <v>5.4136529079520636E-2</v>
      </c>
      <c r="N65" s="10"/>
      <c r="R65" s="2"/>
    </row>
    <row r="66" spans="1:18" ht="15.75" thickBot="1" x14ac:dyDescent="0.25">
      <c r="A66" s="37"/>
      <c r="B66" s="20"/>
      <c r="C66" s="21"/>
      <c r="D66" s="21"/>
      <c r="E66" s="22"/>
      <c r="F66" s="21"/>
      <c r="G66" s="21"/>
      <c r="H66" s="22"/>
      <c r="I66" s="23"/>
      <c r="J66" s="23"/>
      <c r="K66" s="21"/>
      <c r="L66" s="21"/>
      <c r="M66" s="24"/>
      <c r="N66" s="10"/>
      <c r="R66" s="2"/>
    </row>
    <row r="67" spans="1:18" ht="17.25" thickTop="1" thickBot="1" x14ac:dyDescent="0.3">
      <c r="A67" s="38" t="s">
        <v>14</v>
      </c>
      <c r="B67" s="39"/>
      <c r="C67" s="40">
        <f>SUM(C57:C66)</f>
        <v>1667800</v>
      </c>
      <c r="D67" s="40">
        <f>SUM(D57:D66)</f>
        <v>1542308</v>
      </c>
      <c r="E67" s="280">
        <f>(+C67-D67)/D67</f>
        <v>8.136636780720842E-2</v>
      </c>
      <c r="F67" s="46">
        <f>SUM(F57:F66)</f>
        <v>868566</v>
      </c>
      <c r="G67" s="47">
        <f>SUM(G57:G66)</f>
        <v>829635</v>
      </c>
      <c r="H67" s="48">
        <f>(+F67-G67)/G67</f>
        <v>4.6925455170044657E-2</v>
      </c>
      <c r="I67" s="49">
        <f>K67/C67</f>
        <v>81.153941773593957</v>
      </c>
      <c r="J67" s="50">
        <f>K67/F67</f>
        <v>155.82988982990355</v>
      </c>
      <c r="K67" s="47">
        <f>SUM(K57:K66)</f>
        <v>135348544.09</v>
      </c>
      <c r="L67" s="46">
        <f>SUM(L57:L66)</f>
        <v>120489928.95999999</v>
      </c>
      <c r="M67" s="43">
        <f>(+K67-L67)/L67</f>
        <v>0.12331831596425577</v>
      </c>
      <c r="N67" s="10"/>
      <c r="R67" s="2"/>
    </row>
    <row r="68" spans="1:18" ht="15.75" customHeight="1" thickTop="1" x14ac:dyDescent="0.25">
      <c r="A68" s="272"/>
      <c r="B68" s="44"/>
      <c r="C68" s="21"/>
      <c r="D68" s="21"/>
      <c r="E68" s="22"/>
      <c r="F68" s="21"/>
      <c r="G68" s="21"/>
      <c r="H68" s="22"/>
      <c r="I68" s="23"/>
      <c r="J68" s="23"/>
      <c r="K68" s="21"/>
      <c r="L68" s="21"/>
      <c r="M68" s="24"/>
      <c r="N68" s="10"/>
      <c r="R68" s="2"/>
    </row>
    <row r="69" spans="1:18" ht="15.75" x14ac:dyDescent="0.25">
      <c r="A69" s="273" t="s">
        <v>61</v>
      </c>
      <c r="B69" s="20">
        <f>DATE(2025,7,1)</f>
        <v>45839</v>
      </c>
      <c r="C69" s="21">
        <v>94878</v>
      </c>
      <c r="D69" s="21">
        <v>92648</v>
      </c>
      <c r="E69" s="22">
        <f t="shared" ref="E69:E77" si="25">(+C69-D69)/D69</f>
        <v>2.4069596753302825E-2</v>
      </c>
      <c r="F69" s="21">
        <f>+C69-48029</f>
        <v>46849</v>
      </c>
      <c r="G69" s="21">
        <f>+D69-46627</f>
        <v>46021</v>
      </c>
      <c r="H69" s="22">
        <f t="shared" ref="H69:H77" si="26">(+F69-G69)/G69</f>
        <v>1.7991786358401599E-2</v>
      </c>
      <c r="I69" s="23">
        <f t="shared" ref="I69:I77" si="27">K69/C69</f>
        <v>61.843469613609052</v>
      </c>
      <c r="J69" s="23">
        <f t="shared" ref="J69:J77" si="28">K69/F69</f>
        <v>125.24460949006382</v>
      </c>
      <c r="K69" s="21">
        <v>5867584.71</v>
      </c>
      <c r="L69" s="21">
        <v>5846003.7300000004</v>
      </c>
      <c r="M69" s="24">
        <f t="shared" ref="M69:M77" si="29">(+K69-L69)/L69</f>
        <v>3.6915782125235687E-3</v>
      </c>
      <c r="N69" s="10"/>
      <c r="R69" s="2"/>
    </row>
    <row r="70" spans="1:18" ht="15.75" x14ac:dyDescent="0.25">
      <c r="A70" s="273"/>
      <c r="B70" s="20">
        <f>DATE(2025,8,1)</f>
        <v>45870</v>
      </c>
      <c r="C70" s="21">
        <v>97250</v>
      </c>
      <c r="D70" s="21">
        <v>95306</v>
      </c>
      <c r="E70" s="22">
        <f t="shared" si="25"/>
        <v>2.039745661343462E-2</v>
      </c>
      <c r="F70" s="21">
        <f>+C70-49642</f>
        <v>47608</v>
      </c>
      <c r="G70" s="21">
        <f>+D70-47322</f>
        <v>47984</v>
      </c>
      <c r="H70" s="22">
        <f t="shared" si="26"/>
        <v>-7.8359453151050345E-3</v>
      </c>
      <c r="I70" s="23">
        <f t="shared" si="27"/>
        <v>62.609686169665814</v>
      </c>
      <c r="J70" s="23">
        <f t="shared" si="28"/>
        <v>127.89430305830953</v>
      </c>
      <c r="K70" s="21">
        <v>6088791.9800000004</v>
      </c>
      <c r="L70" s="21">
        <v>6105616.8799999999</v>
      </c>
      <c r="M70" s="24">
        <f t="shared" si="29"/>
        <v>-2.7556429318571071E-3</v>
      </c>
      <c r="N70" s="10"/>
      <c r="R70" s="2"/>
    </row>
    <row r="71" spans="1:18" ht="15.75" x14ac:dyDescent="0.25">
      <c r="A71" s="273"/>
      <c r="B71" s="20">
        <f>DATE(2025,9,1)</f>
        <v>45901</v>
      </c>
      <c r="C71" s="21">
        <v>89768</v>
      </c>
      <c r="D71" s="21">
        <v>91616</v>
      </c>
      <c r="E71" s="22">
        <f t="shared" si="25"/>
        <v>-2.0171149144254278E-2</v>
      </c>
      <c r="F71" s="21">
        <f>+C71-44178</f>
        <v>45590</v>
      </c>
      <c r="G71" s="21">
        <f>+D71-47055</f>
        <v>44561</v>
      </c>
      <c r="H71" s="22">
        <f t="shared" si="26"/>
        <v>2.3091941383721191E-2</v>
      </c>
      <c r="I71" s="23">
        <f t="shared" si="27"/>
        <v>62.32700717404866</v>
      </c>
      <c r="J71" s="23">
        <f t="shared" si="28"/>
        <v>122.72364071068218</v>
      </c>
      <c r="K71" s="21">
        <v>5594970.7800000003</v>
      </c>
      <c r="L71" s="21">
        <v>5893817.8799999999</v>
      </c>
      <c r="M71" s="24">
        <f t="shared" si="29"/>
        <v>-5.0705180595094948E-2</v>
      </c>
      <c r="N71" s="10"/>
      <c r="R71" s="2"/>
    </row>
    <row r="72" spans="1:18" ht="15.75" x14ac:dyDescent="0.25">
      <c r="A72" s="273"/>
      <c r="B72" s="20">
        <f>DATE(2025,10,1)</f>
        <v>45931</v>
      </c>
      <c r="C72" s="21">
        <v>86661</v>
      </c>
      <c r="D72" s="21">
        <v>87502</v>
      </c>
      <c r="E72" s="22">
        <f t="shared" si="25"/>
        <v>-9.6112088866540189E-3</v>
      </c>
      <c r="F72" s="21">
        <f>+C72-42878</f>
        <v>43783</v>
      </c>
      <c r="G72" s="21">
        <f>+D72-43980</f>
        <v>43522</v>
      </c>
      <c r="H72" s="22">
        <f t="shared" si="26"/>
        <v>5.9969670511465468E-3</v>
      </c>
      <c r="I72" s="23">
        <f t="shared" si="27"/>
        <v>61.934212275418005</v>
      </c>
      <c r="J72" s="23">
        <f t="shared" si="28"/>
        <v>122.58823675855925</v>
      </c>
      <c r="K72" s="21">
        <v>5367280.7699999996</v>
      </c>
      <c r="L72" s="21">
        <v>5684741.7699999996</v>
      </c>
      <c r="M72" s="24">
        <f t="shared" si="29"/>
        <v>-5.584440117849012E-2</v>
      </c>
      <c r="N72" s="10"/>
      <c r="R72" s="2"/>
    </row>
    <row r="73" spans="1:18" ht="15.75" x14ac:dyDescent="0.25">
      <c r="A73" s="273"/>
      <c r="B73" s="20">
        <f>DATE(2025,11,1)</f>
        <v>45962</v>
      </c>
      <c r="C73" s="21">
        <v>91773</v>
      </c>
      <c r="D73" s="21">
        <v>90838</v>
      </c>
      <c r="E73" s="22">
        <f t="shared" si="25"/>
        <v>1.0293049164446597E-2</v>
      </c>
      <c r="F73" s="21">
        <f>+C73-46467</f>
        <v>45306</v>
      </c>
      <c r="G73" s="21">
        <f>+D73-45664</f>
        <v>45174</v>
      </c>
      <c r="H73" s="22">
        <f t="shared" si="26"/>
        <v>2.922034798778058E-3</v>
      </c>
      <c r="I73" s="23">
        <f t="shared" si="27"/>
        <v>63.778900330162465</v>
      </c>
      <c r="J73" s="23">
        <f t="shared" si="28"/>
        <v>129.19218249238511</v>
      </c>
      <c r="K73" s="21">
        <v>5853181.0199999996</v>
      </c>
      <c r="L73" s="21">
        <v>6221115.5499999998</v>
      </c>
      <c r="M73" s="24">
        <f t="shared" si="29"/>
        <v>-5.9142854210447876E-2</v>
      </c>
      <c r="N73" s="10"/>
      <c r="R73" s="2"/>
    </row>
    <row r="74" spans="1:18" ht="15.75" x14ac:dyDescent="0.25">
      <c r="A74" s="273"/>
      <c r="B74" s="20">
        <f>DATE(2025,12,1)</f>
        <v>45992</v>
      </c>
      <c r="C74" s="21">
        <v>102126</v>
      </c>
      <c r="D74" s="21">
        <v>97178</v>
      </c>
      <c r="E74" s="22">
        <f t="shared" si="25"/>
        <v>5.0916874189631395E-2</v>
      </c>
      <c r="F74" s="21">
        <f>+C74-52305</f>
        <v>49821</v>
      </c>
      <c r="G74" s="21">
        <f>+D74-49780</f>
        <v>47398</v>
      </c>
      <c r="H74" s="22">
        <f t="shared" si="26"/>
        <v>5.1120300434617495E-2</v>
      </c>
      <c r="I74" s="23">
        <f t="shared" si="27"/>
        <v>59.547625678083939</v>
      </c>
      <c r="J74" s="23">
        <f t="shared" si="28"/>
        <v>122.06420625840509</v>
      </c>
      <c r="K74" s="21">
        <v>6081360.8200000003</v>
      </c>
      <c r="L74" s="21">
        <v>6137531.1200000001</v>
      </c>
      <c r="M74" s="24">
        <f t="shared" si="29"/>
        <v>-9.1519373021117668E-3</v>
      </c>
      <c r="N74" s="10"/>
      <c r="R74" s="2"/>
    </row>
    <row r="75" spans="1:18" ht="15.75" x14ac:dyDescent="0.25">
      <c r="A75" s="273"/>
      <c r="B75" s="20">
        <f>DATE(2026,1,1)</f>
        <v>46023</v>
      </c>
      <c r="C75" s="21">
        <v>85074</v>
      </c>
      <c r="D75" s="21">
        <v>79743</v>
      </c>
      <c r="E75" s="22">
        <f t="shared" si="25"/>
        <v>6.6852262894548736E-2</v>
      </c>
      <c r="F75" s="21">
        <f>+C75-42885</f>
        <v>42189</v>
      </c>
      <c r="G75" s="21">
        <f>+D75-41239</f>
        <v>38504</v>
      </c>
      <c r="H75" s="22">
        <f t="shared" si="26"/>
        <v>9.57043424059838E-2</v>
      </c>
      <c r="I75" s="23">
        <f t="shared" si="27"/>
        <v>64.276734254883976</v>
      </c>
      <c r="J75" s="23">
        <f t="shared" si="28"/>
        <v>129.61385408518808</v>
      </c>
      <c r="K75" s="21">
        <v>5468278.8899999997</v>
      </c>
      <c r="L75" s="21">
        <v>5043020.5</v>
      </c>
      <c r="M75" s="24">
        <f t="shared" si="29"/>
        <v>8.432612756581094E-2</v>
      </c>
      <c r="N75" s="10"/>
      <c r="R75" s="2"/>
    </row>
    <row r="76" spans="1:18" ht="15.75" x14ac:dyDescent="0.25">
      <c r="A76" s="273"/>
      <c r="B76" s="20">
        <f>DATE(2026,2,1)</f>
        <v>46054</v>
      </c>
      <c r="C76" s="21">
        <v>97001</v>
      </c>
      <c r="D76" s="21">
        <v>87733</v>
      </c>
      <c r="E76" s="22">
        <f t="shared" si="25"/>
        <v>0.10563869923517946</v>
      </c>
      <c r="F76" s="21">
        <f>+C76-48986</f>
        <v>48015</v>
      </c>
      <c r="G76" s="21">
        <f>+D76-45541</f>
        <v>42192</v>
      </c>
      <c r="H76" s="22">
        <f t="shared" si="26"/>
        <v>0.13801194539249148</v>
      </c>
      <c r="I76" s="23">
        <f t="shared" si="27"/>
        <v>64.831490190822777</v>
      </c>
      <c r="J76" s="23">
        <f t="shared" si="28"/>
        <v>130.9740576903051</v>
      </c>
      <c r="K76" s="21">
        <v>6288719.3799999999</v>
      </c>
      <c r="L76" s="21">
        <v>5888108.5099999998</v>
      </c>
      <c r="M76" s="24">
        <f t="shared" si="29"/>
        <v>6.8037277050792683E-2</v>
      </c>
      <c r="N76" s="10"/>
      <c r="R76" s="2"/>
    </row>
    <row r="77" spans="1:18" ht="15.75" x14ac:dyDescent="0.25">
      <c r="A77" s="273"/>
      <c r="B77" s="20">
        <f>DATE(2026,3,1)</f>
        <v>46082</v>
      </c>
      <c r="C77" s="21">
        <v>97892</v>
      </c>
      <c r="D77" s="21">
        <v>98486</v>
      </c>
      <c r="E77" s="22">
        <f t="shared" si="25"/>
        <v>-6.0313140954044234E-3</v>
      </c>
      <c r="F77" s="21">
        <f>+C77-48695</f>
        <v>49197</v>
      </c>
      <c r="G77" s="21">
        <f>+D77-50439</f>
        <v>48047</v>
      </c>
      <c r="H77" s="22">
        <f t="shared" si="26"/>
        <v>2.3934897079942556E-2</v>
      </c>
      <c r="I77" s="23">
        <f t="shared" si="27"/>
        <v>67.022952130919791</v>
      </c>
      <c r="J77" s="23">
        <f t="shared" si="28"/>
        <v>133.36201048844441</v>
      </c>
      <c r="K77" s="21">
        <v>6561010.8300000001</v>
      </c>
      <c r="L77" s="21">
        <v>6288619.5499999998</v>
      </c>
      <c r="M77" s="24">
        <f t="shared" si="29"/>
        <v>4.3314956141686178E-2</v>
      </c>
      <c r="N77" s="10"/>
      <c r="R77" s="2"/>
    </row>
    <row r="78" spans="1:18" ht="15.75" customHeight="1" thickBot="1" x14ac:dyDescent="0.3">
      <c r="A78" s="19"/>
      <c r="B78" s="20"/>
      <c r="C78" s="21"/>
      <c r="D78" s="21"/>
      <c r="E78" s="22"/>
      <c r="F78" s="21"/>
      <c r="G78" s="21"/>
      <c r="H78" s="22"/>
      <c r="I78" s="23"/>
      <c r="J78" s="23"/>
      <c r="K78" s="21"/>
      <c r="L78" s="21"/>
      <c r="M78" s="24"/>
      <c r="N78" s="10"/>
      <c r="R78" s="2"/>
    </row>
    <row r="79" spans="1:18" ht="17.45" customHeight="1" thickTop="1" thickBot="1" x14ac:dyDescent="0.3">
      <c r="A79" s="38" t="s">
        <v>14</v>
      </c>
      <c r="B79" s="51"/>
      <c r="C79" s="46">
        <f>SUM(C69:C78)</f>
        <v>842423</v>
      </c>
      <c r="D79" s="47">
        <f>SUM(D69:D78)</f>
        <v>821050</v>
      </c>
      <c r="E79" s="280">
        <f>(+C79-D79)/D79</f>
        <v>2.6031301382376224E-2</v>
      </c>
      <c r="F79" s="47">
        <f>SUM(F69:F78)</f>
        <v>418358</v>
      </c>
      <c r="G79" s="46">
        <f>SUM(G69:G78)</f>
        <v>403403</v>
      </c>
      <c r="H79" s="45">
        <f>(+F79-G79)/G79</f>
        <v>3.7072109032406798E-2</v>
      </c>
      <c r="I79" s="50">
        <f>K79/C79</f>
        <v>63.116960458107151</v>
      </c>
      <c r="J79" s="49">
        <f>K79/F79</f>
        <v>127.09492630713407</v>
      </c>
      <c r="K79" s="46">
        <f>SUM(K69:K78)</f>
        <v>53171179.18</v>
      </c>
      <c r="L79" s="47">
        <f>SUM(L69:L78)</f>
        <v>53108575.489999995</v>
      </c>
      <c r="M79" s="43">
        <f>(+K79-L79)/L79</f>
        <v>1.1787868422829934E-3</v>
      </c>
      <c r="N79" s="10"/>
      <c r="R79" s="2"/>
    </row>
    <row r="80" spans="1:18" ht="15.75" customHeight="1" thickTop="1" x14ac:dyDescent="0.25">
      <c r="A80" s="19"/>
      <c r="B80" s="44"/>
      <c r="C80" s="21"/>
      <c r="D80" s="21"/>
      <c r="E80" s="22"/>
      <c r="F80" s="21"/>
      <c r="G80" s="21"/>
      <c r="H80" s="22"/>
      <c r="I80" s="23"/>
      <c r="J80" s="23"/>
      <c r="K80" s="21"/>
      <c r="L80" s="21"/>
      <c r="M80" s="24"/>
      <c r="N80" s="10"/>
      <c r="R80" s="2"/>
    </row>
    <row r="81" spans="1:18" ht="15.75" x14ac:dyDescent="0.25">
      <c r="A81" s="19" t="s">
        <v>67</v>
      </c>
      <c r="B81" s="20">
        <f>DATE(2025,7,1)</f>
        <v>45839</v>
      </c>
      <c r="C81" s="21">
        <v>204452</v>
      </c>
      <c r="D81" s="21">
        <v>257776</v>
      </c>
      <c r="E81" s="22">
        <f t="shared" ref="E81:E89" si="30">(+C81-D81)/D81</f>
        <v>-0.20686177146049284</v>
      </c>
      <c r="F81" s="21">
        <f>+C81-91736</f>
        <v>112716</v>
      </c>
      <c r="G81" s="21">
        <f>+D81-114796</f>
        <v>142980</v>
      </c>
      <c r="H81" s="22">
        <f t="shared" ref="H81:H89" si="31">(+F81-G81)/G81</f>
        <v>-0.2116659672681494</v>
      </c>
      <c r="I81" s="23">
        <f t="shared" ref="I81:I89" si="32">K81/C81</f>
        <v>54.127444877037149</v>
      </c>
      <c r="J81" s="23">
        <f t="shared" ref="J81:J89" si="33">K81/F81</f>
        <v>98.180066361474857</v>
      </c>
      <c r="K81" s="21">
        <v>11066464.359999999</v>
      </c>
      <c r="L81" s="21">
        <v>11751251.060000001</v>
      </c>
      <c r="M81" s="24">
        <f t="shared" ref="M81:M89" si="34">(+K81-L81)/L81</f>
        <v>-5.8273514581859427E-2</v>
      </c>
      <c r="N81" s="10"/>
      <c r="R81" s="2"/>
    </row>
    <row r="82" spans="1:18" ht="15.75" x14ac:dyDescent="0.25">
      <c r="A82" s="19"/>
      <c r="B82" s="20">
        <f>DATE(2025,8,1)</f>
        <v>45870</v>
      </c>
      <c r="C82" s="21">
        <v>206255</v>
      </c>
      <c r="D82" s="21">
        <v>262210</v>
      </c>
      <c r="E82" s="22">
        <f t="shared" si="30"/>
        <v>-0.21339765836543229</v>
      </c>
      <c r="F82" s="21">
        <f>+C82-94629</f>
        <v>111626</v>
      </c>
      <c r="G82" s="21">
        <f>+D82-116032</f>
        <v>146178</v>
      </c>
      <c r="H82" s="22">
        <f t="shared" si="31"/>
        <v>-0.23636935790611446</v>
      </c>
      <c r="I82" s="23">
        <f t="shared" si="32"/>
        <v>54.740301035126414</v>
      </c>
      <c r="J82" s="23">
        <f t="shared" si="33"/>
        <v>101.14543914500206</v>
      </c>
      <c r="K82" s="21">
        <v>11290460.789999999</v>
      </c>
      <c r="L82" s="21">
        <v>11860379.300000001</v>
      </c>
      <c r="M82" s="24">
        <f t="shared" si="34"/>
        <v>-4.8052300485870766E-2</v>
      </c>
      <c r="N82" s="10"/>
      <c r="R82" s="2"/>
    </row>
    <row r="83" spans="1:18" ht="15.75" x14ac:dyDescent="0.25">
      <c r="A83" s="19"/>
      <c r="B83" s="20">
        <f>DATE(2025,9,1)</f>
        <v>45901</v>
      </c>
      <c r="C83" s="21">
        <v>194883</v>
      </c>
      <c r="D83" s="21">
        <v>241213</v>
      </c>
      <c r="E83" s="22">
        <f t="shared" si="30"/>
        <v>-0.19207090828437937</v>
      </c>
      <c r="F83" s="21">
        <f>+C83-89384</f>
        <v>105499</v>
      </c>
      <c r="G83" s="21">
        <f>+D83-107281</f>
        <v>133932</v>
      </c>
      <c r="H83" s="22">
        <f t="shared" si="31"/>
        <v>-0.21229429859928919</v>
      </c>
      <c r="I83" s="23">
        <f t="shared" si="32"/>
        <v>52.214070237014006</v>
      </c>
      <c r="J83" s="23">
        <f t="shared" si="33"/>
        <v>96.452427511161247</v>
      </c>
      <c r="K83" s="21">
        <v>10175634.65</v>
      </c>
      <c r="L83" s="21">
        <v>11084672.869999999</v>
      </c>
      <c r="M83" s="24">
        <f t="shared" si="34"/>
        <v>-8.2008574421736535E-2</v>
      </c>
      <c r="N83" s="10"/>
      <c r="R83" s="2"/>
    </row>
    <row r="84" spans="1:18" ht="15.75" x14ac:dyDescent="0.25">
      <c r="A84" s="19"/>
      <c r="B84" s="20">
        <f>DATE(2025,10,1)</f>
        <v>45931</v>
      </c>
      <c r="C84" s="21">
        <v>218620</v>
      </c>
      <c r="D84" s="21">
        <v>231557</v>
      </c>
      <c r="E84" s="22">
        <f t="shared" si="30"/>
        <v>-5.5869613097423096E-2</v>
      </c>
      <c r="F84" s="21">
        <f>+C84-103651</f>
        <v>114969</v>
      </c>
      <c r="G84" s="21">
        <f>+D84-99889</f>
        <v>131668</v>
      </c>
      <c r="H84" s="22">
        <f t="shared" si="31"/>
        <v>-0.1268265637816326</v>
      </c>
      <c r="I84" s="23">
        <f t="shared" si="32"/>
        <v>53.64063013447992</v>
      </c>
      <c r="J84" s="23">
        <f t="shared" si="33"/>
        <v>102.00066591863894</v>
      </c>
      <c r="K84" s="21">
        <v>11726914.560000001</v>
      </c>
      <c r="L84" s="21">
        <v>11878281.369999999</v>
      </c>
      <c r="M84" s="24">
        <f t="shared" si="34"/>
        <v>-1.2743157472451645E-2</v>
      </c>
      <c r="N84" s="10"/>
      <c r="R84" s="2"/>
    </row>
    <row r="85" spans="1:18" ht="15.75" x14ac:dyDescent="0.25">
      <c r="A85" s="19"/>
      <c r="B85" s="20">
        <f>DATE(2025,11,1)</f>
        <v>45962</v>
      </c>
      <c r="C85" s="21">
        <v>207013</v>
      </c>
      <c r="D85" s="21">
        <v>205210</v>
      </c>
      <c r="E85" s="22">
        <f t="shared" si="30"/>
        <v>8.7861215340383023E-3</v>
      </c>
      <c r="F85" s="21">
        <f>+C85-97618</f>
        <v>109395</v>
      </c>
      <c r="G85" s="21">
        <f>+D85-93004</f>
        <v>112206</v>
      </c>
      <c r="H85" s="22">
        <f t="shared" si="31"/>
        <v>-2.5052136249398428E-2</v>
      </c>
      <c r="I85" s="23">
        <f t="shared" si="32"/>
        <v>51.339658910309986</v>
      </c>
      <c r="J85" s="23">
        <f t="shared" si="33"/>
        <v>97.152308697838109</v>
      </c>
      <c r="K85" s="21">
        <v>10627976.810000001</v>
      </c>
      <c r="L85" s="21">
        <v>10272183.310000001</v>
      </c>
      <c r="M85" s="24">
        <f t="shared" si="34"/>
        <v>3.463659956823726E-2</v>
      </c>
      <c r="N85" s="10"/>
      <c r="R85" s="2"/>
    </row>
    <row r="86" spans="1:18" ht="15.75" x14ac:dyDescent="0.25">
      <c r="A86" s="19"/>
      <c r="B86" s="20">
        <f>DATE(2025,12,1)</f>
        <v>45992</v>
      </c>
      <c r="C86" s="21">
        <v>199611</v>
      </c>
      <c r="D86" s="21">
        <v>207194</v>
      </c>
      <c r="E86" s="22">
        <f t="shared" si="30"/>
        <v>-3.6598550151066153E-2</v>
      </c>
      <c r="F86" s="21">
        <f>+C86-94143</f>
        <v>105468</v>
      </c>
      <c r="G86" s="21">
        <f>+D86-94614</f>
        <v>112580</v>
      </c>
      <c r="H86" s="22">
        <f t="shared" si="31"/>
        <v>-6.31728548587671E-2</v>
      </c>
      <c r="I86" s="23">
        <f t="shared" si="32"/>
        <v>52.883138604585916</v>
      </c>
      <c r="J86" s="23">
        <f t="shared" si="33"/>
        <v>100.08776292335115</v>
      </c>
      <c r="K86" s="21">
        <v>10556056.18</v>
      </c>
      <c r="L86" s="21">
        <v>10621511.76</v>
      </c>
      <c r="M86" s="24">
        <f t="shared" si="34"/>
        <v>-6.1625483715512146E-3</v>
      </c>
      <c r="N86" s="10"/>
      <c r="R86" s="2"/>
    </row>
    <row r="87" spans="1:18" ht="15.75" x14ac:dyDescent="0.25">
      <c r="A87" s="19"/>
      <c r="B87" s="20">
        <f>DATE(2026,1,1)</f>
        <v>46023</v>
      </c>
      <c r="C87" s="21">
        <v>180275</v>
      </c>
      <c r="D87" s="21">
        <v>172639</v>
      </c>
      <c r="E87" s="22">
        <f t="shared" si="30"/>
        <v>4.4231025434577353E-2</v>
      </c>
      <c r="F87" s="21">
        <f>+C87-84812</f>
        <v>95463</v>
      </c>
      <c r="G87" s="21">
        <f>+D87-79564</f>
        <v>93075</v>
      </c>
      <c r="H87" s="22">
        <f t="shared" si="31"/>
        <v>2.5656728444802577E-2</v>
      </c>
      <c r="I87" s="23">
        <f t="shared" si="32"/>
        <v>54.313743225627519</v>
      </c>
      <c r="J87" s="23">
        <f t="shared" si="33"/>
        <v>102.56759226087594</v>
      </c>
      <c r="K87" s="21">
        <v>9791410.0600000005</v>
      </c>
      <c r="L87" s="21">
        <v>9231963.5700000003</v>
      </c>
      <c r="M87" s="24">
        <f t="shared" si="34"/>
        <v>6.0598862393474569E-2</v>
      </c>
      <c r="N87" s="10"/>
      <c r="R87" s="2"/>
    </row>
    <row r="88" spans="1:18" ht="15.75" x14ac:dyDescent="0.25">
      <c r="A88" s="19"/>
      <c r="B88" s="20">
        <f>DATE(2026,2,1)</f>
        <v>46054</v>
      </c>
      <c r="C88" s="21">
        <v>180252</v>
      </c>
      <c r="D88" s="21">
        <v>179810</v>
      </c>
      <c r="E88" s="22">
        <f t="shared" si="30"/>
        <v>2.4581502697291584E-3</v>
      </c>
      <c r="F88" s="21">
        <f>+C88-85629</f>
        <v>94623</v>
      </c>
      <c r="G88" s="21">
        <f>+D88-82150</f>
        <v>97660</v>
      </c>
      <c r="H88" s="22">
        <f t="shared" si="31"/>
        <v>-3.1097685848863403E-2</v>
      </c>
      <c r="I88" s="23">
        <f t="shared" si="32"/>
        <v>55.258693440294699</v>
      </c>
      <c r="J88" s="23">
        <f t="shared" si="33"/>
        <v>105.26499910169832</v>
      </c>
      <c r="K88" s="21">
        <v>9960490.0099999998</v>
      </c>
      <c r="L88" s="21">
        <v>9993776.1699999999</v>
      </c>
      <c r="M88" s="24">
        <f t="shared" si="34"/>
        <v>-3.3306889641896141E-3</v>
      </c>
      <c r="N88" s="10"/>
      <c r="R88" s="2"/>
    </row>
    <row r="89" spans="1:18" ht="15.75" x14ac:dyDescent="0.25">
      <c r="A89" s="19"/>
      <c r="B89" s="20">
        <f>DATE(2026,3,1)</f>
        <v>46082</v>
      </c>
      <c r="C89" s="21">
        <v>190374</v>
      </c>
      <c r="D89" s="21">
        <v>223976</v>
      </c>
      <c r="E89" s="22">
        <f t="shared" si="30"/>
        <v>-0.15002500267885846</v>
      </c>
      <c r="F89" s="21">
        <f>+C89-87868</f>
        <v>102506</v>
      </c>
      <c r="G89" s="21">
        <f>+D89-101719</f>
        <v>122257</v>
      </c>
      <c r="H89" s="22">
        <f t="shared" si="31"/>
        <v>-0.1615531217026428</v>
      </c>
      <c r="I89" s="23">
        <f t="shared" si="32"/>
        <v>58.42204439681889</v>
      </c>
      <c r="J89" s="23">
        <f t="shared" si="33"/>
        <v>108.50133923867871</v>
      </c>
      <c r="K89" s="21">
        <v>11122038.279999999</v>
      </c>
      <c r="L89" s="21">
        <v>12258742.58</v>
      </c>
      <c r="M89" s="24">
        <f t="shared" si="34"/>
        <v>-9.2726011055531993E-2</v>
      </c>
      <c r="N89" s="10"/>
      <c r="R89" s="2"/>
    </row>
    <row r="90" spans="1:18" ht="15.75" customHeight="1" thickBot="1" x14ac:dyDescent="0.3">
      <c r="A90" s="19"/>
      <c r="B90" s="44"/>
      <c r="C90" s="21"/>
      <c r="D90" s="21"/>
      <c r="E90" s="22"/>
      <c r="F90" s="21"/>
      <c r="G90" s="21"/>
      <c r="H90" s="22"/>
      <c r="I90" s="23"/>
      <c r="J90" s="23"/>
      <c r="K90" s="21"/>
      <c r="L90" s="21"/>
      <c r="M90" s="24"/>
      <c r="N90" s="10"/>
      <c r="R90" s="2"/>
    </row>
    <row r="91" spans="1:18" ht="17.45" customHeight="1" thickTop="1" thickBot="1" x14ac:dyDescent="0.3">
      <c r="A91" s="38" t="s">
        <v>14</v>
      </c>
      <c r="B91" s="51"/>
      <c r="C91" s="46">
        <f>SUM(C81:C90)</f>
        <v>1781735</v>
      </c>
      <c r="D91" s="47">
        <f>SUM(D81:D90)</f>
        <v>1981585</v>
      </c>
      <c r="E91" s="280">
        <f>(+C91-D91)/D91</f>
        <v>-0.10085360961048857</v>
      </c>
      <c r="F91" s="47">
        <f>SUM(F81:F90)</f>
        <v>952265</v>
      </c>
      <c r="G91" s="46">
        <f>SUM(G81:G90)</f>
        <v>1092536</v>
      </c>
      <c r="H91" s="52">
        <f>(+F91-G91)/G91</f>
        <v>-0.12839027729978691</v>
      </c>
      <c r="I91" s="50">
        <f>K91/C91</f>
        <v>54.058232958324332</v>
      </c>
      <c r="J91" s="49">
        <f>K91/F91</f>
        <v>101.14563246575271</v>
      </c>
      <c r="K91" s="46">
        <f>SUM(K81:K90)</f>
        <v>96317445.700000003</v>
      </c>
      <c r="L91" s="47">
        <f>SUM(L81:L90)</f>
        <v>98952761.99000001</v>
      </c>
      <c r="M91" s="43">
        <f>(+K91-L91)/L91</f>
        <v>-2.6632063997024429E-2</v>
      </c>
      <c r="N91" s="10"/>
      <c r="R91" s="2"/>
    </row>
    <row r="92" spans="1:18" ht="15.75" customHeight="1" thickTop="1" x14ac:dyDescent="0.25">
      <c r="A92" s="19"/>
      <c r="B92" s="44"/>
      <c r="C92" s="21"/>
      <c r="D92" s="21"/>
      <c r="E92" s="22"/>
      <c r="F92" s="21"/>
      <c r="G92" s="21"/>
      <c r="H92" s="22"/>
      <c r="I92" s="23"/>
      <c r="J92" s="23"/>
      <c r="K92" s="21"/>
      <c r="L92" s="21"/>
      <c r="M92" s="24"/>
      <c r="N92" s="10"/>
      <c r="R92" s="2"/>
    </row>
    <row r="93" spans="1:18" ht="15.75" customHeight="1" x14ac:dyDescent="0.25">
      <c r="A93" s="19" t="s">
        <v>69</v>
      </c>
      <c r="B93" s="20">
        <f>DATE(2025,7,1)</f>
        <v>45839</v>
      </c>
      <c r="C93" s="21">
        <v>216398</v>
      </c>
      <c r="D93" s="21">
        <v>179532</v>
      </c>
      <c r="E93" s="22">
        <f t="shared" ref="E93:E101" si="35">(+C93-D93)/D93</f>
        <v>0.20534500813225498</v>
      </c>
      <c r="F93" s="21">
        <f>+C93-97090</f>
        <v>119308</v>
      </c>
      <c r="G93" s="21">
        <f>+D93-80702</f>
        <v>98830</v>
      </c>
      <c r="H93" s="22">
        <f t="shared" ref="H93:H101" si="36">(+F93-G93)/G93</f>
        <v>0.20720429019528483</v>
      </c>
      <c r="I93" s="23">
        <f t="shared" ref="I93:I101" si="37">K93/C93</f>
        <v>66.817602658065226</v>
      </c>
      <c r="J93" s="23">
        <f t="shared" ref="J93:J101" si="38">K93/F93</f>
        <v>121.19217135481276</v>
      </c>
      <c r="K93" s="21">
        <v>14459195.58</v>
      </c>
      <c r="L93" s="21">
        <v>11941116.9</v>
      </c>
      <c r="M93" s="24">
        <f t="shared" ref="M93:M101" si="39">(+K93-L93)/L93</f>
        <v>0.21087463602336895</v>
      </c>
      <c r="N93" s="10"/>
      <c r="R93" s="2"/>
    </row>
    <row r="94" spans="1:18" ht="15.75" customHeight="1" x14ac:dyDescent="0.25">
      <c r="A94" s="19"/>
      <c r="B94" s="20">
        <f>DATE(2025,8,1)</f>
        <v>45870</v>
      </c>
      <c r="C94" s="21">
        <v>230610</v>
      </c>
      <c r="D94" s="21">
        <v>184933</v>
      </c>
      <c r="E94" s="22">
        <f t="shared" si="35"/>
        <v>0.24699215391520171</v>
      </c>
      <c r="F94" s="21">
        <f>+C94-104945</f>
        <v>125665</v>
      </c>
      <c r="G94" s="21">
        <f>+D94-83211</f>
        <v>101722</v>
      </c>
      <c r="H94" s="22">
        <f t="shared" si="36"/>
        <v>0.23537681130925464</v>
      </c>
      <c r="I94" s="23">
        <f t="shared" si="37"/>
        <v>66.540763583539317</v>
      </c>
      <c r="J94" s="23">
        <f t="shared" si="38"/>
        <v>122.11009819758883</v>
      </c>
      <c r="K94" s="21">
        <v>15344965.49</v>
      </c>
      <c r="L94" s="21">
        <v>11618380.869999999</v>
      </c>
      <c r="M94" s="24">
        <f t="shared" si="39"/>
        <v>0.32074904943273747</v>
      </c>
      <c r="N94" s="10"/>
      <c r="R94" s="2"/>
    </row>
    <row r="95" spans="1:18" ht="15.75" customHeight="1" x14ac:dyDescent="0.25">
      <c r="A95" s="19"/>
      <c r="B95" s="20">
        <f>DATE(2025,9,1)</f>
        <v>45901</v>
      </c>
      <c r="C95" s="21">
        <v>204466</v>
      </c>
      <c r="D95" s="21">
        <v>169283</v>
      </c>
      <c r="E95" s="22">
        <f t="shared" si="35"/>
        <v>0.20783539989248773</v>
      </c>
      <c r="F95" s="21">
        <f>+C95-91793</f>
        <v>112673</v>
      </c>
      <c r="G95" s="21">
        <f>+D95-78026</f>
        <v>91257</v>
      </c>
      <c r="H95" s="22">
        <f t="shared" si="36"/>
        <v>0.23467788772368148</v>
      </c>
      <c r="I95" s="23">
        <f t="shared" si="37"/>
        <v>64.941878894290497</v>
      </c>
      <c r="J95" s="23">
        <f t="shared" si="38"/>
        <v>117.84905176927926</v>
      </c>
      <c r="K95" s="21">
        <v>13278406.210000001</v>
      </c>
      <c r="L95" s="21">
        <v>10583991.34</v>
      </c>
      <c r="M95" s="24">
        <f t="shared" si="39"/>
        <v>0.25457455353511288</v>
      </c>
      <c r="N95" s="10"/>
      <c r="R95" s="2"/>
    </row>
    <row r="96" spans="1:18" ht="15.75" customHeight="1" x14ac:dyDescent="0.25">
      <c r="A96" s="19"/>
      <c r="B96" s="20">
        <f>DATE(2025,10,1)</f>
        <v>45931</v>
      </c>
      <c r="C96" s="21">
        <v>202121</v>
      </c>
      <c r="D96" s="21">
        <v>170885</v>
      </c>
      <c r="E96" s="22">
        <f t="shared" si="35"/>
        <v>0.18278959534189659</v>
      </c>
      <c r="F96" s="21">
        <f>+C96-92017</f>
        <v>110104</v>
      </c>
      <c r="G96" s="21">
        <f>+D96-79112</f>
        <v>91773</v>
      </c>
      <c r="H96" s="22">
        <f t="shared" si="36"/>
        <v>0.19974284375578874</v>
      </c>
      <c r="I96" s="23">
        <f t="shared" si="37"/>
        <v>64.579149370921385</v>
      </c>
      <c r="J96" s="23">
        <f t="shared" si="38"/>
        <v>118.54975523141756</v>
      </c>
      <c r="K96" s="21">
        <v>13052802.25</v>
      </c>
      <c r="L96" s="21">
        <v>10511697.35</v>
      </c>
      <c r="M96" s="24">
        <f t="shared" si="39"/>
        <v>0.2417406832969749</v>
      </c>
      <c r="N96" s="10"/>
      <c r="R96" s="2"/>
    </row>
    <row r="97" spans="1:18" ht="15.75" customHeight="1" x14ac:dyDescent="0.25">
      <c r="A97" s="19"/>
      <c r="B97" s="20">
        <f>DATE(2025,11,1)</f>
        <v>45962</v>
      </c>
      <c r="C97" s="21">
        <v>195611</v>
      </c>
      <c r="D97" s="21">
        <v>163835</v>
      </c>
      <c r="E97" s="22">
        <f t="shared" si="35"/>
        <v>0.19395123142185736</v>
      </c>
      <c r="F97" s="21">
        <f>+C97-90302</f>
        <v>105309</v>
      </c>
      <c r="G97" s="21">
        <f>+D97-76658</f>
        <v>87177</v>
      </c>
      <c r="H97" s="22">
        <f t="shared" si="36"/>
        <v>0.20799063973295709</v>
      </c>
      <c r="I97" s="23">
        <f t="shared" si="37"/>
        <v>65.308032370367712</v>
      </c>
      <c r="J97" s="23">
        <f t="shared" si="38"/>
        <v>121.30938020492076</v>
      </c>
      <c r="K97" s="21">
        <v>12774969.52</v>
      </c>
      <c r="L97" s="21">
        <v>11439180.77</v>
      </c>
      <c r="M97" s="24">
        <f t="shared" si="39"/>
        <v>0.11677311311516236</v>
      </c>
      <c r="N97" s="10"/>
      <c r="R97" s="2"/>
    </row>
    <row r="98" spans="1:18" ht="15.75" customHeight="1" x14ac:dyDescent="0.25">
      <c r="A98" s="19"/>
      <c r="B98" s="20">
        <f>DATE(2025,12,1)</f>
        <v>45992</v>
      </c>
      <c r="C98" s="21">
        <v>218568</v>
      </c>
      <c r="D98" s="21">
        <v>187552</v>
      </c>
      <c r="E98" s="22">
        <f t="shared" si="35"/>
        <v>0.16537280327589149</v>
      </c>
      <c r="F98" s="21">
        <f>+C98-98946</f>
        <v>119622</v>
      </c>
      <c r="G98" s="21">
        <f>+D98-85356</f>
        <v>102196</v>
      </c>
      <c r="H98" s="22">
        <f t="shared" si="36"/>
        <v>0.17051548005792791</v>
      </c>
      <c r="I98" s="23">
        <f t="shared" si="37"/>
        <v>65.857020652611538</v>
      </c>
      <c r="J98" s="23">
        <f t="shared" si="38"/>
        <v>120.3310201300764</v>
      </c>
      <c r="K98" s="21">
        <v>14394237.289999999</v>
      </c>
      <c r="L98" s="21">
        <v>12422717.1</v>
      </c>
      <c r="M98" s="24">
        <f t="shared" si="39"/>
        <v>0.15870281631061209</v>
      </c>
      <c r="N98" s="10"/>
      <c r="R98" s="2"/>
    </row>
    <row r="99" spans="1:18" ht="15.75" customHeight="1" x14ac:dyDescent="0.25">
      <c r="A99" s="19"/>
      <c r="B99" s="20">
        <f>DATE(2026,1,1)</f>
        <v>46023</v>
      </c>
      <c r="C99" s="21">
        <v>194031</v>
      </c>
      <c r="D99" s="21">
        <v>162090</v>
      </c>
      <c r="E99" s="22">
        <f t="shared" si="35"/>
        <v>0.19705719044975015</v>
      </c>
      <c r="F99" s="21">
        <f>+C99-91151</f>
        <v>102880</v>
      </c>
      <c r="G99" s="21">
        <f>+D99-76217</f>
        <v>85873</v>
      </c>
      <c r="H99" s="22">
        <f t="shared" si="36"/>
        <v>0.19804828060042154</v>
      </c>
      <c r="I99" s="23">
        <f t="shared" si="37"/>
        <v>65.506499013044305</v>
      </c>
      <c r="J99" s="23">
        <f t="shared" si="38"/>
        <v>123.54482416407465</v>
      </c>
      <c r="K99" s="21">
        <v>12710291.51</v>
      </c>
      <c r="L99" s="21">
        <v>10658580.1</v>
      </c>
      <c r="M99" s="24">
        <f t="shared" si="39"/>
        <v>0.19249387730360071</v>
      </c>
      <c r="N99" s="10"/>
      <c r="R99" s="2"/>
    </row>
    <row r="100" spans="1:18" ht="15.75" customHeight="1" x14ac:dyDescent="0.25">
      <c r="A100" s="19"/>
      <c r="B100" s="20">
        <f>DATE(2026,2,1)</f>
        <v>46054</v>
      </c>
      <c r="C100" s="21">
        <v>196626</v>
      </c>
      <c r="D100" s="21">
        <v>189601</v>
      </c>
      <c r="E100" s="22">
        <f t="shared" si="35"/>
        <v>3.7051492344449662E-2</v>
      </c>
      <c r="F100" s="21">
        <f>+C100-91502</f>
        <v>105124</v>
      </c>
      <c r="G100" s="21">
        <f>+D100-91547</f>
        <v>98054</v>
      </c>
      <c r="H100" s="22">
        <f t="shared" si="36"/>
        <v>7.2103126848471255E-2</v>
      </c>
      <c r="I100" s="23">
        <f t="shared" si="37"/>
        <v>65.764467211864158</v>
      </c>
      <c r="J100" s="23">
        <f t="shared" si="38"/>
        <v>123.00715469350482</v>
      </c>
      <c r="K100" s="21">
        <v>12931004.130000001</v>
      </c>
      <c r="L100" s="21">
        <v>12247130.060000001</v>
      </c>
      <c r="M100" s="24">
        <f t="shared" si="39"/>
        <v>5.5839536826148499E-2</v>
      </c>
      <c r="N100" s="10"/>
      <c r="R100" s="2"/>
    </row>
    <row r="101" spans="1:18" ht="15.75" customHeight="1" x14ac:dyDescent="0.25">
      <c r="A101" s="19"/>
      <c r="B101" s="20">
        <f>DATE(2026,3,1)</f>
        <v>46082</v>
      </c>
      <c r="C101" s="21">
        <v>231367</v>
      </c>
      <c r="D101" s="21">
        <v>226137</v>
      </c>
      <c r="E101" s="22">
        <f t="shared" si="35"/>
        <v>2.312757310833698E-2</v>
      </c>
      <c r="F101" s="21">
        <f>+C101-106137</f>
        <v>125230</v>
      </c>
      <c r="G101" s="21">
        <f>+D101-103195</f>
        <v>122942</v>
      </c>
      <c r="H101" s="22">
        <f t="shared" si="36"/>
        <v>1.8610401652811893E-2</v>
      </c>
      <c r="I101" s="23">
        <f t="shared" si="37"/>
        <v>64.42386355876161</v>
      </c>
      <c r="J101" s="23">
        <f t="shared" si="38"/>
        <v>119.02544150762596</v>
      </c>
      <c r="K101" s="21">
        <v>14905556.039999999</v>
      </c>
      <c r="L101" s="21">
        <v>14962156.65</v>
      </c>
      <c r="M101" s="24">
        <f t="shared" si="39"/>
        <v>-3.7829178857047502E-3</v>
      </c>
      <c r="N101" s="10"/>
      <c r="R101" s="2"/>
    </row>
    <row r="102" spans="1:18" ht="15.75" customHeight="1" thickBot="1" x14ac:dyDescent="0.3">
      <c r="A102" s="19"/>
      <c r="B102" s="44"/>
      <c r="C102" s="21"/>
      <c r="D102" s="21"/>
      <c r="E102" s="22"/>
      <c r="F102" s="21"/>
      <c r="G102" s="21"/>
      <c r="H102" s="22"/>
      <c r="I102" s="23"/>
      <c r="J102" s="23"/>
      <c r="K102" s="21"/>
      <c r="L102" s="21"/>
      <c r="M102" s="24"/>
      <c r="N102" s="10"/>
      <c r="R102" s="2"/>
    </row>
    <row r="103" spans="1:18" ht="17.25" thickTop="1" thickBot="1" x14ac:dyDescent="0.3">
      <c r="A103" s="38" t="s">
        <v>14</v>
      </c>
      <c r="B103" s="39"/>
      <c r="C103" s="40">
        <f>SUM(C93:C102)</f>
        <v>1889798</v>
      </c>
      <c r="D103" s="40">
        <f>SUM(D93:D102)</f>
        <v>1633848</v>
      </c>
      <c r="E103" s="279">
        <f>(+C103-D103)/D103</f>
        <v>0.1566547194108632</v>
      </c>
      <c r="F103" s="40">
        <f>SUM(F93:F102)</f>
        <v>1025915</v>
      </c>
      <c r="G103" s="40">
        <f>SUM(G93:G102)</f>
        <v>879824</v>
      </c>
      <c r="H103" s="41">
        <f>(+F103-G103)/G103</f>
        <v>0.16604570914182837</v>
      </c>
      <c r="I103" s="42">
        <f>K103/C103</f>
        <v>65.536860563933288</v>
      </c>
      <c r="J103" s="42">
        <f>K103/F103</f>
        <v>120.72289421638246</v>
      </c>
      <c r="K103" s="40">
        <f>SUM(K93:K102)</f>
        <v>123851428.02000001</v>
      </c>
      <c r="L103" s="40">
        <f>SUM(L93:L102)</f>
        <v>106384951.14</v>
      </c>
      <c r="M103" s="43">
        <f>(+K103-L103)/L103</f>
        <v>0.16418183862315783</v>
      </c>
      <c r="N103" s="10"/>
      <c r="R103" s="2"/>
    </row>
    <row r="104" spans="1:18" ht="15.75" customHeight="1" thickTop="1" x14ac:dyDescent="0.2">
      <c r="A104" s="53"/>
      <c r="B104" s="54"/>
      <c r="C104" s="54"/>
      <c r="D104" s="54"/>
      <c r="E104" s="55"/>
      <c r="F104" s="54"/>
      <c r="G104" s="54"/>
      <c r="H104" s="55"/>
      <c r="I104" s="54"/>
      <c r="J104" s="54"/>
      <c r="K104" s="195"/>
      <c r="L104" s="195"/>
      <c r="M104" s="56"/>
      <c r="N104" s="10"/>
      <c r="R104" s="2"/>
    </row>
    <row r="105" spans="1:18" ht="15.75" customHeight="1" x14ac:dyDescent="0.25">
      <c r="A105" s="19" t="s">
        <v>16</v>
      </c>
      <c r="B105" s="20">
        <f>DATE(2025,7,1)</f>
        <v>45839</v>
      </c>
      <c r="C105" s="21">
        <v>256392</v>
      </c>
      <c r="D105" s="21">
        <v>241251</v>
      </c>
      <c r="E105" s="22">
        <f t="shared" ref="E105:E113" si="40">(+C105-D105)/D105</f>
        <v>6.2760361615081389E-2</v>
      </c>
      <c r="F105" s="21">
        <f>+C105-136380</f>
        <v>120012</v>
      </c>
      <c r="G105" s="21">
        <f>+D105-122029</f>
        <v>119222</v>
      </c>
      <c r="H105" s="22">
        <f t="shared" ref="H105:H113" si="41">(+F105-G105)/G105</f>
        <v>6.6262938048346782E-3</v>
      </c>
      <c r="I105" s="23">
        <f t="shared" ref="I105:I113" si="42">K105/C105</f>
        <v>68.159802372928951</v>
      </c>
      <c r="J105" s="23">
        <f t="shared" ref="J105:J113" si="43">K105/F105</f>
        <v>145.61567218278174</v>
      </c>
      <c r="K105" s="21">
        <v>17475628.050000001</v>
      </c>
      <c r="L105" s="21">
        <v>16833896.640000001</v>
      </c>
      <c r="M105" s="24">
        <f t="shared" ref="M105:M113" si="44">(+K105-L105)/L105</f>
        <v>3.8121382334922078E-2</v>
      </c>
      <c r="N105" s="10"/>
      <c r="R105" s="2"/>
    </row>
    <row r="106" spans="1:18" ht="15.75" customHeight="1" x14ac:dyDescent="0.25">
      <c r="A106" s="19"/>
      <c r="B106" s="20">
        <f>DATE(2025,8,1)</f>
        <v>45870</v>
      </c>
      <c r="C106" s="21">
        <v>264576</v>
      </c>
      <c r="D106" s="21">
        <v>252387</v>
      </c>
      <c r="E106" s="22">
        <f t="shared" si="40"/>
        <v>4.8294880481165828E-2</v>
      </c>
      <c r="F106" s="21">
        <f>+C106-139241</f>
        <v>125335</v>
      </c>
      <c r="G106" s="21">
        <f>+D106-128448</f>
        <v>123939</v>
      </c>
      <c r="H106" s="22">
        <f t="shared" si="41"/>
        <v>1.1263605483342612E-2</v>
      </c>
      <c r="I106" s="23">
        <f t="shared" si="42"/>
        <v>67.238096199201735</v>
      </c>
      <c r="J106" s="23">
        <f t="shared" si="43"/>
        <v>141.93630302788526</v>
      </c>
      <c r="K106" s="21">
        <v>17789586.539999999</v>
      </c>
      <c r="L106" s="21">
        <v>17738787.879999999</v>
      </c>
      <c r="M106" s="24">
        <f t="shared" si="44"/>
        <v>2.8637052510940872E-3</v>
      </c>
      <c r="N106" s="10"/>
      <c r="R106" s="2"/>
    </row>
    <row r="107" spans="1:18" ht="15.75" customHeight="1" x14ac:dyDescent="0.25">
      <c r="A107" s="19"/>
      <c r="B107" s="20">
        <f>DATE(2025,9,1)</f>
        <v>45901</v>
      </c>
      <c r="C107" s="21">
        <v>229065</v>
      </c>
      <c r="D107" s="21">
        <v>226206</v>
      </c>
      <c r="E107" s="22">
        <f t="shared" si="40"/>
        <v>1.2638922044508102E-2</v>
      </c>
      <c r="F107" s="21">
        <f>+C107-122117</f>
        <v>106948</v>
      </c>
      <c r="G107" s="21">
        <f>+D107-113686</f>
        <v>112520</v>
      </c>
      <c r="H107" s="22">
        <f t="shared" si="41"/>
        <v>-4.9520085318165659E-2</v>
      </c>
      <c r="I107" s="23">
        <f t="shared" si="42"/>
        <v>68.784793835810802</v>
      </c>
      <c r="J107" s="23">
        <f t="shared" si="43"/>
        <v>147.32569847028464</v>
      </c>
      <c r="K107" s="21">
        <v>15756188.800000001</v>
      </c>
      <c r="L107" s="21">
        <v>16336895.189999999</v>
      </c>
      <c r="M107" s="24">
        <f t="shared" si="44"/>
        <v>-3.5545700896425884E-2</v>
      </c>
      <c r="N107" s="10"/>
      <c r="R107" s="2"/>
    </row>
    <row r="108" spans="1:18" ht="15.75" customHeight="1" x14ac:dyDescent="0.25">
      <c r="A108" s="19"/>
      <c r="B108" s="20">
        <f>DATE(2025,10,1)</f>
        <v>45931</v>
      </c>
      <c r="C108" s="21">
        <v>242671</v>
      </c>
      <c r="D108" s="21">
        <v>225125</v>
      </c>
      <c r="E108" s="22">
        <f t="shared" si="40"/>
        <v>7.793892282065519E-2</v>
      </c>
      <c r="F108" s="21">
        <f>+C108-126644</f>
        <v>116027</v>
      </c>
      <c r="G108" s="21">
        <f>+D108-114268</f>
        <v>110857</v>
      </c>
      <c r="H108" s="22">
        <f t="shared" si="41"/>
        <v>4.6636658036930463E-2</v>
      </c>
      <c r="I108" s="23">
        <f t="shared" si="42"/>
        <v>69.276230699177077</v>
      </c>
      <c r="J108" s="23">
        <f t="shared" si="43"/>
        <v>144.89155265584733</v>
      </c>
      <c r="K108" s="21">
        <v>16811332.18</v>
      </c>
      <c r="L108" s="21">
        <v>15330195.15</v>
      </c>
      <c r="M108" s="24">
        <f t="shared" si="44"/>
        <v>9.6615667022347029E-2</v>
      </c>
      <c r="N108" s="10"/>
      <c r="R108" s="2"/>
    </row>
    <row r="109" spans="1:18" ht="15.75" customHeight="1" x14ac:dyDescent="0.25">
      <c r="A109" s="19"/>
      <c r="B109" s="20">
        <f>DATE(2025,11,1)</f>
        <v>45962</v>
      </c>
      <c r="C109" s="21">
        <v>240994</v>
      </c>
      <c r="D109" s="21">
        <v>239580</v>
      </c>
      <c r="E109" s="22">
        <f t="shared" si="40"/>
        <v>5.9019951581935053E-3</v>
      </c>
      <c r="F109" s="21">
        <f>+C109-128119</f>
        <v>112875</v>
      </c>
      <c r="G109" s="21">
        <f>+D109-123980</f>
        <v>115600</v>
      </c>
      <c r="H109" s="22">
        <f t="shared" si="41"/>
        <v>-2.3572664359861592E-2</v>
      </c>
      <c r="I109" s="23">
        <f t="shared" si="42"/>
        <v>66.289486667717867</v>
      </c>
      <c r="J109" s="23">
        <f t="shared" si="43"/>
        <v>141.5315043189369</v>
      </c>
      <c r="K109" s="21">
        <v>15975368.550000001</v>
      </c>
      <c r="L109" s="21">
        <v>16335911.6</v>
      </c>
      <c r="M109" s="24">
        <f t="shared" si="44"/>
        <v>-2.2070580377038702E-2</v>
      </c>
      <c r="N109" s="10"/>
      <c r="R109" s="2"/>
    </row>
    <row r="110" spans="1:18" ht="15.75" customHeight="1" x14ac:dyDescent="0.25">
      <c r="A110" s="19"/>
      <c r="B110" s="20">
        <f>DATE(2025,12,1)</f>
        <v>45992</v>
      </c>
      <c r="C110" s="21">
        <v>269427</v>
      </c>
      <c r="D110" s="21">
        <v>259501</v>
      </c>
      <c r="E110" s="22">
        <f t="shared" si="40"/>
        <v>3.8250334295436242E-2</v>
      </c>
      <c r="F110" s="21">
        <f>+C110-143023</f>
        <v>126404</v>
      </c>
      <c r="G110" s="21">
        <f>+D110-135333</f>
        <v>124168</v>
      </c>
      <c r="H110" s="22">
        <f t="shared" si="41"/>
        <v>1.8007860318278463E-2</v>
      </c>
      <c r="I110" s="23">
        <f t="shared" si="42"/>
        <v>64.134331414446223</v>
      </c>
      <c r="J110" s="23">
        <f t="shared" si="43"/>
        <v>136.70074135312174</v>
      </c>
      <c r="K110" s="21">
        <v>17279520.510000002</v>
      </c>
      <c r="L110" s="21">
        <v>17129237.199999999</v>
      </c>
      <c r="M110" s="24">
        <f t="shared" si="44"/>
        <v>8.7734969307332843E-3</v>
      </c>
      <c r="N110" s="10"/>
      <c r="R110" s="2"/>
    </row>
    <row r="111" spans="1:18" ht="15.75" customHeight="1" x14ac:dyDescent="0.25">
      <c r="A111" s="19"/>
      <c r="B111" s="20">
        <f>DATE(2026,1,1)</f>
        <v>46023</v>
      </c>
      <c r="C111" s="21">
        <v>233588</v>
      </c>
      <c r="D111" s="21">
        <v>209152</v>
      </c>
      <c r="E111" s="22">
        <f t="shared" si="40"/>
        <v>0.11683369033047736</v>
      </c>
      <c r="F111" s="21">
        <f>+C111-125608</f>
        <v>107980</v>
      </c>
      <c r="G111" s="21">
        <f>+D111-108453</f>
        <v>100699</v>
      </c>
      <c r="H111" s="22">
        <f t="shared" si="41"/>
        <v>7.2304590909542304E-2</v>
      </c>
      <c r="I111" s="23">
        <f t="shared" si="42"/>
        <v>68.090603070363201</v>
      </c>
      <c r="J111" s="23">
        <f t="shared" si="43"/>
        <v>147.29716419707353</v>
      </c>
      <c r="K111" s="21">
        <v>15905147.789999999</v>
      </c>
      <c r="L111" s="21">
        <v>14233816.5</v>
      </c>
      <c r="M111" s="24">
        <f t="shared" si="44"/>
        <v>0.11741975808104588</v>
      </c>
      <c r="N111" s="10"/>
      <c r="R111" s="2"/>
    </row>
    <row r="112" spans="1:18" ht="15.75" customHeight="1" x14ac:dyDescent="0.25">
      <c r="A112" s="19"/>
      <c r="B112" s="20">
        <f>DATE(2026,2,1)</f>
        <v>46054</v>
      </c>
      <c r="C112" s="21">
        <v>245059</v>
      </c>
      <c r="D112" s="21">
        <v>221818</v>
      </c>
      <c r="E112" s="22">
        <f t="shared" si="40"/>
        <v>0.10477508588121794</v>
      </c>
      <c r="F112" s="21">
        <f>+C112-131787</f>
        <v>113272</v>
      </c>
      <c r="G112" s="21">
        <f>+D112-116065</f>
        <v>105753</v>
      </c>
      <c r="H112" s="22">
        <f t="shared" si="41"/>
        <v>7.1099637835333282E-2</v>
      </c>
      <c r="I112" s="23">
        <f t="shared" si="42"/>
        <v>65.335059353053751</v>
      </c>
      <c r="J112" s="23">
        <f t="shared" si="43"/>
        <v>141.34953307083833</v>
      </c>
      <c r="K112" s="21">
        <v>16010944.310000001</v>
      </c>
      <c r="L112" s="21">
        <v>14988895.16</v>
      </c>
      <c r="M112" s="24">
        <f t="shared" si="44"/>
        <v>6.8187090448633192E-2</v>
      </c>
      <c r="N112" s="10"/>
      <c r="R112" s="2"/>
    </row>
    <row r="113" spans="1:18" ht="15.75" customHeight="1" x14ac:dyDescent="0.25">
      <c r="A113" s="19"/>
      <c r="B113" s="20">
        <f>DATE(2026,3,1)</f>
        <v>46082</v>
      </c>
      <c r="C113" s="21">
        <v>263948</v>
      </c>
      <c r="D113" s="21">
        <v>274998</v>
      </c>
      <c r="E113" s="22">
        <f t="shared" si="40"/>
        <v>-4.0182110415348478E-2</v>
      </c>
      <c r="F113" s="21">
        <f>+C113-144609</f>
        <v>119339</v>
      </c>
      <c r="G113" s="21">
        <f>+D113-146164</f>
        <v>128834</v>
      </c>
      <c r="H113" s="22">
        <f t="shared" si="41"/>
        <v>-7.369948926525606E-2</v>
      </c>
      <c r="I113" s="23">
        <f t="shared" si="42"/>
        <v>64.248098223892583</v>
      </c>
      <c r="J113" s="23">
        <f t="shared" si="43"/>
        <v>142.10071334601432</v>
      </c>
      <c r="K113" s="21">
        <v>16958157.030000001</v>
      </c>
      <c r="L113" s="21">
        <v>18782517.079999998</v>
      </c>
      <c r="M113" s="24">
        <f t="shared" si="44"/>
        <v>-9.7130754213055517E-2</v>
      </c>
      <c r="N113" s="10"/>
      <c r="R113" s="2"/>
    </row>
    <row r="114" spans="1:18" ht="15.75" customHeight="1" thickBot="1" x14ac:dyDescent="0.3">
      <c r="A114" s="19"/>
      <c r="B114" s="44"/>
      <c r="C114" s="21"/>
      <c r="D114" s="21"/>
      <c r="E114" s="22"/>
      <c r="F114" s="21"/>
      <c r="G114" s="21"/>
      <c r="H114" s="22"/>
      <c r="I114" s="23"/>
      <c r="J114" s="23"/>
      <c r="K114" s="21"/>
      <c r="L114" s="21"/>
      <c r="M114" s="24"/>
      <c r="N114" s="10"/>
      <c r="R114" s="2"/>
    </row>
    <row r="115" spans="1:18" ht="17.25" thickTop="1" thickBot="1" x14ac:dyDescent="0.3">
      <c r="A115" s="38" t="s">
        <v>14</v>
      </c>
      <c r="B115" s="39"/>
      <c r="C115" s="40">
        <f>SUM(C105:C114)</f>
        <v>2245720</v>
      </c>
      <c r="D115" s="40">
        <f>SUM(D105:D114)</f>
        <v>2150018</v>
      </c>
      <c r="E115" s="279">
        <f>(+C115-D115)/D115</f>
        <v>4.4512185479377381E-2</v>
      </c>
      <c r="F115" s="40">
        <f>SUM(F105:F114)</f>
        <v>1048192</v>
      </c>
      <c r="G115" s="40">
        <f>SUM(G105:G114)</f>
        <v>1041592</v>
      </c>
      <c r="H115" s="41">
        <f>(+F115-G115)/G115</f>
        <v>6.3364541970368435E-3</v>
      </c>
      <c r="I115" s="42">
        <f>K115/C115</f>
        <v>66.776745881053728</v>
      </c>
      <c r="J115" s="42">
        <f>K115/F115</f>
        <v>143.067180211259</v>
      </c>
      <c r="K115" s="40">
        <f>SUM(K105:K114)</f>
        <v>149961873.75999999</v>
      </c>
      <c r="L115" s="40">
        <f>SUM(L105:L114)</f>
        <v>147710152.39999998</v>
      </c>
      <c r="M115" s="43">
        <f>(+K115-L115)/L115</f>
        <v>1.5244188184860438E-2</v>
      </c>
      <c r="N115" s="10"/>
      <c r="R115" s="2"/>
    </row>
    <row r="116" spans="1:18" ht="15.75" customHeight="1" thickTop="1" x14ac:dyDescent="0.2">
      <c r="A116" s="53"/>
      <c r="B116" s="54"/>
      <c r="C116" s="54"/>
      <c r="D116" s="54"/>
      <c r="E116" s="55"/>
      <c r="F116" s="54"/>
      <c r="G116" s="54"/>
      <c r="H116" s="55"/>
      <c r="I116" s="54"/>
      <c r="J116" s="54"/>
      <c r="K116" s="195"/>
      <c r="L116" s="195"/>
      <c r="M116" s="56"/>
      <c r="N116" s="10"/>
      <c r="R116" s="2"/>
    </row>
    <row r="117" spans="1:18" ht="15.75" customHeight="1" x14ac:dyDescent="0.25">
      <c r="A117" s="19" t="s">
        <v>53</v>
      </c>
      <c r="B117" s="20">
        <f>DATE(2025,7,1)</f>
        <v>45839</v>
      </c>
      <c r="C117" s="21">
        <v>334577</v>
      </c>
      <c r="D117" s="21">
        <v>331492</v>
      </c>
      <c r="E117" s="22">
        <f t="shared" ref="E117:E125" si="45">(+C117-D117)/D117</f>
        <v>9.3064086011125455E-3</v>
      </c>
      <c r="F117" s="21">
        <f>+C117-156657</f>
        <v>177920</v>
      </c>
      <c r="G117" s="21">
        <f>+D117-154270</f>
        <v>177222</v>
      </c>
      <c r="H117" s="22">
        <f t="shared" ref="H117:H125" si="46">(+F117-G117)/G117</f>
        <v>3.9385629323673132E-3</v>
      </c>
      <c r="I117" s="23">
        <f t="shared" ref="I117:I125" si="47">K117/C117</f>
        <v>66.550795661387355</v>
      </c>
      <c r="J117" s="23">
        <f t="shared" ref="J117:J125" si="48">K117/F117</f>
        <v>125.14818772482013</v>
      </c>
      <c r="K117" s="21">
        <v>22266365.559999999</v>
      </c>
      <c r="L117" s="21">
        <v>20666135.579999998</v>
      </c>
      <c r="M117" s="24">
        <f t="shared" ref="M117:M125" si="49">(+K117-L117)/L117</f>
        <v>7.7432472742927805E-2</v>
      </c>
      <c r="N117" s="10"/>
      <c r="R117" s="2"/>
    </row>
    <row r="118" spans="1:18" ht="15.75" customHeight="1" x14ac:dyDescent="0.25">
      <c r="A118" s="19"/>
      <c r="B118" s="20">
        <f>DATE(2025,8,1)</f>
        <v>45870</v>
      </c>
      <c r="C118" s="21">
        <v>344204</v>
      </c>
      <c r="D118" s="21">
        <v>357343</v>
      </c>
      <c r="E118" s="22">
        <f t="shared" si="45"/>
        <v>-3.6768594879429566E-2</v>
      </c>
      <c r="F118" s="21">
        <f>+C118-159754</f>
        <v>184450</v>
      </c>
      <c r="G118" s="21">
        <f>+D118-161766</f>
        <v>195577</v>
      </c>
      <c r="H118" s="22">
        <f t="shared" si="46"/>
        <v>-5.689319296236265E-2</v>
      </c>
      <c r="I118" s="23">
        <f t="shared" si="47"/>
        <v>69.857439803139997</v>
      </c>
      <c r="J118" s="23">
        <f t="shared" si="48"/>
        <v>130.36167096774193</v>
      </c>
      <c r="K118" s="21">
        <v>24045210.210000001</v>
      </c>
      <c r="L118" s="21">
        <v>21638089.190000001</v>
      </c>
      <c r="M118" s="24">
        <f t="shared" si="49"/>
        <v>0.11124462048675007</v>
      </c>
      <c r="N118" s="10"/>
      <c r="R118" s="2"/>
    </row>
    <row r="119" spans="1:18" ht="15.75" customHeight="1" x14ac:dyDescent="0.25">
      <c r="A119" s="19"/>
      <c r="B119" s="20">
        <f>DATE(2025,9,1)</f>
        <v>45901</v>
      </c>
      <c r="C119" s="21">
        <v>307673</v>
      </c>
      <c r="D119" s="21">
        <v>320719</v>
      </c>
      <c r="E119" s="22">
        <f t="shared" si="45"/>
        <v>-4.0677353072315639E-2</v>
      </c>
      <c r="F119" s="21">
        <f>+C119-142575</f>
        <v>165098</v>
      </c>
      <c r="G119" s="21">
        <f>+D119-145865</f>
        <v>174854</v>
      </c>
      <c r="H119" s="22">
        <f t="shared" si="46"/>
        <v>-5.579512050053187E-2</v>
      </c>
      <c r="I119" s="23">
        <f t="shared" si="47"/>
        <v>69.893282283463293</v>
      </c>
      <c r="J119" s="23">
        <f t="shared" si="48"/>
        <v>130.25158293861827</v>
      </c>
      <c r="K119" s="21">
        <v>21504275.84</v>
      </c>
      <c r="L119" s="21">
        <v>20401476.460000001</v>
      </c>
      <c r="M119" s="24">
        <f t="shared" si="49"/>
        <v>5.4054880888753036E-2</v>
      </c>
      <c r="N119" s="10"/>
      <c r="R119" s="2"/>
    </row>
    <row r="120" spans="1:18" ht="15.75" customHeight="1" x14ac:dyDescent="0.25">
      <c r="A120" s="19"/>
      <c r="B120" s="20">
        <f>DATE(2025,10,1)</f>
        <v>45931</v>
      </c>
      <c r="C120" s="21">
        <v>327896</v>
      </c>
      <c r="D120" s="21">
        <v>327430</v>
      </c>
      <c r="E120" s="22">
        <f t="shared" si="45"/>
        <v>1.4232049598387443E-3</v>
      </c>
      <c r="F120" s="21">
        <f>+C120-156398</f>
        <v>171498</v>
      </c>
      <c r="G120" s="21">
        <f>+D120-150962</f>
        <v>176468</v>
      </c>
      <c r="H120" s="22">
        <f t="shared" si="46"/>
        <v>-2.8163746401613891E-2</v>
      </c>
      <c r="I120" s="23">
        <f t="shared" si="47"/>
        <v>69.119912014785186</v>
      </c>
      <c r="J120" s="23">
        <f t="shared" si="48"/>
        <v>132.15397654783146</v>
      </c>
      <c r="K120" s="21">
        <v>22664142.670000002</v>
      </c>
      <c r="L120" s="21">
        <v>21417542.489999998</v>
      </c>
      <c r="M120" s="24">
        <f t="shared" si="49"/>
        <v>5.8204632047866828E-2</v>
      </c>
      <c r="N120" s="10"/>
      <c r="R120" s="2"/>
    </row>
    <row r="121" spans="1:18" ht="15.75" customHeight="1" x14ac:dyDescent="0.25">
      <c r="A121" s="19"/>
      <c r="B121" s="20">
        <f>DATE(2025,11,1)</f>
        <v>45962</v>
      </c>
      <c r="C121" s="21">
        <v>315661</v>
      </c>
      <c r="D121" s="21">
        <v>333683</v>
      </c>
      <c r="E121" s="22">
        <f t="shared" si="45"/>
        <v>-5.4009344197936363E-2</v>
      </c>
      <c r="F121" s="21">
        <f>+C121-150565</f>
        <v>165096</v>
      </c>
      <c r="G121" s="21">
        <f>+D121-155206</f>
        <v>178477</v>
      </c>
      <c r="H121" s="22">
        <f t="shared" si="46"/>
        <v>-7.497324585240675E-2</v>
      </c>
      <c r="I121" s="23">
        <f t="shared" si="47"/>
        <v>69.176024184172263</v>
      </c>
      <c r="J121" s="23">
        <f t="shared" si="48"/>
        <v>132.26348893976837</v>
      </c>
      <c r="K121" s="21">
        <v>21836172.969999999</v>
      </c>
      <c r="L121" s="21">
        <v>20910598.879999999</v>
      </c>
      <c r="M121" s="24">
        <f t="shared" si="49"/>
        <v>4.42633946216274E-2</v>
      </c>
      <c r="N121" s="10"/>
      <c r="R121" s="2"/>
    </row>
    <row r="122" spans="1:18" ht="15.75" customHeight="1" x14ac:dyDescent="0.25">
      <c r="A122" s="19"/>
      <c r="B122" s="20">
        <f>DATE(2025,12,1)</f>
        <v>45992</v>
      </c>
      <c r="C122" s="21">
        <v>332420</v>
      </c>
      <c r="D122" s="21">
        <v>351490</v>
      </c>
      <c r="E122" s="22">
        <f t="shared" si="45"/>
        <v>-5.4254744089447776E-2</v>
      </c>
      <c r="F122" s="21">
        <f>+C122-161348</f>
        <v>171072</v>
      </c>
      <c r="G122" s="21">
        <f>+D122-166912</f>
        <v>184578</v>
      </c>
      <c r="H122" s="22">
        <f t="shared" si="46"/>
        <v>-7.3172317394272338E-2</v>
      </c>
      <c r="I122" s="23">
        <f t="shared" si="47"/>
        <v>70.436855514108657</v>
      </c>
      <c r="J122" s="23">
        <f t="shared" si="48"/>
        <v>136.86997001262628</v>
      </c>
      <c r="K122" s="21">
        <v>23414619.510000002</v>
      </c>
      <c r="L122" s="21">
        <v>22874098.280000001</v>
      </c>
      <c r="M122" s="24">
        <f t="shared" si="49"/>
        <v>2.3630274880501231E-2</v>
      </c>
      <c r="N122" s="10"/>
      <c r="R122" s="2"/>
    </row>
    <row r="123" spans="1:18" ht="15.75" customHeight="1" x14ac:dyDescent="0.25">
      <c r="A123" s="19"/>
      <c r="B123" s="20">
        <f>DATE(2026,1,1)</f>
        <v>46023</v>
      </c>
      <c r="C123" s="21">
        <v>315029</v>
      </c>
      <c r="D123" s="21">
        <v>301968</v>
      </c>
      <c r="E123" s="22">
        <f t="shared" si="45"/>
        <v>4.3252927462512587E-2</v>
      </c>
      <c r="F123" s="21">
        <f>+C123-156129</f>
        <v>158900</v>
      </c>
      <c r="G123" s="21">
        <f>+D123-144300</f>
        <v>157668</v>
      </c>
      <c r="H123" s="22">
        <f t="shared" si="46"/>
        <v>7.8138874089859704E-3</v>
      </c>
      <c r="I123" s="23">
        <f t="shared" si="47"/>
        <v>68.70342511324354</v>
      </c>
      <c r="J123" s="23">
        <f t="shared" si="48"/>
        <v>136.2087558842039</v>
      </c>
      <c r="K123" s="21">
        <v>21643571.309999999</v>
      </c>
      <c r="L123" s="21">
        <v>19151428.289999999</v>
      </c>
      <c r="M123" s="24">
        <f t="shared" si="49"/>
        <v>0.1301283111767326</v>
      </c>
      <c r="N123" s="10"/>
      <c r="R123" s="2"/>
    </row>
    <row r="124" spans="1:18" ht="15.75" customHeight="1" x14ac:dyDescent="0.25">
      <c r="A124" s="19"/>
      <c r="B124" s="20">
        <f>DATE(2026,2,1)</f>
        <v>46054</v>
      </c>
      <c r="C124" s="21">
        <v>309358</v>
      </c>
      <c r="D124" s="21">
        <v>296468</v>
      </c>
      <c r="E124" s="22">
        <f t="shared" si="45"/>
        <v>4.3478554177853936E-2</v>
      </c>
      <c r="F124" s="21">
        <f>+C124-151014</f>
        <v>158344</v>
      </c>
      <c r="G124" s="21">
        <f>+D124-141659</f>
        <v>154809</v>
      </c>
      <c r="H124" s="22">
        <f t="shared" si="46"/>
        <v>2.2834589720235905E-2</v>
      </c>
      <c r="I124" s="23">
        <f t="shared" si="47"/>
        <v>70.20580466643824</v>
      </c>
      <c r="J124" s="23">
        <f t="shared" si="48"/>
        <v>137.16166902440256</v>
      </c>
      <c r="K124" s="21">
        <v>21718727.32</v>
      </c>
      <c r="L124" s="21">
        <v>21538760.309999999</v>
      </c>
      <c r="M124" s="24">
        <f t="shared" si="49"/>
        <v>8.3554952750203876E-3</v>
      </c>
      <c r="N124" s="10"/>
      <c r="R124" s="2"/>
    </row>
    <row r="125" spans="1:18" ht="15.75" customHeight="1" x14ac:dyDescent="0.25">
      <c r="A125" s="19"/>
      <c r="B125" s="20">
        <f>DATE(2026,3,1)</f>
        <v>46082</v>
      </c>
      <c r="C125" s="21">
        <v>338293</v>
      </c>
      <c r="D125" s="21">
        <v>341696</v>
      </c>
      <c r="E125" s="22">
        <f t="shared" si="45"/>
        <v>-9.9591449709683453E-3</v>
      </c>
      <c r="F125" s="21">
        <f>+C125-165690</f>
        <v>172603</v>
      </c>
      <c r="G125" s="21">
        <f>+D125-163117</f>
        <v>178579</v>
      </c>
      <c r="H125" s="22">
        <f t="shared" si="46"/>
        <v>-3.3464181118720564E-2</v>
      </c>
      <c r="I125" s="23">
        <f t="shared" si="47"/>
        <v>73.42985545074832</v>
      </c>
      <c r="J125" s="23">
        <f t="shared" si="48"/>
        <v>143.91873889793339</v>
      </c>
      <c r="K125" s="21">
        <v>24840806.09</v>
      </c>
      <c r="L125" s="21">
        <v>24711120.550000001</v>
      </c>
      <c r="M125" s="24">
        <f t="shared" si="49"/>
        <v>5.2480639126661986E-3</v>
      </c>
      <c r="N125" s="10"/>
      <c r="R125" s="2"/>
    </row>
    <row r="126" spans="1:18" ht="15.75" customHeight="1" thickBot="1" x14ac:dyDescent="0.3">
      <c r="A126" s="19"/>
      <c r="B126" s="44"/>
      <c r="C126" s="21"/>
      <c r="D126" s="21"/>
      <c r="E126" s="22"/>
      <c r="F126" s="21"/>
      <c r="G126" s="21"/>
      <c r="H126" s="22"/>
      <c r="I126" s="23"/>
      <c r="J126" s="23"/>
      <c r="K126" s="21"/>
      <c r="L126" s="21"/>
      <c r="M126" s="24"/>
      <c r="N126" s="10"/>
      <c r="R126" s="2"/>
    </row>
    <row r="127" spans="1:18" ht="17.25" thickTop="1" thickBot="1" x14ac:dyDescent="0.3">
      <c r="A127" s="38" t="s">
        <v>14</v>
      </c>
      <c r="B127" s="39"/>
      <c r="C127" s="40">
        <f>SUM(C117:C126)</f>
        <v>2925111</v>
      </c>
      <c r="D127" s="40">
        <f>SUM(D117:D126)</f>
        <v>2962289</v>
      </c>
      <c r="E127" s="279">
        <f>(+C127-D127)/D127</f>
        <v>-1.2550429752127494E-2</v>
      </c>
      <c r="F127" s="40">
        <f>SUM(F117:F126)</f>
        <v>1524981</v>
      </c>
      <c r="G127" s="40">
        <f>SUM(G117:G126)</f>
        <v>1578232</v>
      </c>
      <c r="H127" s="41">
        <f>(+F127-G127)/G127</f>
        <v>-3.3740920219587488E-2</v>
      </c>
      <c r="I127" s="42">
        <f>K127/C127</f>
        <v>69.71834281844346</v>
      </c>
      <c r="J127" s="42">
        <f>K127/F127</f>
        <v>133.72880808351053</v>
      </c>
      <c r="K127" s="40">
        <f>SUM(K117:K126)</f>
        <v>203933891.47999999</v>
      </c>
      <c r="L127" s="40">
        <f>SUM(L117:L126)</f>
        <v>193309250.03</v>
      </c>
      <c r="M127" s="43">
        <f>(+K127-L127)/L127</f>
        <v>5.496188851982578E-2</v>
      </c>
      <c r="N127" s="10"/>
      <c r="R127" s="2"/>
    </row>
    <row r="128" spans="1:18" ht="15.75" customHeight="1" thickTop="1" x14ac:dyDescent="0.2">
      <c r="A128" s="57"/>
      <c r="B128" s="58"/>
      <c r="C128" s="58"/>
      <c r="D128" s="58"/>
      <c r="E128" s="59"/>
      <c r="F128" s="58"/>
      <c r="G128" s="58"/>
      <c r="H128" s="59"/>
      <c r="I128" s="58"/>
      <c r="J128" s="58"/>
      <c r="K128" s="196"/>
      <c r="L128" s="196"/>
      <c r="M128" s="60"/>
      <c r="N128" s="10"/>
      <c r="R128" s="2"/>
    </row>
    <row r="129" spans="1:18" ht="15" customHeight="1" x14ac:dyDescent="0.25">
      <c r="A129" s="19" t="s">
        <v>54</v>
      </c>
      <c r="B129" s="20">
        <f>DATE(2025,7,1)</f>
        <v>45839</v>
      </c>
      <c r="C129" s="21">
        <v>42805</v>
      </c>
      <c r="D129" s="21">
        <v>39024</v>
      </c>
      <c r="E129" s="22">
        <f t="shared" ref="E129:E137" si="50">(+C129-D129)/D129</f>
        <v>9.6889093890938915E-2</v>
      </c>
      <c r="F129" s="21">
        <f>+C129-21502</f>
        <v>21303</v>
      </c>
      <c r="G129" s="21">
        <f>+D129-19863</f>
        <v>19161</v>
      </c>
      <c r="H129" s="22">
        <f t="shared" ref="H129:H137" si="51">(+F129-G129)/G129</f>
        <v>0.11178957256928135</v>
      </c>
      <c r="I129" s="23">
        <f t="shared" ref="I129:I137" si="52">K129/C129</f>
        <v>68.823005957247986</v>
      </c>
      <c r="J129" s="23">
        <f t="shared" ref="J129:J137" si="53">K129/F129</f>
        <v>138.28891564568372</v>
      </c>
      <c r="K129" s="21">
        <v>2945968.77</v>
      </c>
      <c r="L129" s="21">
        <v>2829692.37</v>
      </c>
      <c r="M129" s="24">
        <f t="shared" ref="M129:M137" si="54">(+K129-L129)/L129</f>
        <v>4.1091533918225856E-2</v>
      </c>
      <c r="N129" s="10"/>
      <c r="R129" s="2"/>
    </row>
    <row r="130" spans="1:18" ht="15" customHeight="1" x14ac:dyDescent="0.25">
      <c r="A130" s="19"/>
      <c r="B130" s="20">
        <f>DATE(2025,8,1)</f>
        <v>45870</v>
      </c>
      <c r="C130" s="21">
        <v>43476</v>
      </c>
      <c r="D130" s="21">
        <v>37405</v>
      </c>
      <c r="E130" s="22">
        <f t="shared" si="50"/>
        <v>0.16230450474535491</v>
      </c>
      <c r="F130" s="21">
        <f>+C130-21927</f>
        <v>21549</v>
      </c>
      <c r="G130" s="21">
        <f>+D130-18960</f>
        <v>18445</v>
      </c>
      <c r="H130" s="22">
        <f t="shared" si="51"/>
        <v>0.16828408782867985</v>
      </c>
      <c r="I130" s="23">
        <f t="shared" si="52"/>
        <v>69.474783788757023</v>
      </c>
      <c r="J130" s="23">
        <f t="shared" si="53"/>
        <v>140.16825374727367</v>
      </c>
      <c r="K130" s="21">
        <v>3020485.7</v>
      </c>
      <c r="L130" s="21">
        <v>2718513.58</v>
      </c>
      <c r="M130" s="24">
        <f t="shared" si="54"/>
        <v>0.11107986446034238</v>
      </c>
      <c r="N130" s="10"/>
      <c r="R130" s="2"/>
    </row>
    <row r="131" spans="1:18" ht="15" customHeight="1" x14ac:dyDescent="0.25">
      <c r="A131" s="19"/>
      <c r="B131" s="20">
        <f>DATE(2025,9,1)</f>
        <v>45901</v>
      </c>
      <c r="C131" s="21">
        <v>38849</v>
      </c>
      <c r="D131" s="21">
        <v>33865</v>
      </c>
      <c r="E131" s="22">
        <f t="shared" si="50"/>
        <v>0.14717259707662778</v>
      </c>
      <c r="F131" s="21">
        <f>+C131-19272</f>
        <v>19577</v>
      </c>
      <c r="G131" s="21">
        <f>+D131-17304</f>
        <v>16561</v>
      </c>
      <c r="H131" s="22">
        <f t="shared" si="51"/>
        <v>0.18211460660588127</v>
      </c>
      <c r="I131" s="23">
        <f t="shared" si="52"/>
        <v>71.424936549203323</v>
      </c>
      <c r="J131" s="23">
        <f t="shared" si="53"/>
        <v>141.73710783061756</v>
      </c>
      <c r="K131" s="21">
        <v>2774787.36</v>
      </c>
      <c r="L131" s="21">
        <v>2469404.4700000002</v>
      </c>
      <c r="M131" s="24">
        <f t="shared" si="54"/>
        <v>0.12366661424242083</v>
      </c>
      <c r="N131" s="10"/>
      <c r="R131" s="2"/>
    </row>
    <row r="132" spans="1:18" ht="15" customHeight="1" x14ac:dyDescent="0.25">
      <c r="A132" s="19"/>
      <c r="B132" s="20">
        <f>DATE(2025,10,1)</f>
        <v>45931</v>
      </c>
      <c r="C132" s="21">
        <v>40589</v>
      </c>
      <c r="D132" s="21">
        <v>33869</v>
      </c>
      <c r="E132" s="22">
        <f t="shared" si="50"/>
        <v>0.19841152676488824</v>
      </c>
      <c r="F132" s="21">
        <f>+C132-20243</f>
        <v>20346</v>
      </c>
      <c r="G132" s="21">
        <f>+D132-17511</f>
        <v>16358</v>
      </c>
      <c r="H132" s="22">
        <f t="shared" si="51"/>
        <v>0.24379508497371316</v>
      </c>
      <c r="I132" s="23">
        <f t="shared" si="52"/>
        <v>71.809353765798619</v>
      </c>
      <c r="J132" s="23">
        <f t="shared" si="53"/>
        <v>143.25517841344737</v>
      </c>
      <c r="K132" s="21">
        <v>2914669.86</v>
      </c>
      <c r="L132" s="21">
        <v>2475216.7799999998</v>
      </c>
      <c r="M132" s="24">
        <f t="shared" si="54"/>
        <v>0.1775412495385556</v>
      </c>
      <c r="N132" s="10"/>
      <c r="R132" s="2"/>
    </row>
    <row r="133" spans="1:18" ht="15" customHeight="1" x14ac:dyDescent="0.25">
      <c r="A133" s="19"/>
      <c r="B133" s="20">
        <f>DATE(2025,11,1)</f>
        <v>45962</v>
      </c>
      <c r="C133" s="21">
        <v>37585</v>
      </c>
      <c r="D133" s="21">
        <v>33707</v>
      </c>
      <c r="E133" s="22">
        <f t="shared" si="50"/>
        <v>0.11505028629068147</v>
      </c>
      <c r="F133" s="21">
        <f>+C133-18830</f>
        <v>18755</v>
      </c>
      <c r="G133" s="21">
        <f>+D133-17566</f>
        <v>16141</v>
      </c>
      <c r="H133" s="22">
        <f t="shared" si="51"/>
        <v>0.16194783470664767</v>
      </c>
      <c r="I133" s="23">
        <f t="shared" si="52"/>
        <v>71.294016495942529</v>
      </c>
      <c r="J133" s="23">
        <f t="shared" si="53"/>
        <v>142.87313303119168</v>
      </c>
      <c r="K133" s="21">
        <v>2679585.61</v>
      </c>
      <c r="L133" s="21">
        <v>2520547.39</v>
      </c>
      <c r="M133" s="24">
        <f t="shared" si="54"/>
        <v>6.3096699007115176E-2</v>
      </c>
      <c r="N133" s="10"/>
      <c r="R133" s="2"/>
    </row>
    <row r="134" spans="1:18" ht="15" customHeight="1" x14ac:dyDescent="0.25">
      <c r="A134" s="19"/>
      <c r="B134" s="20">
        <f>DATE(2025,12,1)</f>
        <v>45992</v>
      </c>
      <c r="C134" s="21">
        <v>36642</v>
      </c>
      <c r="D134" s="21">
        <v>34296</v>
      </c>
      <c r="E134" s="22">
        <f t="shared" si="50"/>
        <v>6.8404478656403075E-2</v>
      </c>
      <c r="F134" s="21">
        <f>+C134-19121</f>
        <v>17521</v>
      </c>
      <c r="G134" s="21">
        <f>+D134-18130</f>
        <v>16166</v>
      </c>
      <c r="H134" s="22">
        <f t="shared" si="51"/>
        <v>8.3817889397500928E-2</v>
      </c>
      <c r="I134" s="23">
        <f t="shared" si="52"/>
        <v>80.185810272365046</v>
      </c>
      <c r="J134" s="23">
        <f t="shared" si="53"/>
        <v>167.69410764225785</v>
      </c>
      <c r="K134" s="21">
        <v>2938168.46</v>
      </c>
      <c r="L134" s="21">
        <v>2529744.4500000002</v>
      </c>
      <c r="M134" s="24">
        <f t="shared" si="54"/>
        <v>0.16144872261702156</v>
      </c>
      <c r="N134" s="10"/>
      <c r="R134" s="2"/>
    </row>
    <row r="135" spans="1:18" ht="15" customHeight="1" x14ac:dyDescent="0.25">
      <c r="A135" s="19"/>
      <c r="B135" s="20">
        <f>DATE(2026,1,1)</f>
        <v>46023</v>
      </c>
      <c r="C135" s="21">
        <v>38334</v>
      </c>
      <c r="D135" s="21">
        <v>31653</v>
      </c>
      <c r="E135" s="22">
        <f t="shared" si="50"/>
        <v>0.21107004075443087</v>
      </c>
      <c r="F135" s="21">
        <f>+C135-19849</f>
        <v>18485</v>
      </c>
      <c r="G135" s="21">
        <f>+D135-16787</f>
        <v>14866</v>
      </c>
      <c r="H135" s="22">
        <f t="shared" si="51"/>
        <v>0.24344140992869637</v>
      </c>
      <c r="I135" s="23">
        <f t="shared" si="52"/>
        <v>76.68133328116032</v>
      </c>
      <c r="J135" s="23">
        <f t="shared" si="53"/>
        <v>159.02094833648906</v>
      </c>
      <c r="K135" s="21">
        <v>2939502.23</v>
      </c>
      <c r="L135" s="21">
        <v>2327370.2200000002</v>
      </c>
      <c r="M135" s="24">
        <f t="shared" si="54"/>
        <v>0.26301445500149079</v>
      </c>
      <c r="N135" s="10"/>
      <c r="R135" s="2"/>
    </row>
    <row r="136" spans="1:18" ht="15" customHeight="1" x14ac:dyDescent="0.25">
      <c r="A136" s="19"/>
      <c r="B136" s="20">
        <f>DATE(2026,2,1)</f>
        <v>46054</v>
      </c>
      <c r="C136" s="21">
        <v>39393</v>
      </c>
      <c r="D136" s="21">
        <v>33779</v>
      </c>
      <c r="E136" s="22">
        <f t="shared" si="50"/>
        <v>0.16619793362740165</v>
      </c>
      <c r="F136" s="21">
        <f>+C136-20473</f>
        <v>18920</v>
      </c>
      <c r="G136" s="21">
        <f>+D136-18168</f>
        <v>15611</v>
      </c>
      <c r="H136" s="22">
        <f t="shared" si="51"/>
        <v>0.2119659214656332</v>
      </c>
      <c r="I136" s="23">
        <f t="shared" si="52"/>
        <v>71.938783286370679</v>
      </c>
      <c r="J136" s="23">
        <f t="shared" si="53"/>
        <v>149.78247832980975</v>
      </c>
      <c r="K136" s="21">
        <v>2833884.49</v>
      </c>
      <c r="L136" s="21">
        <v>2398819.19</v>
      </c>
      <c r="M136" s="24">
        <f t="shared" si="54"/>
        <v>0.18136644137818503</v>
      </c>
      <c r="N136" s="10"/>
      <c r="R136" s="2"/>
    </row>
    <row r="137" spans="1:18" ht="15" customHeight="1" x14ac:dyDescent="0.25">
      <c r="A137" s="19"/>
      <c r="B137" s="20">
        <f>DATE(2026,3,1)</f>
        <v>46082</v>
      </c>
      <c r="C137" s="21">
        <v>42549</v>
      </c>
      <c r="D137" s="21">
        <v>44796</v>
      </c>
      <c r="E137" s="22">
        <f t="shared" si="50"/>
        <v>-5.0160728636485401E-2</v>
      </c>
      <c r="F137" s="21">
        <f>+C137-21397</f>
        <v>21152</v>
      </c>
      <c r="G137" s="21">
        <f>+D137-23437</f>
        <v>21359</v>
      </c>
      <c r="H137" s="22">
        <f t="shared" si="51"/>
        <v>-9.6914649562245426E-3</v>
      </c>
      <c r="I137" s="23">
        <f t="shared" si="52"/>
        <v>72.96964746527533</v>
      </c>
      <c r="J137" s="23">
        <f t="shared" si="53"/>
        <v>146.78448988275341</v>
      </c>
      <c r="K137" s="21">
        <v>3104785.53</v>
      </c>
      <c r="L137" s="21">
        <v>3309267.69</v>
      </c>
      <c r="M137" s="24">
        <f t="shared" si="54"/>
        <v>-6.1790758305200796E-2</v>
      </c>
      <c r="N137" s="10"/>
      <c r="R137" s="2"/>
    </row>
    <row r="138" spans="1:18" ht="15.75" thickBot="1" x14ac:dyDescent="0.25">
      <c r="A138" s="37"/>
      <c r="B138" s="20"/>
      <c r="C138" s="21"/>
      <c r="D138" s="21"/>
      <c r="E138" s="22"/>
      <c r="F138" s="21"/>
      <c r="G138" s="21"/>
      <c r="H138" s="22"/>
      <c r="I138" s="23"/>
      <c r="J138" s="23"/>
      <c r="K138" s="21"/>
      <c r="L138" s="21"/>
      <c r="M138" s="24"/>
      <c r="N138" s="10"/>
      <c r="R138" s="2"/>
    </row>
    <row r="139" spans="1:18" ht="17.25" thickTop="1" thickBot="1" x14ac:dyDescent="0.3">
      <c r="A139" s="61" t="s">
        <v>14</v>
      </c>
      <c r="B139" s="51"/>
      <c r="C139" s="47">
        <f>SUM(C129:C138)</f>
        <v>360222</v>
      </c>
      <c r="D139" s="47">
        <f>SUM(D129:D138)</f>
        <v>322394</v>
      </c>
      <c r="E139" s="279">
        <f>(+C139-D139)/D139</f>
        <v>0.1173346898515481</v>
      </c>
      <c r="F139" s="47">
        <f>SUM(F129:F138)</f>
        <v>177608</v>
      </c>
      <c r="G139" s="47">
        <f>SUM(G129:G138)</f>
        <v>154668</v>
      </c>
      <c r="H139" s="41">
        <f>(+F139-G139)/G139</f>
        <v>0.14831768691649211</v>
      </c>
      <c r="I139" s="49">
        <f>K139/C139</f>
        <v>72.599224950169614</v>
      </c>
      <c r="J139" s="49">
        <f>K139/F139</f>
        <v>147.24470750191432</v>
      </c>
      <c r="K139" s="47">
        <f>SUM(K129:K138)</f>
        <v>26151838.009999998</v>
      </c>
      <c r="L139" s="47">
        <f>SUM(L129:L138)</f>
        <v>23578576.140000001</v>
      </c>
      <c r="M139" s="43">
        <f>(+K139-L139)/L139</f>
        <v>0.10913559218847713</v>
      </c>
      <c r="N139" s="10"/>
      <c r="R139" s="2"/>
    </row>
    <row r="140" spans="1:18" ht="15.75" customHeight="1" thickTop="1" x14ac:dyDescent="0.25">
      <c r="A140" s="19"/>
      <c r="B140" s="44"/>
      <c r="C140" s="21"/>
      <c r="D140" s="21"/>
      <c r="E140" s="22"/>
      <c r="F140" s="21"/>
      <c r="G140" s="21"/>
      <c r="H140" s="22"/>
      <c r="I140" s="23"/>
      <c r="J140" s="23"/>
      <c r="K140" s="21"/>
      <c r="L140" s="21"/>
      <c r="M140" s="24"/>
      <c r="N140" s="10"/>
      <c r="R140" s="2"/>
    </row>
    <row r="141" spans="1:18" ht="15.75" x14ac:dyDescent="0.25">
      <c r="A141" s="19" t="s">
        <v>17</v>
      </c>
      <c r="B141" s="20">
        <f>DATE(2025,7,1)</f>
        <v>45839</v>
      </c>
      <c r="C141" s="21">
        <v>332760</v>
      </c>
      <c r="D141" s="21">
        <v>318851</v>
      </c>
      <c r="E141" s="22">
        <f t="shared" ref="E141:E149" si="55">(+C141-D141)/D141</f>
        <v>4.3622256163537203E-2</v>
      </c>
      <c r="F141" s="21">
        <f>+C141-168404</f>
        <v>164356</v>
      </c>
      <c r="G141" s="21">
        <f>+D141-161525</f>
        <v>157326</v>
      </c>
      <c r="H141" s="22">
        <f t="shared" ref="H141:H149" si="56">(+F141-G141)/G141</f>
        <v>4.4684286131980729E-2</v>
      </c>
      <c r="I141" s="23">
        <f t="shared" ref="I141:I149" si="57">K141/C141</f>
        <v>76.969005679769197</v>
      </c>
      <c r="J141" s="23">
        <f t="shared" ref="J141:J149" si="58">K141/F141</f>
        <v>155.83371662732117</v>
      </c>
      <c r="K141" s="21">
        <v>25612206.329999998</v>
      </c>
      <c r="L141" s="21">
        <v>24087952.09</v>
      </c>
      <c r="M141" s="24">
        <f t="shared" ref="M141:M149" si="59">(+K141-L141)/L141</f>
        <v>6.3278697761640995E-2</v>
      </c>
      <c r="N141" s="10"/>
      <c r="R141" s="2"/>
    </row>
    <row r="142" spans="1:18" ht="15.75" x14ac:dyDescent="0.25">
      <c r="A142" s="19"/>
      <c r="B142" s="20">
        <f>DATE(2025,8,1)</f>
        <v>45870</v>
      </c>
      <c r="C142" s="21">
        <v>337938</v>
      </c>
      <c r="D142" s="21">
        <v>333739</v>
      </c>
      <c r="E142" s="22">
        <f t="shared" si="55"/>
        <v>1.2581688085599825E-2</v>
      </c>
      <c r="F142" s="21">
        <f>+C142-170987</f>
        <v>166951</v>
      </c>
      <c r="G142" s="21">
        <f>+D142-170693</f>
        <v>163046</v>
      </c>
      <c r="H142" s="22">
        <f t="shared" si="56"/>
        <v>2.3950296235418226E-2</v>
      </c>
      <c r="I142" s="23">
        <f t="shared" si="57"/>
        <v>80.764730779018635</v>
      </c>
      <c r="J142" s="23">
        <f t="shared" si="58"/>
        <v>163.48192936849733</v>
      </c>
      <c r="K142" s="21">
        <v>27293471.59</v>
      </c>
      <c r="L142" s="21">
        <v>25503125.370000001</v>
      </c>
      <c r="M142" s="24">
        <f t="shared" si="59"/>
        <v>7.0201051597622244E-2</v>
      </c>
      <c r="N142" s="10"/>
      <c r="R142" s="2"/>
    </row>
    <row r="143" spans="1:18" ht="15.75" x14ac:dyDescent="0.25">
      <c r="A143" s="19"/>
      <c r="B143" s="20">
        <f>DATE(2025,9,1)</f>
        <v>45901</v>
      </c>
      <c r="C143" s="21">
        <v>299683</v>
      </c>
      <c r="D143" s="21">
        <v>295322</v>
      </c>
      <c r="E143" s="22">
        <f t="shared" si="55"/>
        <v>1.4766932365350363E-2</v>
      </c>
      <c r="F143" s="21">
        <f>+C143-150956</f>
        <v>148727</v>
      </c>
      <c r="G143" s="21">
        <f>+D143-149037</f>
        <v>146285</v>
      </c>
      <c r="H143" s="22">
        <f t="shared" si="56"/>
        <v>1.6693440885941827E-2</v>
      </c>
      <c r="I143" s="23">
        <f t="shared" si="57"/>
        <v>77.667914429580591</v>
      </c>
      <c r="J143" s="23">
        <f t="shared" si="58"/>
        <v>156.49985275034123</v>
      </c>
      <c r="K143" s="21">
        <v>23275753.600000001</v>
      </c>
      <c r="L143" s="21">
        <v>23625697.699999999</v>
      </c>
      <c r="M143" s="24">
        <f t="shared" si="59"/>
        <v>-1.4812011244857237E-2</v>
      </c>
      <c r="N143" s="10"/>
      <c r="R143" s="2"/>
    </row>
    <row r="144" spans="1:18" ht="15.75" x14ac:dyDescent="0.25">
      <c r="A144" s="19"/>
      <c r="B144" s="20">
        <f>DATE(2025,10,1)</f>
        <v>45931</v>
      </c>
      <c r="C144" s="21">
        <v>310127</v>
      </c>
      <c r="D144" s="21">
        <v>292456</v>
      </c>
      <c r="E144" s="22">
        <f t="shared" si="55"/>
        <v>6.0422764450036928E-2</v>
      </c>
      <c r="F144" s="21">
        <f>+C144-157798</f>
        <v>152329</v>
      </c>
      <c r="G144" s="21">
        <f>+D144-147740</f>
        <v>144716</v>
      </c>
      <c r="H144" s="22">
        <f t="shared" si="56"/>
        <v>5.2606484424666242E-2</v>
      </c>
      <c r="I144" s="23">
        <f t="shared" si="57"/>
        <v>81.401161266190954</v>
      </c>
      <c r="J144" s="23">
        <f t="shared" si="58"/>
        <v>165.72483204117404</v>
      </c>
      <c r="K144" s="21">
        <v>25244697.940000001</v>
      </c>
      <c r="L144" s="21">
        <v>23599739.219999999</v>
      </c>
      <c r="M144" s="24">
        <f t="shared" si="59"/>
        <v>6.9702410889606548E-2</v>
      </c>
      <c r="N144" s="10"/>
      <c r="R144" s="2"/>
    </row>
    <row r="145" spans="1:18" ht="15.75" x14ac:dyDescent="0.25">
      <c r="A145" s="19"/>
      <c r="B145" s="20">
        <f>DATE(2025,11,1)</f>
        <v>45962</v>
      </c>
      <c r="C145" s="21">
        <v>306827</v>
      </c>
      <c r="D145" s="21">
        <v>314580</v>
      </c>
      <c r="E145" s="22">
        <f t="shared" si="55"/>
        <v>-2.4645559158242736E-2</v>
      </c>
      <c r="F145" s="21">
        <f>+C145-156743</f>
        <v>150084</v>
      </c>
      <c r="G145" s="21">
        <f>+D145-161325</f>
        <v>153255</v>
      </c>
      <c r="H145" s="22">
        <f t="shared" si="56"/>
        <v>-2.069100518743271E-2</v>
      </c>
      <c r="I145" s="23">
        <f t="shared" si="57"/>
        <v>79.287277390842405</v>
      </c>
      <c r="J145" s="23">
        <f t="shared" si="58"/>
        <v>162.09241131632953</v>
      </c>
      <c r="K145" s="21">
        <v>24327477.460000001</v>
      </c>
      <c r="L145" s="21">
        <v>23130451.84</v>
      </c>
      <c r="M145" s="24">
        <f t="shared" si="59"/>
        <v>5.1751069468083555E-2</v>
      </c>
      <c r="N145" s="10"/>
      <c r="R145" s="2"/>
    </row>
    <row r="146" spans="1:18" ht="15.75" x14ac:dyDescent="0.25">
      <c r="A146" s="19"/>
      <c r="B146" s="20">
        <f>DATE(2025,12,1)</f>
        <v>45992</v>
      </c>
      <c r="C146" s="21">
        <v>343436</v>
      </c>
      <c r="D146" s="21">
        <v>346229</v>
      </c>
      <c r="E146" s="22">
        <f t="shared" si="55"/>
        <v>-8.0669152497335576E-3</v>
      </c>
      <c r="F146" s="21">
        <f>+C146-174846</f>
        <v>168590</v>
      </c>
      <c r="G146" s="21">
        <f>+D146-175725</f>
        <v>170504</v>
      </c>
      <c r="H146" s="22">
        <f t="shared" si="56"/>
        <v>-1.1225543095763148E-2</v>
      </c>
      <c r="I146" s="23">
        <f t="shared" si="57"/>
        <v>79.328881916863693</v>
      </c>
      <c r="J146" s="23">
        <f t="shared" si="58"/>
        <v>161.60148223500801</v>
      </c>
      <c r="K146" s="21">
        <v>27244393.890000001</v>
      </c>
      <c r="L146" s="21">
        <v>26386187.27</v>
      </c>
      <c r="M146" s="24">
        <f t="shared" si="59"/>
        <v>3.2524843821439345E-2</v>
      </c>
      <c r="N146" s="10"/>
      <c r="R146" s="2"/>
    </row>
    <row r="147" spans="1:18" ht="15.75" x14ac:dyDescent="0.25">
      <c r="A147" s="19"/>
      <c r="B147" s="20">
        <f>DATE(2026,1,1)</f>
        <v>46023</v>
      </c>
      <c r="C147" s="21">
        <v>316155</v>
      </c>
      <c r="D147" s="21">
        <v>297466</v>
      </c>
      <c r="E147" s="22">
        <f t="shared" si="55"/>
        <v>6.2827348335608102E-2</v>
      </c>
      <c r="F147" s="21">
        <f>+C147-162203</f>
        <v>153952</v>
      </c>
      <c r="G147" s="21">
        <f>+D147-154867</f>
        <v>142599</v>
      </c>
      <c r="H147" s="22">
        <f t="shared" si="56"/>
        <v>7.961486405935525E-2</v>
      </c>
      <c r="I147" s="23">
        <f t="shared" si="57"/>
        <v>77.486250889595283</v>
      </c>
      <c r="J147" s="23">
        <f t="shared" si="58"/>
        <v>159.12534848524214</v>
      </c>
      <c r="K147" s="21">
        <v>24497665.649999999</v>
      </c>
      <c r="L147" s="21">
        <v>22339123.949999999</v>
      </c>
      <c r="M147" s="24">
        <f t="shared" si="59"/>
        <v>9.6626067558929468E-2</v>
      </c>
      <c r="N147" s="10"/>
      <c r="R147" s="2"/>
    </row>
    <row r="148" spans="1:18" ht="15.75" x14ac:dyDescent="0.25">
      <c r="A148" s="19"/>
      <c r="B148" s="20">
        <f>DATE(2026,2,1)</f>
        <v>46054</v>
      </c>
      <c r="C148" s="21">
        <v>307888</v>
      </c>
      <c r="D148" s="21">
        <v>289942</v>
      </c>
      <c r="E148" s="22">
        <f t="shared" si="55"/>
        <v>6.1895137648219301E-2</v>
      </c>
      <c r="F148" s="21">
        <f>+C148-156517</f>
        <v>151371</v>
      </c>
      <c r="G148" s="21">
        <f>+D148-148885</f>
        <v>141057</v>
      </c>
      <c r="H148" s="22">
        <f t="shared" si="56"/>
        <v>7.3119377273017289E-2</v>
      </c>
      <c r="I148" s="23">
        <f t="shared" si="57"/>
        <v>81.375440322454921</v>
      </c>
      <c r="J148" s="23">
        <f t="shared" si="58"/>
        <v>165.51731553600095</v>
      </c>
      <c r="K148" s="21">
        <v>25054521.57</v>
      </c>
      <c r="L148" s="21">
        <v>23300198.129999999</v>
      </c>
      <c r="M148" s="24">
        <f t="shared" si="59"/>
        <v>7.5292211259836248E-2</v>
      </c>
      <c r="N148" s="10"/>
      <c r="R148" s="2"/>
    </row>
    <row r="149" spans="1:18" ht="15.75" x14ac:dyDescent="0.25">
      <c r="A149" s="19"/>
      <c r="B149" s="20">
        <f>DATE(2026,3,1)</f>
        <v>46082</v>
      </c>
      <c r="C149" s="21">
        <v>329283</v>
      </c>
      <c r="D149" s="21">
        <v>332800</v>
      </c>
      <c r="E149" s="22">
        <f t="shared" si="55"/>
        <v>-1.0567908653846153E-2</v>
      </c>
      <c r="F149" s="21">
        <f>+C149-167314</f>
        <v>161969</v>
      </c>
      <c r="G149" s="21">
        <f>+D149-171392</f>
        <v>161408</v>
      </c>
      <c r="H149" s="22">
        <f t="shared" si="56"/>
        <v>3.4756641554321965E-3</v>
      </c>
      <c r="I149" s="23">
        <f t="shared" si="57"/>
        <v>77.655783475004782</v>
      </c>
      <c r="J149" s="23">
        <f t="shared" si="58"/>
        <v>157.87421883199872</v>
      </c>
      <c r="K149" s="21">
        <v>25570729.350000001</v>
      </c>
      <c r="L149" s="21">
        <v>26465726.82</v>
      </c>
      <c r="M149" s="24">
        <f t="shared" si="59"/>
        <v>-3.3817226184155058E-2</v>
      </c>
      <c r="N149" s="10"/>
      <c r="R149" s="2"/>
    </row>
    <row r="150" spans="1:18" ht="15.75" thickBot="1" x14ac:dyDescent="0.25">
      <c r="A150" s="37"/>
      <c r="B150" s="44"/>
      <c r="C150" s="21"/>
      <c r="D150" s="21"/>
      <c r="E150" s="22"/>
      <c r="F150" s="21"/>
      <c r="G150" s="21"/>
      <c r="H150" s="22"/>
      <c r="I150" s="23"/>
      <c r="J150" s="23"/>
      <c r="K150" s="21"/>
      <c r="L150" s="21"/>
      <c r="M150" s="24"/>
      <c r="N150" s="10"/>
      <c r="R150" s="2"/>
    </row>
    <row r="151" spans="1:18" ht="17.25" thickTop="1" thickBot="1" x14ac:dyDescent="0.3">
      <c r="A151" s="38" t="s">
        <v>14</v>
      </c>
      <c r="B151" s="39"/>
      <c r="C151" s="40">
        <f>SUM(C141:C150)</f>
        <v>2884097</v>
      </c>
      <c r="D151" s="40">
        <f>SUM(D141:D150)</f>
        <v>2821385</v>
      </c>
      <c r="E151" s="279">
        <f>(+C151-D151)/D151</f>
        <v>2.2227381232976004E-2</v>
      </c>
      <c r="F151" s="40">
        <f>SUM(F141:F150)</f>
        <v>1418329</v>
      </c>
      <c r="G151" s="40">
        <f>SUM(G141:G150)</f>
        <v>1380196</v>
      </c>
      <c r="H151" s="41">
        <f>(+F151-G151)/G151</f>
        <v>2.7628684621604466E-2</v>
      </c>
      <c r="I151" s="42">
        <f>K151/C151</f>
        <v>79.096132127317489</v>
      </c>
      <c r="J151" s="42">
        <f>K151/F151</f>
        <v>160.83780094745296</v>
      </c>
      <c r="K151" s="40">
        <f>SUM(K141:K150)</f>
        <v>228120917.38</v>
      </c>
      <c r="L151" s="40">
        <f>SUM(L141:L150)</f>
        <v>218438202.38999999</v>
      </c>
      <c r="M151" s="43">
        <f>(+K151-L151)/L151</f>
        <v>4.4327021940569131E-2</v>
      </c>
      <c r="N151" s="10"/>
      <c r="R151" s="2"/>
    </row>
    <row r="152" spans="1:18" ht="15.75" customHeight="1" thickTop="1" x14ac:dyDescent="0.25">
      <c r="A152" s="19"/>
      <c r="B152" s="44"/>
      <c r="C152" s="21"/>
      <c r="D152" s="21"/>
      <c r="E152" s="22"/>
      <c r="F152" s="21"/>
      <c r="G152" s="21"/>
      <c r="H152" s="22"/>
      <c r="I152" s="23"/>
      <c r="J152" s="23"/>
      <c r="K152" s="21"/>
      <c r="L152" s="21"/>
      <c r="M152" s="24"/>
      <c r="N152" s="10"/>
      <c r="R152" s="2"/>
    </row>
    <row r="153" spans="1:18" ht="15.75" x14ac:dyDescent="0.25">
      <c r="A153" s="19" t="s">
        <v>56</v>
      </c>
      <c r="B153" s="20">
        <f>DATE(2025,7,1)</f>
        <v>45839</v>
      </c>
      <c r="C153" s="21">
        <v>62531</v>
      </c>
      <c r="D153" s="21">
        <v>61692</v>
      </c>
      <c r="E153" s="22">
        <f t="shared" ref="E153:E161" si="60">(+C153-D153)/D153</f>
        <v>1.3599818452959865E-2</v>
      </c>
      <c r="F153" s="21">
        <f>+C153-28002</f>
        <v>34529</v>
      </c>
      <c r="G153" s="21">
        <f>+D153-26929</f>
        <v>34763</v>
      </c>
      <c r="H153" s="22">
        <f t="shared" ref="H153:H161" si="61">(+F153-G153)/G153</f>
        <v>-6.7312947674251361E-3</v>
      </c>
      <c r="I153" s="23">
        <f t="shared" ref="I153:I161" si="62">K153/C153</f>
        <v>69.151710991348281</v>
      </c>
      <c r="J153" s="23">
        <f t="shared" ref="J153:J161" si="63">K153/F153</f>
        <v>125.23170783978684</v>
      </c>
      <c r="K153" s="21">
        <v>4324125.6399999997</v>
      </c>
      <c r="L153" s="21">
        <v>4020687.4</v>
      </c>
      <c r="M153" s="24">
        <f t="shared" ref="M153:M161" si="64">(+K153-L153)/L153</f>
        <v>7.546924438840974E-2</v>
      </c>
      <c r="N153" s="10"/>
      <c r="R153" s="2"/>
    </row>
    <row r="154" spans="1:18" ht="15.75" x14ac:dyDescent="0.25">
      <c r="A154" s="19"/>
      <c r="B154" s="20">
        <f>DATE(2025,8,1)</f>
        <v>45870</v>
      </c>
      <c r="C154" s="21">
        <v>65265</v>
      </c>
      <c r="D154" s="21">
        <v>66178</v>
      </c>
      <c r="E154" s="22">
        <f t="shared" si="60"/>
        <v>-1.3796125600652786E-2</v>
      </c>
      <c r="F154" s="21">
        <f>+C154-29137</f>
        <v>36128</v>
      </c>
      <c r="G154" s="21">
        <f>+D154-28897</f>
        <v>37281</v>
      </c>
      <c r="H154" s="22">
        <f t="shared" si="61"/>
        <v>-3.0927281993508759E-2</v>
      </c>
      <c r="I154" s="23">
        <f t="shared" si="62"/>
        <v>64.341791618784953</v>
      </c>
      <c r="J154" s="23">
        <f t="shared" si="63"/>
        <v>116.2330333813109</v>
      </c>
      <c r="K154" s="21">
        <v>4199267.03</v>
      </c>
      <c r="L154" s="21">
        <v>4282672.42</v>
      </c>
      <c r="M154" s="24">
        <f t="shared" si="64"/>
        <v>-1.9475080468563988E-2</v>
      </c>
      <c r="N154" s="10"/>
      <c r="R154" s="2"/>
    </row>
    <row r="155" spans="1:18" ht="15.75" x14ac:dyDescent="0.25">
      <c r="A155" s="19"/>
      <c r="B155" s="20">
        <f>DATE(2025,9,1)</f>
        <v>45901</v>
      </c>
      <c r="C155" s="21">
        <v>58566</v>
      </c>
      <c r="D155" s="21">
        <v>57691</v>
      </c>
      <c r="E155" s="22">
        <f t="shared" si="60"/>
        <v>1.5167010452236918E-2</v>
      </c>
      <c r="F155" s="21">
        <f>+C155-25799</f>
        <v>32767</v>
      </c>
      <c r="G155" s="21">
        <f>+D155-24805</f>
        <v>32886</v>
      </c>
      <c r="H155" s="22">
        <f t="shared" si="61"/>
        <v>-3.6185610898254576E-3</v>
      </c>
      <c r="I155" s="23">
        <f t="shared" si="62"/>
        <v>59.291630297442204</v>
      </c>
      <c r="J155" s="23">
        <f t="shared" si="63"/>
        <v>105.97471907712028</v>
      </c>
      <c r="K155" s="21">
        <v>3472473.62</v>
      </c>
      <c r="L155" s="21">
        <v>3550945.67</v>
      </c>
      <c r="M155" s="24">
        <f t="shared" si="64"/>
        <v>-2.2098915976937437E-2</v>
      </c>
      <c r="N155" s="10"/>
      <c r="R155" s="2"/>
    </row>
    <row r="156" spans="1:18" ht="15.75" x14ac:dyDescent="0.25">
      <c r="A156" s="19"/>
      <c r="B156" s="20">
        <f>DATE(2025,10,1)</f>
        <v>45931</v>
      </c>
      <c r="C156" s="21">
        <v>60412</v>
      </c>
      <c r="D156" s="21">
        <v>57484</v>
      </c>
      <c r="E156" s="22">
        <f t="shared" si="60"/>
        <v>5.0935912601767448E-2</v>
      </c>
      <c r="F156" s="21">
        <f>+C156-27156</f>
        <v>33256</v>
      </c>
      <c r="G156" s="21">
        <f>+D156-25116</f>
        <v>32368</v>
      </c>
      <c r="H156" s="22">
        <f t="shared" si="61"/>
        <v>2.7434503213049927E-2</v>
      </c>
      <c r="I156" s="23">
        <f t="shared" si="62"/>
        <v>67.935049824538169</v>
      </c>
      <c r="J156" s="23">
        <f t="shared" si="63"/>
        <v>123.40907595621843</v>
      </c>
      <c r="K156" s="21">
        <v>4104092.23</v>
      </c>
      <c r="L156" s="21">
        <v>3665445.99</v>
      </c>
      <c r="M156" s="24">
        <f t="shared" si="64"/>
        <v>0.11967063249511957</v>
      </c>
      <c r="N156" s="10"/>
      <c r="R156" s="2"/>
    </row>
    <row r="157" spans="1:18" ht="15.75" x14ac:dyDescent="0.25">
      <c r="A157" s="19"/>
      <c r="B157" s="20">
        <f>DATE(2025,11,1)</f>
        <v>45962</v>
      </c>
      <c r="C157" s="21">
        <v>58210</v>
      </c>
      <c r="D157" s="21">
        <v>57549</v>
      </c>
      <c r="E157" s="22">
        <f t="shared" si="60"/>
        <v>1.1485864220055953E-2</v>
      </c>
      <c r="F157" s="21">
        <f>+C157-26631</f>
        <v>31579</v>
      </c>
      <c r="G157" s="21">
        <f>+D157-26362</f>
        <v>31187</v>
      </c>
      <c r="H157" s="22">
        <f t="shared" si="61"/>
        <v>1.2569339789014653E-2</v>
      </c>
      <c r="I157" s="23">
        <f t="shared" si="62"/>
        <v>66.669235698333623</v>
      </c>
      <c r="J157" s="23">
        <f t="shared" si="63"/>
        <v>122.89230849615251</v>
      </c>
      <c r="K157" s="21">
        <v>3880816.21</v>
      </c>
      <c r="L157" s="21">
        <v>3812455.63</v>
      </c>
      <c r="M157" s="24">
        <f t="shared" si="64"/>
        <v>1.7930852614276873E-2</v>
      </c>
      <c r="N157" s="10"/>
      <c r="R157" s="2"/>
    </row>
    <row r="158" spans="1:18" ht="15.75" x14ac:dyDescent="0.25">
      <c r="A158" s="19"/>
      <c r="B158" s="20">
        <f>DATE(2025,12,1)</f>
        <v>45992</v>
      </c>
      <c r="C158" s="21">
        <v>60380</v>
      </c>
      <c r="D158" s="21">
        <v>59878</v>
      </c>
      <c r="E158" s="22">
        <f t="shared" si="60"/>
        <v>8.3837135508868024E-3</v>
      </c>
      <c r="F158" s="21">
        <f>+C158-27360</f>
        <v>33020</v>
      </c>
      <c r="G158" s="21">
        <f>+D158-27490</f>
        <v>32388</v>
      </c>
      <c r="H158" s="22">
        <f t="shared" si="61"/>
        <v>1.9513400024700506E-2</v>
      </c>
      <c r="I158" s="23">
        <f t="shared" si="62"/>
        <v>67.76589267969527</v>
      </c>
      <c r="J158" s="23">
        <f t="shared" si="63"/>
        <v>123.91594791035736</v>
      </c>
      <c r="K158" s="21">
        <v>4091704.6</v>
      </c>
      <c r="L158" s="21">
        <v>3858632.67</v>
      </c>
      <c r="M158" s="24">
        <f t="shared" si="64"/>
        <v>6.0402725507427008E-2</v>
      </c>
      <c r="N158" s="10"/>
      <c r="R158" s="2"/>
    </row>
    <row r="159" spans="1:18" ht="15.75" x14ac:dyDescent="0.25">
      <c r="A159" s="19"/>
      <c r="B159" s="20">
        <f>DATE(2026,1,1)</f>
        <v>46023</v>
      </c>
      <c r="C159" s="21">
        <v>56990</v>
      </c>
      <c r="D159" s="21">
        <v>47954</v>
      </c>
      <c r="E159" s="22">
        <f t="shared" si="60"/>
        <v>0.18843057930516746</v>
      </c>
      <c r="F159" s="21">
        <f>+C159-26377</f>
        <v>30613</v>
      </c>
      <c r="G159" s="21">
        <f>+D159-22140</f>
        <v>25814</v>
      </c>
      <c r="H159" s="22">
        <f t="shared" si="61"/>
        <v>0.18590687223986985</v>
      </c>
      <c r="I159" s="23">
        <f t="shared" si="62"/>
        <v>70.993795402702233</v>
      </c>
      <c r="J159" s="23">
        <f t="shared" si="63"/>
        <v>132.16399568810635</v>
      </c>
      <c r="K159" s="21">
        <v>4045936.4</v>
      </c>
      <c r="L159" s="21">
        <v>3310947.52</v>
      </c>
      <c r="M159" s="24">
        <f t="shared" si="64"/>
        <v>0.22198747505366678</v>
      </c>
      <c r="N159" s="10"/>
      <c r="R159" s="2"/>
    </row>
    <row r="160" spans="1:18" ht="15.75" x14ac:dyDescent="0.25">
      <c r="A160" s="19"/>
      <c r="B160" s="20">
        <f>DATE(2026,2,1)</f>
        <v>46054</v>
      </c>
      <c r="C160" s="21">
        <v>58492</v>
      </c>
      <c r="D160" s="21">
        <v>54179</v>
      </c>
      <c r="E160" s="22">
        <f t="shared" si="60"/>
        <v>7.9606489599291244E-2</v>
      </c>
      <c r="F160" s="21">
        <f>+C160-26809</f>
        <v>31683</v>
      </c>
      <c r="G160" s="21">
        <f>+D160-25152</f>
        <v>29027</v>
      </c>
      <c r="H160" s="22">
        <f t="shared" si="61"/>
        <v>9.150101629517346E-2</v>
      </c>
      <c r="I160" s="23">
        <f t="shared" si="62"/>
        <v>69.058925494084662</v>
      </c>
      <c r="J160" s="23">
        <f t="shared" si="63"/>
        <v>127.49407158413028</v>
      </c>
      <c r="K160" s="21">
        <v>4039394.67</v>
      </c>
      <c r="L160" s="21">
        <v>3671371.5</v>
      </c>
      <c r="M160" s="24">
        <f t="shared" si="64"/>
        <v>0.10024133215611657</v>
      </c>
      <c r="N160" s="10"/>
      <c r="R160" s="2"/>
    </row>
    <row r="161" spans="1:18" ht="15.75" x14ac:dyDescent="0.25">
      <c r="A161" s="19"/>
      <c r="B161" s="20">
        <f>DATE(2026,3,1)</f>
        <v>46082</v>
      </c>
      <c r="C161" s="21">
        <v>61506</v>
      </c>
      <c r="D161" s="21">
        <v>64298</v>
      </c>
      <c r="E161" s="22">
        <f t="shared" si="60"/>
        <v>-4.3422812529161095E-2</v>
      </c>
      <c r="F161" s="21">
        <f>+C161-27682</f>
        <v>33824</v>
      </c>
      <c r="G161" s="21">
        <f>+D161-29861</f>
        <v>34437</v>
      </c>
      <c r="H161" s="22">
        <f t="shared" si="61"/>
        <v>-1.7800621424630486E-2</v>
      </c>
      <c r="I161" s="23">
        <f t="shared" si="62"/>
        <v>71.076898676551892</v>
      </c>
      <c r="J161" s="23">
        <f t="shared" si="63"/>
        <v>129.2471537961211</v>
      </c>
      <c r="K161" s="21">
        <v>4371655.7300000004</v>
      </c>
      <c r="L161" s="21">
        <v>4428196.26</v>
      </c>
      <c r="M161" s="24">
        <f t="shared" si="64"/>
        <v>-1.2768298124166549E-2</v>
      </c>
      <c r="N161" s="10"/>
      <c r="R161" s="2"/>
    </row>
    <row r="162" spans="1:18" ht="15.75" thickBot="1" x14ac:dyDescent="0.25">
      <c r="A162" s="37"/>
      <c r="B162" s="44"/>
      <c r="C162" s="21"/>
      <c r="D162" s="21"/>
      <c r="E162" s="22"/>
      <c r="F162" s="21"/>
      <c r="G162" s="21"/>
      <c r="H162" s="22"/>
      <c r="I162" s="23"/>
      <c r="J162" s="23"/>
      <c r="K162" s="21"/>
      <c r="L162" s="21"/>
      <c r="M162" s="24"/>
      <c r="N162" s="10"/>
      <c r="R162" s="2"/>
    </row>
    <row r="163" spans="1:18" ht="17.25" thickTop="1" thickBot="1" x14ac:dyDescent="0.3">
      <c r="A163" s="25" t="s">
        <v>14</v>
      </c>
      <c r="B163" s="26"/>
      <c r="C163" s="27">
        <f>SUM(C153:C162)</f>
        <v>542352</v>
      </c>
      <c r="D163" s="27">
        <f>SUM(D153:D162)</f>
        <v>526903</v>
      </c>
      <c r="E163" s="279">
        <f>(+C163-D163)/D163</f>
        <v>2.9320387243951924E-2</v>
      </c>
      <c r="F163" s="27">
        <f>SUM(F153:F162)</f>
        <v>297399</v>
      </c>
      <c r="G163" s="27">
        <f>SUM(G153:G162)</f>
        <v>290151</v>
      </c>
      <c r="H163" s="41">
        <f>(+F163-G163)/G163</f>
        <v>2.4980096570406445E-2</v>
      </c>
      <c r="I163" s="42">
        <f>K163/C163</f>
        <v>67.353796298344975</v>
      </c>
      <c r="J163" s="42">
        <f>K163/F163</f>
        <v>122.82982165373789</v>
      </c>
      <c r="K163" s="27">
        <f>SUM(K153:K162)</f>
        <v>36529466.129999995</v>
      </c>
      <c r="L163" s="27">
        <f>SUM(L153:L162)</f>
        <v>34601355.060000002</v>
      </c>
      <c r="M163" s="43">
        <f>(+K163-L163)/L163</f>
        <v>5.5723571133459326E-2</v>
      </c>
      <c r="N163" s="10"/>
      <c r="R163" s="2"/>
    </row>
    <row r="164" spans="1:18" ht="16.5" thickTop="1" thickBot="1" x14ac:dyDescent="0.25">
      <c r="A164" s="62"/>
      <c r="B164" s="33"/>
      <c r="C164" s="34"/>
      <c r="D164" s="34"/>
      <c r="E164" s="28"/>
      <c r="F164" s="34"/>
      <c r="G164" s="34"/>
      <c r="H164" s="28"/>
      <c r="I164" s="35"/>
      <c r="J164" s="35"/>
      <c r="K164" s="34"/>
      <c r="L164" s="34"/>
      <c r="M164" s="36"/>
      <c r="N164" s="10"/>
      <c r="R164" s="2"/>
    </row>
    <row r="165" spans="1:18" ht="17.25" thickTop="1" thickBot="1" x14ac:dyDescent="0.3">
      <c r="A165" s="63" t="s">
        <v>18</v>
      </c>
      <c r="B165" s="64"/>
      <c r="C165" s="27">
        <f>C163+C151+C67+C91+C103+C43+C19+C115+C127+C55+C139+C31+C79</f>
        <v>21055514</v>
      </c>
      <c r="D165" s="27">
        <f>D163+D151+D67+D91+D103+D43+D19+D115+D127+D55+D139+D31+D79</f>
        <v>20473308</v>
      </c>
      <c r="E165" s="278">
        <f>(+C165-D165)/D165</f>
        <v>2.8437319460050129E-2</v>
      </c>
      <c r="F165" s="27">
        <f>F163+F151+F67+F91+F103+F43+F19+F115+F127+F55+F139+F31+F79</f>
        <v>10622023</v>
      </c>
      <c r="G165" s="27">
        <f>G163+G151+G67+G91+G103+G43+G19+G115+G127+G55+G139+G31+G79</f>
        <v>10537671</v>
      </c>
      <c r="H165" s="29">
        <f>(+F165-G165)/G165</f>
        <v>8.0048048567847672E-3</v>
      </c>
      <c r="I165" s="30">
        <f>K165/C165</f>
        <v>70.839090104378357</v>
      </c>
      <c r="J165" s="30">
        <f>K165/F165</f>
        <v>140.42084576920988</v>
      </c>
      <c r="K165" s="27">
        <f>K163+K151+K67+K91+K103+K43+K19+K115+K127+K55+K139+K31+K79</f>
        <v>1491553453.4400001</v>
      </c>
      <c r="L165" s="27">
        <f>L163+L151+L67+L91+L103+L43+L19+L115+L127+L55+L139+L31+L79</f>
        <v>1405348723.7800002</v>
      </c>
      <c r="M165" s="31">
        <f>(+K165-L165)/L165</f>
        <v>6.1340454651093938E-2</v>
      </c>
      <c r="N165" s="10"/>
      <c r="R165" s="2"/>
    </row>
    <row r="166" spans="1:18" ht="17.25" thickTop="1" thickBot="1" x14ac:dyDescent="0.3">
      <c r="A166" s="63"/>
      <c r="B166" s="64"/>
      <c r="C166" s="27"/>
      <c r="D166" s="27"/>
      <c r="E166" s="28"/>
      <c r="F166" s="27"/>
      <c r="G166" s="27"/>
      <c r="H166" s="29"/>
      <c r="I166" s="30"/>
      <c r="J166" s="30"/>
      <c r="K166" s="27"/>
      <c r="L166" s="27"/>
      <c r="M166" s="31"/>
      <c r="N166" s="10"/>
      <c r="R166" s="2"/>
    </row>
    <row r="167" spans="1:18" ht="17.25" thickTop="1" thickBot="1" x14ac:dyDescent="0.3">
      <c r="A167" s="63" t="s">
        <v>19</v>
      </c>
      <c r="B167" s="64"/>
      <c r="C167" s="27">
        <f>+C17+C29+C41+C53+C65+C77+C89+C101+C113+C125+C137+C149+C161</f>
        <v>2436907</v>
      </c>
      <c r="D167" s="27">
        <f>+D17+D29+D41+D53+D65+D77+D89+D101+D113+D125+D137+D149+D161</f>
        <v>2499403</v>
      </c>
      <c r="E167" s="278">
        <f>(+C167-D167)/D167</f>
        <v>-2.5004371043805259E-2</v>
      </c>
      <c r="F167" s="27">
        <f>+F17+F29+F41+F53+F65+F77+F89+F101+F113+F125+F137+F149+F161</f>
        <v>1217979</v>
      </c>
      <c r="G167" s="27">
        <f>+G17+G29+G41+G53+G65+G77+G89+G101+G113+G125+G137+G149+G161</f>
        <v>1266850</v>
      </c>
      <c r="H167" s="29">
        <f>(+F167-G167)/G167</f>
        <v>-3.8576784939021981E-2</v>
      </c>
      <c r="I167" s="292">
        <f>K167/C167</f>
        <v>71.857749975686389</v>
      </c>
      <c r="J167" s="30">
        <f>K167/F167</f>
        <v>143.77148860530434</v>
      </c>
      <c r="K167" s="27">
        <f>+K17+K29+K41+K53+K65+K77+K89+K101+K113+K125+K137+K149+K161</f>
        <v>175110653.91999999</v>
      </c>
      <c r="L167" s="27">
        <f>+L17+L29+L41+L53+L65+L77+L89+L101+L113+L125+L137+L149+L161</f>
        <v>177915060.92999998</v>
      </c>
      <c r="M167" s="31">
        <f>(+K167-L167)/L167</f>
        <v>-1.5762617258711864E-2</v>
      </c>
      <c r="N167" s="10"/>
      <c r="R167" s="2"/>
    </row>
    <row r="168" spans="1:18" ht="15.75" thickTop="1" x14ac:dyDescent="0.2">
      <c r="A168" s="65"/>
      <c r="B168" s="66"/>
      <c r="C168" s="67"/>
      <c r="D168" s="66"/>
      <c r="E168" s="66"/>
      <c r="F168" s="66"/>
      <c r="G168" s="66"/>
      <c r="H168" s="66"/>
      <c r="I168" s="66"/>
      <c r="J168" s="66"/>
      <c r="K168" s="67"/>
      <c r="L168" s="67"/>
      <c r="M168" s="66"/>
      <c r="R168" s="2"/>
    </row>
    <row r="169" spans="1:18" ht="18.75" x14ac:dyDescent="0.3">
      <c r="A169" s="263" t="s">
        <v>20</v>
      </c>
      <c r="B169" s="69"/>
      <c r="C169" s="70"/>
      <c r="D169" s="70"/>
      <c r="E169" s="70"/>
      <c r="F169" s="70"/>
      <c r="G169" s="70"/>
      <c r="H169" s="70"/>
      <c r="I169" s="70"/>
      <c r="J169" s="70"/>
      <c r="K169" s="197"/>
      <c r="L169" s="197"/>
      <c r="M169" s="70"/>
      <c r="N169" s="2"/>
      <c r="O169" s="2"/>
      <c r="P169" s="2"/>
      <c r="Q169" s="2"/>
      <c r="R169" s="2"/>
    </row>
    <row r="170" spans="1:18" ht="18" x14ac:dyDescent="0.25">
      <c r="A170" s="68"/>
      <c r="B170" s="69"/>
      <c r="C170" s="70"/>
      <c r="D170" s="70"/>
      <c r="E170" s="70"/>
      <c r="F170" s="70"/>
      <c r="G170" s="70"/>
      <c r="H170" s="70"/>
      <c r="I170" s="70"/>
      <c r="J170" s="70"/>
      <c r="K170" s="197"/>
      <c r="L170" s="197"/>
      <c r="M170" s="70"/>
      <c r="N170" s="2"/>
      <c r="O170" s="2"/>
      <c r="P170" s="2"/>
      <c r="Q170" s="2"/>
      <c r="R170" s="2"/>
    </row>
    <row r="171" spans="1:18" ht="15.75" x14ac:dyDescent="0.25">
      <c r="A171" s="71"/>
      <c r="B171" s="72"/>
      <c r="C171" s="73"/>
      <c r="D171" s="73"/>
      <c r="E171" s="73"/>
      <c r="F171" s="73"/>
      <c r="G171" s="73"/>
      <c r="H171" s="73"/>
      <c r="I171" s="73"/>
      <c r="J171" s="73"/>
      <c r="K171" s="191"/>
      <c r="L171" s="191"/>
      <c r="M171" s="74"/>
      <c r="N171" s="2"/>
      <c r="O171" s="2"/>
      <c r="P171" s="2"/>
      <c r="Q171" s="2"/>
      <c r="R171" s="2"/>
    </row>
    <row r="172" spans="1:18" x14ac:dyDescent="0.2">
      <c r="A172" s="2"/>
      <c r="B172" s="72"/>
      <c r="C172" s="73"/>
      <c r="D172" s="73"/>
      <c r="E172" s="73"/>
      <c r="F172" s="73"/>
      <c r="G172" s="73"/>
      <c r="H172" s="73"/>
      <c r="I172" s="73"/>
      <c r="J172" s="73"/>
      <c r="K172" s="191"/>
      <c r="L172" s="191"/>
      <c r="M172" s="74"/>
      <c r="N172" s="2"/>
      <c r="O172" s="2"/>
      <c r="P172" s="2"/>
      <c r="Q172" s="2"/>
      <c r="R172" s="2"/>
    </row>
    <row r="173" spans="1:18" x14ac:dyDescent="0.2">
      <c r="A173" s="2"/>
      <c r="B173" s="72"/>
      <c r="C173" s="73"/>
      <c r="D173" s="73"/>
      <c r="E173" s="73"/>
      <c r="F173" s="73"/>
      <c r="G173" s="73"/>
      <c r="H173" s="73"/>
      <c r="I173" s="73"/>
      <c r="J173" s="73"/>
      <c r="K173" s="191"/>
      <c r="L173" s="191"/>
      <c r="M173" s="74"/>
      <c r="N173" s="2"/>
      <c r="O173" s="2"/>
      <c r="P173" s="2"/>
      <c r="Q173" s="2"/>
      <c r="R173" s="2"/>
    </row>
    <row r="174" spans="1:18" x14ac:dyDescent="0.2">
      <c r="A174" s="2"/>
      <c r="B174" s="72"/>
      <c r="C174" s="73"/>
      <c r="D174" s="73"/>
      <c r="E174" s="73"/>
      <c r="F174" s="73"/>
      <c r="G174" s="73"/>
      <c r="H174" s="73"/>
      <c r="I174" s="73"/>
      <c r="J174" s="73"/>
      <c r="K174" s="191"/>
      <c r="L174" s="191"/>
      <c r="M174" s="74"/>
      <c r="N174" s="2"/>
      <c r="O174" s="2"/>
      <c r="P174" s="2"/>
      <c r="Q174" s="2"/>
      <c r="R174" s="2"/>
    </row>
    <row r="175" spans="1:18" x14ac:dyDescent="0.2">
      <c r="A175" s="2"/>
      <c r="B175" s="72"/>
      <c r="C175" s="73"/>
      <c r="D175" s="73"/>
      <c r="E175" s="73"/>
      <c r="F175" s="73"/>
      <c r="G175" s="73"/>
      <c r="H175" s="73"/>
      <c r="I175" s="73"/>
      <c r="J175" s="73"/>
      <c r="K175" s="191"/>
      <c r="L175" s="191"/>
      <c r="M175" s="74"/>
      <c r="N175" s="2"/>
      <c r="O175" s="2"/>
      <c r="P175" s="2"/>
      <c r="Q175" s="2"/>
      <c r="R175" s="2"/>
    </row>
    <row r="176" spans="1:18" x14ac:dyDescent="0.2">
      <c r="A176" s="2"/>
      <c r="B176" s="72"/>
      <c r="C176" s="73"/>
      <c r="D176" s="73"/>
      <c r="E176" s="73"/>
      <c r="F176" s="73"/>
      <c r="G176" s="73"/>
      <c r="H176" s="73"/>
      <c r="I176" s="73"/>
      <c r="J176" s="73"/>
      <c r="K176" s="191"/>
      <c r="L176" s="191"/>
      <c r="M176" s="74"/>
      <c r="N176" s="2"/>
      <c r="O176" s="2"/>
      <c r="P176" s="2"/>
      <c r="Q176" s="2"/>
      <c r="R176" s="2"/>
    </row>
    <row r="177" spans="1:18" x14ac:dyDescent="0.2">
      <c r="A177" s="2"/>
      <c r="B177" s="72"/>
      <c r="C177" s="73"/>
      <c r="D177" s="73"/>
      <c r="E177" s="73"/>
      <c r="F177" s="73"/>
      <c r="G177" s="73"/>
      <c r="H177" s="73"/>
      <c r="I177" s="73"/>
      <c r="J177" s="73"/>
      <c r="K177" s="191"/>
      <c r="L177" s="191"/>
      <c r="M177" s="74"/>
      <c r="N177" s="2"/>
      <c r="O177" s="2"/>
      <c r="P177" s="2"/>
      <c r="Q177" s="2"/>
      <c r="R177" s="2"/>
    </row>
    <row r="178" spans="1:18" x14ac:dyDescent="0.2">
      <c r="A178" s="2"/>
      <c r="B178" s="72"/>
      <c r="C178" s="73"/>
      <c r="D178" s="73"/>
      <c r="E178" s="73"/>
      <c r="F178" s="73"/>
      <c r="G178" s="73"/>
      <c r="H178" s="73"/>
      <c r="I178" s="73"/>
      <c r="J178" s="73"/>
      <c r="K178" s="191"/>
      <c r="L178" s="191"/>
      <c r="M178" s="74"/>
      <c r="N178" s="2"/>
      <c r="O178" s="2"/>
      <c r="P178" s="2"/>
      <c r="Q178" s="2"/>
      <c r="R178" s="2"/>
    </row>
    <row r="179" spans="1:18" x14ac:dyDescent="0.2">
      <c r="A179" s="2"/>
      <c r="B179" s="72"/>
      <c r="C179" s="73"/>
      <c r="D179" s="73"/>
      <c r="E179" s="73"/>
      <c r="F179" s="73"/>
      <c r="G179" s="73"/>
      <c r="H179" s="73"/>
      <c r="I179" s="73"/>
      <c r="J179" s="73"/>
      <c r="K179" s="191"/>
      <c r="L179" s="191"/>
      <c r="M179" s="74"/>
      <c r="N179" s="2"/>
      <c r="O179" s="2"/>
      <c r="P179" s="2"/>
      <c r="Q179" s="2"/>
      <c r="R179" s="2"/>
    </row>
    <row r="180" spans="1:18" x14ac:dyDescent="0.2">
      <c r="A180" s="2"/>
      <c r="B180" s="72"/>
      <c r="C180" s="73"/>
      <c r="D180" s="73"/>
      <c r="E180" s="73"/>
      <c r="F180" s="73"/>
      <c r="G180" s="73"/>
      <c r="H180" s="73"/>
      <c r="I180" s="73"/>
      <c r="J180" s="73"/>
      <c r="K180" s="191"/>
      <c r="L180" s="191"/>
      <c r="M180" s="73"/>
      <c r="N180" s="2"/>
      <c r="O180" s="2"/>
      <c r="P180" s="2"/>
      <c r="Q180" s="2"/>
      <c r="R180" s="2"/>
    </row>
    <row r="181" spans="1:18" x14ac:dyDescent="0.2">
      <c r="A181" s="2"/>
      <c r="B181" s="72"/>
      <c r="C181" s="73"/>
      <c r="D181" s="73"/>
      <c r="E181" s="73"/>
      <c r="F181" s="73"/>
      <c r="G181" s="73"/>
      <c r="H181" s="73"/>
      <c r="I181" s="73"/>
      <c r="J181" s="73"/>
      <c r="K181" s="191"/>
      <c r="L181" s="191"/>
      <c r="M181" s="73"/>
      <c r="N181" s="2"/>
      <c r="O181" s="2"/>
      <c r="P181" s="2"/>
      <c r="Q181" s="2"/>
      <c r="R181" s="2"/>
    </row>
    <row r="182" spans="1:18" x14ac:dyDescent="0.2">
      <c r="A182" s="2"/>
      <c r="B182" s="69"/>
      <c r="C182" s="73"/>
      <c r="D182" s="73"/>
      <c r="E182" s="73"/>
      <c r="F182" s="73"/>
      <c r="G182" s="73"/>
      <c r="H182" s="73"/>
      <c r="I182" s="73"/>
      <c r="J182" s="73"/>
      <c r="K182" s="191"/>
      <c r="L182" s="191"/>
      <c r="M182" s="73"/>
      <c r="N182" s="2"/>
      <c r="O182" s="2"/>
      <c r="P182" s="2"/>
      <c r="Q182" s="2"/>
      <c r="R182" s="2"/>
    </row>
    <row r="183" spans="1:18" ht="15.75" x14ac:dyDescent="0.25">
      <c r="A183" s="75"/>
      <c r="B183" s="69"/>
      <c r="C183" s="73"/>
      <c r="D183" s="73"/>
      <c r="E183" s="73"/>
      <c r="F183" s="73"/>
      <c r="G183" s="73"/>
      <c r="H183" s="73"/>
      <c r="I183" s="73"/>
      <c r="J183" s="73"/>
      <c r="K183" s="191"/>
      <c r="L183" s="191"/>
      <c r="M183" s="74"/>
      <c r="N183" s="2"/>
      <c r="O183" s="2"/>
      <c r="P183" s="2"/>
      <c r="Q183" s="2"/>
      <c r="R183" s="2"/>
    </row>
    <row r="184" spans="1:18" ht="15.75" x14ac:dyDescent="0.25">
      <c r="A184" s="75"/>
      <c r="B184" s="69"/>
      <c r="C184" s="73"/>
      <c r="D184" s="73"/>
      <c r="E184" s="73"/>
      <c r="F184" s="73"/>
      <c r="G184" s="73"/>
      <c r="H184" s="73"/>
      <c r="I184" s="73"/>
      <c r="J184" s="73"/>
      <c r="K184" s="191"/>
      <c r="L184" s="191"/>
      <c r="M184" s="74"/>
      <c r="N184" s="2"/>
      <c r="O184" s="2"/>
      <c r="P184" s="2"/>
      <c r="Q184" s="2"/>
      <c r="R184" s="2"/>
    </row>
    <row r="185" spans="1:18" ht="15.75" x14ac:dyDescent="0.25">
      <c r="A185" s="75"/>
      <c r="B185" s="69"/>
      <c r="C185" s="73"/>
      <c r="D185" s="73"/>
      <c r="E185" s="73"/>
      <c r="F185" s="73"/>
      <c r="G185" s="73"/>
      <c r="H185" s="73"/>
      <c r="I185" s="73"/>
      <c r="J185" s="73"/>
      <c r="K185" s="191"/>
      <c r="L185" s="191"/>
      <c r="M185" s="74"/>
      <c r="N185" s="2"/>
      <c r="O185" s="2"/>
      <c r="P185" s="2"/>
      <c r="Q185" s="2"/>
      <c r="R185" s="2"/>
    </row>
    <row r="186" spans="1:18" x14ac:dyDescent="0.2">
      <c r="A186" s="2"/>
      <c r="B186" s="69"/>
      <c r="C186" s="73"/>
      <c r="D186" s="73"/>
      <c r="E186" s="73"/>
      <c r="F186" s="73"/>
      <c r="G186" s="73"/>
      <c r="H186" s="73"/>
      <c r="I186" s="73"/>
      <c r="J186" s="73"/>
      <c r="K186" s="191"/>
      <c r="L186" s="191"/>
      <c r="M186" s="74"/>
      <c r="N186" s="2"/>
      <c r="O186" s="2"/>
      <c r="P186" s="2"/>
      <c r="Q186" s="2"/>
      <c r="R186" s="2"/>
    </row>
    <row r="187" spans="1:18" ht="15.75" x14ac:dyDescent="0.25">
      <c r="A187" s="75"/>
      <c r="B187" s="72"/>
      <c r="C187" s="73"/>
      <c r="D187" s="73"/>
      <c r="E187" s="73"/>
      <c r="F187" s="73"/>
      <c r="G187" s="73"/>
      <c r="H187" s="73"/>
      <c r="I187" s="73"/>
      <c r="J187" s="73"/>
      <c r="K187" s="191"/>
      <c r="L187" s="191"/>
      <c r="M187" s="74"/>
      <c r="N187" s="2"/>
      <c r="O187" s="2"/>
      <c r="P187" s="2"/>
      <c r="Q187" s="2"/>
      <c r="R187" s="2"/>
    </row>
    <row r="188" spans="1:18" x14ac:dyDescent="0.2">
      <c r="A188" s="2"/>
      <c r="B188" s="72"/>
      <c r="C188" s="73"/>
      <c r="D188" s="73"/>
      <c r="E188" s="73"/>
      <c r="F188" s="73"/>
      <c r="G188" s="73"/>
      <c r="H188" s="73"/>
      <c r="I188" s="73"/>
      <c r="J188" s="73"/>
      <c r="K188" s="191"/>
      <c r="L188" s="191"/>
      <c r="M188" s="74"/>
      <c r="N188" s="2"/>
      <c r="O188" s="2"/>
      <c r="P188" s="2"/>
      <c r="Q188" s="2"/>
      <c r="R188" s="2"/>
    </row>
    <row r="189" spans="1:18" x14ac:dyDescent="0.2">
      <c r="A189" s="2"/>
      <c r="B189" s="72"/>
      <c r="C189" s="73"/>
      <c r="D189" s="73"/>
      <c r="E189" s="73"/>
      <c r="F189" s="73"/>
      <c r="G189" s="73"/>
      <c r="H189" s="73"/>
      <c r="I189" s="73"/>
      <c r="J189" s="73"/>
      <c r="K189" s="191"/>
      <c r="L189" s="191"/>
      <c r="M189" s="74"/>
      <c r="N189" s="2"/>
      <c r="O189" s="2"/>
      <c r="P189" s="2"/>
      <c r="Q189" s="2"/>
      <c r="R189" s="2"/>
    </row>
    <row r="190" spans="1:18" x14ac:dyDescent="0.2">
      <c r="A190" s="2"/>
      <c r="B190" s="76"/>
      <c r="C190" s="73"/>
      <c r="D190" s="73"/>
      <c r="E190" s="73"/>
      <c r="F190" s="73"/>
      <c r="G190" s="73"/>
      <c r="H190" s="73"/>
      <c r="I190" s="73"/>
      <c r="J190" s="73"/>
      <c r="K190" s="191"/>
      <c r="L190" s="191"/>
      <c r="M190" s="74"/>
      <c r="N190" s="2"/>
      <c r="O190" s="2"/>
      <c r="P190" s="2"/>
      <c r="Q190" s="2"/>
      <c r="R190" s="2"/>
    </row>
    <row r="191" spans="1:18" x14ac:dyDescent="0.2">
      <c r="A191" s="2"/>
      <c r="B191" s="76"/>
      <c r="C191" s="73"/>
      <c r="D191" s="73"/>
      <c r="E191" s="73"/>
      <c r="F191" s="73"/>
      <c r="G191" s="73"/>
      <c r="H191" s="73"/>
      <c r="I191" s="73"/>
      <c r="J191" s="73"/>
      <c r="K191" s="191"/>
      <c r="L191" s="191"/>
      <c r="M191" s="74"/>
      <c r="N191" s="2"/>
      <c r="O191" s="2"/>
      <c r="P191" s="2"/>
      <c r="Q191" s="2"/>
      <c r="R191" s="2"/>
    </row>
    <row r="192" spans="1:18" x14ac:dyDescent="0.2">
      <c r="A192" s="2"/>
      <c r="B192" s="76"/>
      <c r="C192" s="73"/>
      <c r="D192" s="73"/>
      <c r="E192" s="73"/>
      <c r="F192" s="73"/>
      <c r="G192" s="73"/>
      <c r="H192" s="73"/>
      <c r="I192" s="73"/>
      <c r="J192" s="73"/>
      <c r="K192" s="191"/>
      <c r="L192" s="191"/>
      <c r="M192" s="74"/>
      <c r="N192" s="2"/>
      <c r="O192" s="2"/>
      <c r="P192" s="2"/>
      <c r="Q192" s="2"/>
      <c r="R192" s="2"/>
    </row>
    <row r="193" spans="1:18" x14ac:dyDescent="0.2">
      <c r="A193" s="2"/>
      <c r="B193" s="76"/>
      <c r="C193" s="73"/>
      <c r="D193" s="73"/>
      <c r="E193" s="73"/>
      <c r="F193" s="73"/>
      <c r="G193" s="73"/>
      <c r="H193" s="73"/>
      <c r="I193" s="73"/>
      <c r="J193" s="73"/>
      <c r="K193" s="191"/>
      <c r="L193" s="191"/>
      <c r="M193" s="74"/>
      <c r="N193" s="2"/>
      <c r="O193" s="2"/>
      <c r="P193" s="2"/>
      <c r="Q193" s="2"/>
      <c r="R193" s="2"/>
    </row>
    <row r="194" spans="1:18" x14ac:dyDescent="0.2">
      <c r="A194" s="2"/>
      <c r="B194" s="76"/>
      <c r="C194" s="73"/>
      <c r="D194" s="73"/>
      <c r="E194" s="73"/>
      <c r="F194" s="73"/>
      <c r="G194" s="73"/>
      <c r="H194" s="73"/>
      <c r="I194" s="73"/>
      <c r="J194" s="73"/>
      <c r="K194" s="191"/>
      <c r="L194" s="191"/>
      <c r="M194" s="74"/>
      <c r="N194" s="2"/>
      <c r="O194" s="2"/>
      <c r="P194" s="2"/>
      <c r="Q194" s="2"/>
      <c r="R194" s="2"/>
    </row>
    <row r="195" spans="1:18" x14ac:dyDescent="0.2">
      <c r="A195" s="2"/>
      <c r="B195" s="76"/>
      <c r="C195" s="73"/>
      <c r="D195" s="73"/>
      <c r="E195" s="73"/>
      <c r="F195" s="73"/>
      <c r="G195" s="73"/>
      <c r="H195" s="73"/>
      <c r="I195" s="73"/>
      <c r="J195" s="73"/>
      <c r="K195" s="191"/>
      <c r="L195" s="191"/>
      <c r="M195" s="74"/>
      <c r="N195" s="2"/>
      <c r="O195" s="2"/>
      <c r="P195" s="2"/>
      <c r="Q195" s="2"/>
      <c r="R195" s="2"/>
    </row>
    <row r="196" spans="1:18" x14ac:dyDescent="0.2">
      <c r="A196" s="2"/>
      <c r="B196" s="76"/>
      <c r="C196" s="73"/>
      <c r="D196" s="73"/>
      <c r="E196" s="73"/>
      <c r="F196" s="73"/>
      <c r="G196" s="73"/>
      <c r="H196" s="73"/>
      <c r="I196" s="73"/>
      <c r="J196" s="73"/>
      <c r="K196" s="191"/>
      <c r="L196" s="191"/>
      <c r="M196" s="74"/>
      <c r="N196" s="2"/>
      <c r="O196" s="2"/>
      <c r="P196" s="2"/>
      <c r="Q196" s="2"/>
      <c r="R196" s="2"/>
    </row>
    <row r="197" spans="1:18" x14ac:dyDescent="0.2">
      <c r="A197" s="2"/>
      <c r="B197" s="76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x14ac:dyDescent="0.2">
      <c r="A198" s="2"/>
      <c r="B198" s="76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2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ht="15.75" x14ac:dyDescent="0.25">
      <c r="A200" s="75"/>
      <c r="B200" s="2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x14ac:dyDescent="0.2">
      <c r="A201" s="2"/>
      <c r="B201" s="2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2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ht="15.75" x14ac:dyDescent="0.25">
      <c r="A203" s="75"/>
      <c r="B203" s="2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ht="15.75" x14ac:dyDescent="0.25">
      <c r="A204" s="75"/>
      <c r="B204" s="2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ht="15.75" x14ac:dyDescent="0.25">
      <c r="A205" s="75"/>
      <c r="B205" s="76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76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4"/>
      <c r="N206" s="2"/>
      <c r="O206" s="2"/>
      <c r="P206" s="2"/>
      <c r="Q206" s="2"/>
      <c r="R206" s="2"/>
    </row>
    <row r="207" spans="1:18" x14ac:dyDescent="0.2">
      <c r="A207" s="2"/>
      <c r="B207" s="76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4"/>
      <c r="N207" s="2"/>
      <c r="O207" s="2"/>
      <c r="P207" s="2"/>
      <c r="Q207" s="2"/>
      <c r="R207" s="2"/>
    </row>
    <row r="208" spans="1:18" x14ac:dyDescent="0.2">
      <c r="A208" s="2"/>
      <c r="B208" s="76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4"/>
      <c r="N208" s="2"/>
      <c r="O208" s="2"/>
      <c r="P208" s="2"/>
      <c r="Q208" s="2"/>
      <c r="R208" s="2"/>
    </row>
    <row r="209" spans="1:18" x14ac:dyDescent="0.2">
      <c r="A209" s="2"/>
      <c r="B209" s="76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x14ac:dyDescent="0.2">
      <c r="A210" s="2"/>
      <c r="B210" s="76"/>
      <c r="C210" s="73"/>
      <c r="D210" s="73"/>
      <c r="E210" s="73"/>
      <c r="F210" s="73"/>
      <c r="G210" s="73"/>
      <c r="H210" s="73"/>
      <c r="I210" s="73"/>
      <c r="J210" s="73"/>
      <c r="K210" s="191"/>
      <c r="L210" s="191"/>
      <c r="M210" s="74"/>
      <c r="N210" s="2"/>
      <c r="O210" s="2"/>
      <c r="P210" s="2"/>
      <c r="Q210" s="2"/>
      <c r="R210" s="2"/>
    </row>
    <row r="211" spans="1:18" x14ac:dyDescent="0.2">
      <c r="A211" s="2"/>
      <c r="B211" s="76"/>
      <c r="C211" s="73"/>
      <c r="D211" s="73"/>
      <c r="E211" s="73"/>
      <c r="F211" s="73"/>
      <c r="G211" s="73"/>
      <c r="H211" s="73"/>
      <c r="I211" s="73"/>
      <c r="J211" s="73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76"/>
      <c r="C212" s="73"/>
      <c r="D212" s="73"/>
      <c r="E212" s="73"/>
      <c r="F212" s="73"/>
      <c r="G212" s="73"/>
      <c r="H212" s="73"/>
      <c r="I212" s="73"/>
      <c r="J212" s="73"/>
      <c r="K212" s="191"/>
      <c r="L212" s="191"/>
      <c r="M212" s="74"/>
      <c r="N212" s="2"/>
      <c r="O212" s="2"/>
      <c r="P212" s="2"/>
      <c r="Q212" s="2"/>
      <c r="R212" s="2"/>
    </row>
    <row r="213" spans="1:18" x14ac:dyDescent="0.2">
      <c r="A213" s="2"/>
      <c r="B213" s="76"/>
      <c r="C213" s="73"/>
      <c r="D213" s="73"/>
      <c r="E213" s="73"/>
      <c r="F213" s="73"/>
      <c r="G213" s="73"/>
      <c r="H213" s="73"/>
      <c r="I213" s="73"/>
      <c r="J213" s="73"/>
      <c r="K213" s="191"/>
      <c r="L213" s="191"/>
      <c r="M213" s="74"/>
      <c r="N213" s="2"/>
      <c r="O213" s="2"/>
      <c r="P213" s="2"/>
      <c r="Q213" s="2"/>
      <c r="R213" s="2"/>
    </row>
    <row r="214" spans="1:18" x14ac:dyDescent="0.2">
      <c r="A214" s="2"/>
      <c r="B214" s="76"/>
      <c r="C214" s="73"/>
      <c r="D214" s="73"/>
      <c r="E214" s="73"/>
      <c r="F214" s="73"/>
      <c r="G214" s="73"/>
      <c r="H214" s="73"/>
      <c r="I214" s="73"/>
      <c r="J214" s="73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76"/>
      <c r="C215" s="73"/>
      <c r="D215" s="73"/>
      <c r="E215" s="73"/>
      <c r="F215" s="73"/>
      <c r="G215" s="73"/>
      <c r="H215" s="73"/>
      <c r="I215" s="73"/>
      <c r="J215" s="73"/>
      <c r="K215" s="191"/>
      <c r="L215" s="191"/>
      <c r="M215" s="74"/>
      <c r="N215" s="2"/>
      <c r="O215" s="2"/>
      <c r="P215" s="2"/>
      <c r="Q215" s="2"/>
      <c r="R215" s="2"/>
    </row>
    <row r="216" spans="1:18" x14ac:dyDescent="0.2">
      <c r="A216" s="2"/>
      <c r="B216" s="76"/>
      <c r="C216" s="73"/>
      <c r="D216" s="73"/>
      <c r="E216" s="73"/>
      <c r="F216" s="73"/>
      <c r="G216" s="73"/>
      <c r="H216" s="73"/>
      <c r="I216" s="73"/>
      <c r="J216" s="73"/>
      <c r="K216" s="191"/>
      <c r="L216" s="191"/>
      <c r="M216" s="74"/>
      <c r="N216" s="2"/>
      <c r="O216" s="2"/>
      <c r="P216" s="2"/>
      <c r="Q216" s="2"/>
      <c r="R216" s="2"/>
    </row>
    <row r="217" spans="1:18" x14ac:dyDescent="0.2">
      <c r="A217" s="2"/>
      <c r="B217" s="2"/>
      <c r="C217" s="73"/>
      <c r="D217" s="73"/>
      <c r="E217" s="73"/>
      <c r="F217" s="73"/>
      <c r="G217" s="73"/>
      <c r="H217" s="73"/>
      <c r="I217" s="73"/>
      <c r="J217" s="73"/>
      <c r="K217" s="191"/>
      <c r="L217" s="191"/>
      <c r="M217" s="74"/>
      <c r="N217" s="2"/>
      <c r="O217" s="2"/>
      <c r="P217" s="2"/>
      <c r="Q217" s="2"/>
      <c r="R217" s="2"/>
    </row>
    <row r="218" spans="1:18" ht="15.75" x14ac:dyDescent="0.25">
      <c r="A218" s="75"/>
      <c r="B218" s="2"/>
      <c r="C218" s="73"/>
      <c r="D218" s="73"/>
      <c r="E218" s="73"/>
      <c r="F218" s="73"/>
      <c r="G218" s="73"/>
      <c r="H218" s="73"/>
      <c r="I218" s="73"/>
      <c r="J218" s="73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2"/>
      <c r="C219" s="73"/>
      <c r="D219" s="73"/>
      <c r="E219" s="73"/>
      <c r="F219" s="73"/>
      <c r="G219" s="73"/>
      <c r="H219" s="73"/>
      <c r="I219" s="73"/>
      <c r="J219" s="73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2"/>
      <c r="C220" s="73"/>
      <c r="D220" s="73"/>
      <c r="E220" s="73"/>
      <c r="F220" s="73"/>
      <c r="G220" s="73"/>
      <c r="H220" s="73"/>
      <c r="I220" s="73"/>
      <c r="J220" s="73"/>
      <c r="K220" s="191"/>
      <c r="L220" s="191"/>
      <c r="M220" s="74"/>
      <c r="N220" s="2"/>
      <c r="O220" s="2"/>
      <c r="P220" s="2"/>
      <c r="Q220" s="2"/>
      <c r="R220" s="2"/>
    </row>
    <row r="221" spans="1:18" ht="15.75" x14ac:dyDescent="0.25">
      <c r="A221" s="75"/>
      <c r="B221" s="76"/>
      <c r="C221" s="73"/>
      <c r="D221" s="73"/>
      <c r="E221" s="73"/>
      <c r="F221" s="73"/>
      <c r="G221" s="73"/>
      <c r="H221" s="73"/>
      <c r="I221" s="73"/>
      <c r="J221" s="73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76"/>
      <c r="C222" s="73"/>
      <c r="D222" s="73"/>
      <c r="E222" s="73"/>
      <c r="F222" s="73"/>
      <c r="G222" s="73"/>
      <c r="H222" s="73"/>
      <c r="I222" s="73"/>
      <c r="J222" s="73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76"/>
      <c r="C223" s="73"/>
      <c r="D223" s="73"/>
      <c r="E223" s="73"/>
      <c r="F223" s="73"/>
      <c r="G223" s="73"/>
      <c r="H223" s="73"/>
      <c r="I223" s="73"/>
      <c r="J223" s="73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2"/>
      <c r="C224" s="73"/>
      <c r="D224" s="73"/>
      <c r="E224" s="73"/>
      <c r="F224" s="73"/>
      <c r="G224" s="73"/>
      <c r="H224" s="73"/>
      <c r="I224" s="73"/>
      <c r="J224" s="73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2"/>
      <c r="C225" s="73"/>
      <c r="D225" s="73"/>
      <c r="E225" s="73"/>
      <c r="F225" s="73"/>
      <c r="G225" s="73"/>
      <c r="H225" s="73"/>
      <c r="I225" s="73"/>
      <c r="J225" s="73"/>
      <c r="K225" s="191"/>
      <c r="L225" s="191"/>
      <c r="M225" s="74"/>
      <c r="N225" s="2"/>
      <c r="O225" s="2"/>
      <c r="P225" s="2"/>
      <c r="Q225" s="2"/>
      <c r="R225" s="2"/>
    </row>
    <row r="226" spans="1:18" x14ac:dyDescent="0.2">
      <c r="A226" s="2"/>
      <c r="B226" s="2"/>
      <c r="C226" s="73"/>
      <c r="D226" s="73"/>
      <c r="E226" s="73"/>
      <c r="F226" s="73"/>
      <c r="G226" s="73"/>
      <c r="H226" s="73"/>
      <c r="I226" s="73"/>
      <c r="J226" s="73"/>
      <c r="K226" s="191"/>
      <c r="L226" s="191"/>
      <c r="M226" s="74"/>
      <c r="N226" s="2"/>
      <c r="O226" s="2"/>
      <c r="P226" s="2"/>
      <c r="Q226" s="2"/>
      <c r="R226" s="2"/>
    </row>
    <row r="227" spans="1:18" ht="15.75" x14ac:dyDescent="0.25">
      <c r="A227" s="75"/>
      <c r="B227" s="2"/>
      <c r="C227" s="73"/>
      <c r="D227" s="73"/>
      <c r="E227" s="73"/>
      <c r="F227" s="73"/>
      <c r="G227" s="73"/>
      <c r="H227" s="73"/>
      <c r="I227" s="73"/>
      <c r="J227" s="73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2"/>
      <c r="C228" s="73"/>
      <c r="D228" s="73"/>
      <c r="E228" s="73"/>
      <c r="F228" s="73"/>
      <c r="G228" s="73"/>
      <c r="H228" s="73"/>
      <c r="I228" s="73"/>
      <c r="J228" s="73"/>
      <c r="K228" s="191"/>
      <c r="L228" s="191"/>
      <c r="M228" s="74"/>
      <c r="N228" s="2"/>
      <c r="O228" s="2"/>
      <c r="P228" s="2"/>
      <c r="Q228" s="2"/>
      <c r="R228" s="2"/>
    </row>
    <row r="229" spans="1:18" x14ac:dyDescent="0.2">
      <c r="A229" s="2"/>
      <c r="B229" s="2"/>
      <c r="C229" s="73"/>
      <c r="D229" s="73"/>
      <c r="E229" s="73"/>
      <c r="F229" s="73"/>
      <c r="G229" s="73"/>
      <c r="H229" s="73"/>
      <c r="I229" s="73"/>
      <c r="J229" s="73"/>
      <c r="K229" s="191"/>
      <c r="L229" s="191"/>
      <c r="M229" s="74"/>
      <c r="N229" s="2"/>
      <c r="O229" s="2"/>
      <c r="P229" s="2"/>
      <c r="Q229" s="2"/>
      <c r="R229" s="2"/>
    </row>
    <row r="230" spans="1:18" ht="15.75" x14ac:dyDescent="0.25">
      <c r="A230" s="75"/>
      <c r="B230" s="75"/>
      <c r="C230" s="73"/>
      <c r="D230" s="73"/>
      <c r="E230" s="73"/>
      <c r="F230" s="73"/>
      <c r="G230" s="73"/>
      <c r="H230" s="73"/>
      <c r="I230" s="73"/>
      <c r="J230" s="73"/>
      <c r="K230" s="191"/>
      <c r="L230" s="191"/>
      <c r="M230" s="74"/>
      <c r="N230" s="2"/>
      <c r="O230" s="2"/>
      <c r="P230" s="2"/>
      <c r="Q230" s="2"/>
      <c r="R230" s="2"/>
    </row>
    <row r="231" spans="1:18" x14ac:dyDescent="0.2">
      <c r="A231" s="2"/>
      <c r="B231" s="2"/>
      <c r="C231" s="73"/>
      <c r="D231" s="73"/>
      <c r="E231" s="73"/>
      <c r="F231" s="73"/>
      <c r="G231" s="73"/>
      <c r="H231" s="73"/>
      <c r="I231" s="73"/>
      <c r="J231" s="73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2"/>
      <c r="C232" s="73"/>
      <c r="D232" s="73"/>
      <c r="E232" s="73"/>
      <c r="F232" s="73"/>
      <c r="G232" s="73"/>
      <c r="H232" s="73"/>
      <c r="I232" s="73"/>
      <c r="J232" s="73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2"/>
      <c r="C233" s="73"/>
      <c r="D233" s="73"/>
      <c r="E233" s="73"/>
      <c r="F233" s="73"/>
      <c r="G233" s="73"/>
      <c r="H233" s="73"/>
      <c r="I233" s="73"/>
      <c r="J233" s="73"/>
      <c r="K233" s="191"/>
      <c r="L233" s="191"/>
      <c r="M233" s="74"/>
      <c r="N233" s="2"/>
      <c r="O233" s="2"/>
      <c r="P233" s="2"/>
      <c r="Q233" s="2"/>
      <c r="R233" s="2"/>
    </row>
    <row r="234" spans="1:18" x14ac:dyDescent="0.2">
      <c r="A234" s="2"/>
      <c r="B234" s="2"/>
      <c r="C234" s="73"/>
      <c r="D234" s="73"/>
      <c r="E234" s="73"/>
      <c r="F234" s="73"/>
      <c r="G234" s="73"/>
      <c r="H234" s="73"/>
      <c r="I234" s="73"/>
      <c r="J234" s="73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2"/>
      <c r="C235" s="73"/>
      <c r="D235" s="73"/>
      <c r="E235" s="73"/>
      <c r="F235" s="73"/>
      <c r="G235" s="73"/>
      <c r="H235" s="73"/>
      <c r="I235" s="73"/>
      <c r="J235" s="73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2"/>
      <c r="C236" s="73"/>
      <c r="D236" s="73"/>
      <c r="E236" s="73"/>
      <c r="F236" s="73"/>
      <c r="G236" s="73"/>
      <c r="H236" s="73"/>
      <c r="I236" s="73"/>
      <c r="J236" s="73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2"/>
      <c r="C237" s="73"/>
      <c r="D237" s="73"/>
      <c r="E237" s="73"/>
      <c r="F237" s="73"/>
      <c r="G237" s="73"/>
      <c r="H237" s="73"/>
      <c r="I237" s="73"/>
      <c r="J237" s="73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2"/>
      <c r="C238" s="73"/>
      <c r="D238" s="73"/>
      <c r="E238" s="73"/>
      <c r="F238" s="73"/>
      <c r="G238" s="73"/>
      <c r="H238" s="73"/>
      <c r="I238" s="73"/>
      <c r="J238" s="73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2"/>
      <c r="C239" s="73"/>
      <c r="D239" s="73"/>
      <c r="E239" s="73"/>
      <c r="F239" s="73"/>
      <c r="G239" s="73"/>
      <c r="H239" s="73"/>
      <c r="I239" s="73"/>
      <c r="J239" s="73"/>
      <c r="K239" s="191"/>
      <c r="L239" s="191"/>
      <c r="M239" s="74"/>
      <c r="N239" s="2"/>
      <c r="O239" s="2"/>
      <c r="P239" s="2"/>
      <c r="Q239" s="2"/>
      <c r="R239" s="2"/>
    </row>
    <row r="240" spans="1:18" x14ac:dyDescent="0.2">
      <c r="A240" s="2"/>
      <c r="B240" s="2"/>
      <c r="C240" s="73"/>
      <c r="D240" s="73"/>
      <c r="E240" s="73"/>
      <c r="F240" s="73"/>
      <c r="G240" s="73"/>
      <c r="H240" s="73"/>
      <c r="I240" s="73"/>
      <c r="J240" s="73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2"/>
      <c r="C241" s="73"/>
      <c r="D241" s="73"/>
      <c r="E241" s="73"/>
      <c r="F241" s="73"/>
      <c r="G241" s="73"/>
      <c r="H241" s="73"/>
      <c r="I241" s="73"/>
      <c r="J241" s="73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2"/>
      <c r="C242" s="73"/>
      <c r="D242" s="73"/>
      <c r="E242" s="73"/>
      <c r="F242" s="73"/>
      <c r="G242" s="73"/>
      <c r="H242" s="73"/>
      <c r="I242" s="73"/>
      <c r="J242" s="73"/>
      <c r="K242" s="191"/>
      <c r="L242" s="191"/>
      <c r="M242" s="74"/>
      <c r="N242" s="2"/>
      <c r="O242" s="2"/>
      <c r="P242" s="2"/>
      <c r="Q242" s="2"/>
      <c r="R242" s="2"/>
    </row>
    <row r="243" spans="1:18" x14ac:dyDescent="0.2">
      <c r="A243" s="2"/>
      <c r="B243" s="2"/>
      <c r="C243" s="73"/>
      <c r="D243" s="73"/>
      <c r="E243" s="73"/>
      <c r="F243" s="73"/>
      <c r="G243" s="73"/>
      <c r="H243" s="73"/>
      <c r="I243" s="73"/>
      <c r="J243" s="73"/>
      <c r="K243" s="191"/>
      <c r="L243" s="191"/>
      <c r="M243" s="74"/>
      <c r="N243" s="2"/>
      <c r="O243" s="2"/>
      <c r="P243" s="2"/>
      <c r="Q243" s="2"/>
      <c r="R243" s="2"/>
    </row>
    <row r="244" spans="1:18" x14ac:dyDescent="0.2">
      <c r="A244" s="2"/>
      <c r="B244" s="2"/>
      <c r="C244" s="73"/>
      <c r="D244" s="73"/>
      <c r="E244" s="73"/>
      <c r="F244" s="73"/>
      <c r="G244" s="73"/>
      <c r="H244" s="73"/>
      <c r="I244" s="73"/>
      <c r="J244" s="73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73"/>
      <c r="D245" s="73"/>
      <c r="E245" s="73"/>
      <c r="F245" s="73"/>
      <c r="G245" s="73"/>
      <c r="H245" s="73"/>
      <c r="I245" s="73"/>
      <c r="J245" s="73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73"/>
      <c r="D246" s="73"/>
      <c r="E246" s="73"/>
      <c r="F246" s="73"/>
      <c r="G246" s="73"/>
      <c r="H246" s="73"/>
      <c r="I246" s="73"/>
      <c r="J246" s="73"/>
      <c r="K246" s="191"/>
      <c r="L246" s="191"/>
      <c r="M246" s="74"/>
      <c r="N246" s="2"/>
      <c r="O246" s="2"/>
      <c r="P246" s="2"/>
      <c r="Q246" s="2"/>
      <c r="R246" s="2"/>
    </row>
    <row r="247" spans="1:18" x14ac:dyDescent="0.2">
      <c r="A247" s="2"/>
      <c r="B247" s="2"/>
      <c r="C247" s="73"/>
      <c r="D247" s="73"/>
      <c r="E247" s="73"/>
      <c r="F247" s="73"/>
      <c r="G247" s="73"/>
      <c r="H247" s="73"/>
      <c r="I247" s="73"/>
      <c r="J247" s="73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2"/>
      <c r="C248" s="73"/>
      <c r="D248" s="73"/>
      <c r="E248" s="73"/>
      <c r="F248" s="73"/>
      <c r="G248" s="73"/>
      <c r="H248" s="73"/>
      <c r="I248" s="73"/>
      <c r="J248" s="73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2"/>
      <c r="C249" s="73"/>
      <c r="D249" s="73"/>
      <c r="E249" s="73"/>
      <c r="F249" s="73"/>
      <c r="G249" s="73"/>
      <c r="H249" s="73"/>
      <c r="I249" s="73"/>
      <c r="J249" s="73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73"/>
      <c r="D250" s="73"/>
      <c r="E250" s="73"/>
      <c r="F250" s="73"/>
      <c r="G250" s="73"/>
      <c r="H250" s="73"/>
      <c r="I250" s="73"/>
      <c r="J250" s="73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73"/>
      <c r="D251" s="73"/>
      <c r="E251" s="73"/>
      <c r="F251" s="73"/>
      <c r="G251" s="73"/>
      <c r="H251" s="73"/>
      <c r="I251" s="73"/>
      <c r="J251" s="73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73"/>
      <c r="D252" s="73"/>
      <c r="E252" s="73"/>
      <c r="F252" s="73"/>
      <c r="G252" s="73"/>
      <c r="H252" s="73"/>
      <c r="I252" s="73"/>
      <c r="J252" s="73"/>
      <c r="K252" s="191"/>
      <c r="L252" s="191"/>
      <c r="M252" s="74"/>
      <c r="N252" s="2"/>
      <c r="O252" s="2"/>
      <c r="P252" s="2"/>
      <c r="Q252" s="2"/>
      <c r="R252" s="2"/>
    </row>
    <row r="253" spans="1:18" x14ac:dyDescent="0.2">
      <c r="A253" s="2"/>
      <c r="B253" s="2"/>
      <c r="C253" s="73"/>
      <c r="D253" s="73"/>
      <c r="E253" s="73"/>
      <c r="F253" s="73"/>
      <c r="G253" s="73"/>
      <c r="H253" s="73"/>
      <c r="I253" s="73"/>
      <c r="J253" s="73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73"/>
      <c r="D254" s="73"/>
      <c r="E254" s="73"/>
      <c r="F254" s="73"/>
      <c r="G254" s="73"/>
      <c r="H254" s="73"/>
      <c r="I254" s="73"/>
      <c r="J254" s="73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73"/>
      <c r="D255" s="73"/>
      <c r="E255" s="73"/>
      <c r="F255" s="73"/>
      <c r="G255" s="73"/>
      <c r="H255" s="73"/>
      <c r="I255" s="73"/>
      <c r="J255" s="73"/>
      <c r="K255" s="191"/>
      <c r="L255" s="191"/>
      <c r="M255" s="74"/>
      <c r="N255" s="2"/>
      <c r="O255" s="2"/>
      <c r="P255" s="2"/>
      <c r="Q255" s="2"/>
      <c r="R255" s="2"/>
    </row>
    <row r="256" spans="1:18" x14ac:dyDescent="0.2">
      <c r="A256" s="2"/>
      <c r="B256" s="2"/>
      <c r="C256" s="73"/>
      <c r="D256" s="73"/>
      <c r="E256" s="73"/>
      <c r="F256" s="73"/>
      <c r="G256" s="73"/>
      <c r="H256" s="73"/>
      <c r="I256" s="73"/>
      <c r="J256" s="73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73"/>
      <c r="D257" s="73"/>
      <c r="E257" s="73"/>
      <c r="F257" s="73"/>
      <c r="G257" s="73"/>
      <c r="H257" s="73"/>
      <c r="I257" s="73"/>
      <c r="J257" s="73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73"/>
      <c r="D258" s="73"/>
      <c r="E258" s="73"/>
      <c r="F258" s="73"/>
      <c r="G258" s="73"/>
      <c r="H258" s="73"/>
      <c r="I258" s="73"/>
      <c r="J258" s="73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73"/>
      <c r="D259" s="73"/>
      <c r="E259" s="73"/>
      <c r="F259" s="73"/>
      <c r="G259" s="73"/>
      <c r="H259" s="73"/>
      <c r="I259" s="73"/>
      <c r="J259" s="73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73"/>
      <c r="D260" s="73"/>
      <c r="E260" s="73"/>
      <c r="F260" s="73"/>
      <c r="G260" s="73"/>
      <c r="H260" s="73"/>
      <c r="I260" s="73"/>
      <c r="J260" s="73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73"/>
      <c r="D261" s="73"/>
      <c r="E261" s="73"/>
      <c r="F261" s="73"/>
      <c r="G261" s="73"/>
      <c r="H261" s="73"/>
      <c r="I261" s="73"/>
      <c r="J261" s="73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73"/>
      <c r="D262" s="73"/>
      <c r="E262" s="73"/>
      <c r="F262" s="73"/>
      <c r="G262" s="73"/>
      <c r="H262" s="73"/>
      <c r="I262" s="73"/>
      <c r="J262" s="73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73"/>
      <c r="D263" s="73"/>
      <c r="E263" s="73"/>
      <c r="F263" s="73"/>
      <c r="G263" s="73"/>
      <c r="H263" s="73"/>
      <c r="I263" s="73"/>
      <c r="J263" s="73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73"/>
      <c r="D264" s="73"/>
      <c r="E264" s="73"/>
      <c r="F264" s="73"/>
      <c r="G264" s="73"/>
      <c r="H264" s="73"/>
      <c r="I264" s="73"/>
      <c r="J264" s="73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73"/>
      <c r="D265" s="73"/>
      <c r="E265" s="73"/>
      <c r="F265" s="73"/>
      <c r="G265" s="73"/>
      <c r="H265" s="73"/>
      <c r="I265" s="73"/>
      <c r="J265" s="73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73"/>
      <c r="D266" s="73"/>
      <c r="E266" s="73"/>
      <c r="F266" s="73"/>
      <c r="G266" s="73"/>
      <c r="H266" s="73"/>
      <c r="I266" s="73"/>
      <c r="J266" s="73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73"/>
      <c r="D267" s="73"/>
      <c r="E267" s="73"/>
      <c r="F267" s="73"/>
      <c r="G267" s="73"/>
      <c r="H267" s="73"/>
      <c r="I267" s="73"/>
      <c r="J267" s="73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73"/>
      <c r="D268" s="73"/>
      <c r="E268" s="73"/>
      <c r="F268" s="73"/>
      <c r="G268" s="73"/>
      <c r="H268" s="73"/>
      <c r="I268" s="73"/>
      <c r="J268" s="73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73"/>
      <c r="D269" s="73"/>
      <c r="E269" s="73"/>
      <c r="F269" s="73"/>
      <c r="G269" s="73"/>
      <c r="H269" s="73"/>
      <c r="I269" s="73"/>
      <c r="J269" s="73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73"/>
      <c r="D270" s="73"/>
      <c r="E270" s="73"/>
      <c r="F270" s="73"/>
      <c r="G270" s="73"/>
      <c r="H270" s="73"/>
      <c r="I270" s="73"/>
      <c r="J270" s="73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73"/>
      <c r="D271" s="73"/>
      <c r="E271" s="73"/>
      <c r="F271" s="73"/>
      <c r="G271" s="73"/>
      <c r="H271" s="73"/>
      <c r="I271" s="73"/>
      <c r="J271" s="73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73"/>
      <c r="D272" s="73"/>
      <c r="E272" s="73"/>
      <c r="F272" s="73"/>
      <c r="G272" s="73"/>
      <c r="H272" s="73"/>
      <c r="I272" s="73"/>
      <c r="J272" s="73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73"/>
      <c r="D273" s="73"/>
      <c r="E273" s="73"/>
      <c r="F273" s="73"/>
      <c r="G273" s="73"/>
      <c r="H273" s="73"/>
      <c r="I273" s="73"/>
      <c r="J273" s="73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73"/>
      <c r="D274" s="73"/>
      <c r="E274" s="73"/>
      <c r="F274" s="73"/>
      <c r="G274" s="73"/>
      <c r="H274" s="73"/>
      <c r="I274" s="73"/>
      <c r="J274" s="73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73"/>
      <c r="D275" s="73"/>
      <c r="E275" s="73"/>
      <c r="F275" s="73"/>
      <c r="G275" s="73"/>
      <c r="H275" s="73"/>
      <c r="I275" s="73"/>
      <c r="J275" s="73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73"/>
      <c r="D276" s="73"/>
      <c r="E276" s="73"/>
      <c r="F276" s="73"/>
      <c r="G276" s="73"/>
      <c r="H276" s="73"/>
      <c r="I276" s="73"/>
      <c r="J276" s="73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73"/>
      <c r="D277" s="73"/>
      <c r="E277" s="73"/>
      <c r="F277" s="73"/>
      <c r="G277" s="73"/>
      <c r="H277" s="73"/>
      <c r="I277" s="73"/>
      <c r="J277" s="73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73"/>
      <c r="D278" s="73"/>
      <c r="E278" s="73"/>
      <c r="F278" s="73"/>
      <c r="G278" s="73"/>
      <c r="H278" s="73"/>
      <c r="I278" s="73"/>
      <c r="J278" s="73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73"/>
      <c r="D279" s="73"/>
      <c r="E279" s="73"/>
      <c r="F279" s="73"/>
      <c r="G279" s="73"/>
      <c r="H279" s="73"/>
      <c r="I279" s="73"/>
      <c r="J279" s="73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73"/>
      <c r="D280" s="73"/>
      <c r="E280" s="73"/>
      <c r="F280" s="73"/>
      <c r="G280" s="73"/>
      <c r="H280" s="73"/>
      <c r="I280" s="73"/>
      <c r="J280" s="73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73"/>
      <c r="D281" s="73"/>
      <c r="E281" s="73"/>
      <c r="F281" s="73"/>
      <c r="G281" s="73"/>
      <c r="H281" s="73"/>
      <c r="I281" s="73"/>
      <c r="J281" s="73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73"/>
      <c r="D282" s="73"/>
      <c r="E282" s="73"/>
      <c r="F282" s="73"/>
      <c r="G282" s="73"/>
      <c r="H282" s="73"/>
      <c r="I282" s="73"/>
      <c r="J282" s="73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73"/>
      <c r="D283" s="73"/>
      <c r="E283" s="73"/>
      <c r="F283" s="73"/>
      <c r="G283" s="73"/>
      <c r="H283" s="73"/>
      <c r="I283" s="73"/>
      <c r="J283" s="73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73"/>
      <c r="D284" s="73"/>
      <c r="E284" s="73"/>
      <c r="F284" s="73"/>
      <c r="G284" s="73"/>
      <c r="H284" s="73"/>
      <c r="I284" s="73"/>
      <c r="J284" s="73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73"/>
      <c r="D285" s="73"/>
      <c r="E285" s="73"/>
      <c r="F285" s="73"/>
      <c r="G285" s="73"/>
      <c r="H285" s="73"/>
      <c r="I285" s="73"/>
      <c r="J285" s="73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73"/>
      <c r="D286" s="73"/>
      <c r="E286" s="73"/>
      <c r="F286" s="73"/>
      <c r="G286" s="73"/>
      <c r="H286" s="73"/>
      <c r="I286" s="73"/>
      <c r="J286" s="73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73"/>
      <c r="D287" s="73"/>
      <c r="E287" s="73"/>
      <c r="F287" s="73"/>
      <c r="G287" s="73"/>
      <c r="H287" s="73"/>
      <c r="I287" s="73"/>
      <c r="J287" s="73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73"/>
      <c r="D288" s="73"/>
      <c r="E288" s="73"/>
      <c r="F288" s="73"/>
      <c r="G288" s="73"/>
      <c r="H288" s="73"/>
      <c r="I288" s="73"/>
      <c r="J288" s="73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73"/>
      <c r="D289" s="73"/>
      <c r="E289" s="73"/>
      <c r="F289" s="73"/>
      <c r="G289" s="73"/>
      <c r="H289" s="73"/>
      <c r="I289" s="73"/>
      <c r="J289" s="73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73"/>
      <c r="D290" s="73"/>
      <c r="E290" s="73"/>
      <c r="F290" s="73"/>
      <c r="G290" s="73"/>
      <c r="H290" s="73"/>
      <c r="I290" s="73"/>
      <c r="J290" s="73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73"/>
      <c r="D291" s="73"/>
      <c r="E291" s="73"/>
      <c r="F291" s="73"/>
      <c r="G291" s="73"/>
      <c r="H291" s="73"/>
      <c r="I291" s="73"/>
      <c r="J291" s="73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73"/>
      <c r="D292" s="73"/>
      <c r="E292" s="73"/>
      <c r="F292" s="73"/>
      <c r="G292" s="73"/>
      <c r="H292" s="73"/>
      <c r="I292" s="73"/>
      <c r="J292" s="73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73"/>
      <c r="D293" s="73"/>
      <c r="E293" s="73"/>
      <c r="F293" s="73"/>
      <c r="G293" s="73"/>
      <c r="H293" s="73"/>
      <c r="I293" s="73"/>
      <c r="J293" s="73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73"/>
      <c r="D294" s="73"/>
      <c r="E294" s="73"/>
      <c r="F294" s="73"/>
      <c r="G294" s="73"/>
      <c r="H294" s="73"/>
      <c r="I294" s="73"/>
      <c r="J294" s="73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73"/>
      <c r="D295" s="73"/>
      <c r="E295" s="73"/>
      <c r="F295" s="73"/>
      <c r="G295" s="73"/>
      <c r="H295" s="73"/>
      <c r="I295" s="73"/>
      <c r="J295" s="73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73"/>
      <c r="D296" s="73"/>
      <c r="E296" s="73"/>
      <c r="F296" s="73"/>
      <c r="G296" s="73"/>
      <c r="H296" s="73"/>
      <c r="I296" s="73"/>
      <c r="J296" s="73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73"/>
      <c r="D297" s="73"/>
      <c r="E297" s="73"/>
      <c r="F297" s="73"/>
      <c r="G297" s="73"/>
      <c r="H297" s="73"/>
      <c r="I297" s="73"/>
      <c r="J297" s="73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73"/>
      <c r="D298" s="73"/>
      <c r="E298" s="73"/>
      <c r="F298" s="73"/>
      <c r="G298" s="73"/>
      <c r="H298" s="73"/>
      <c r="I298" s="73"/>
      <c r="J298" s="73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73"/>
      <c r="D299" s="73"/>
      <c r="E299" s="73"/>
      <c r="F299" s="73"/>
      <c r="G299" s="73"/>
      <c r="H299" s="73"/>
      <c r="I299" s="73"/>
      <c r="J299" s="73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73"/>
      <c r="D300" s="73"/>
      <c r="E300" s="73"/>
      <c r="F300" s="73"/>
      <c r="G300" s="73"/>
      <c r="H300" s="73"/>
      <c r="I300" s="73"/>
      <c r="J300" s="73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73"/>
      <c r="D301" s="73"/>
      <c r="E301" s="73"/>
      <c r="F301" s="73"/>
      <c r="G301" s="73"/>
      <c r="H301" s="73"/>
      <c r="I301" s="73"/>
      <c r="J301" s="73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73"/>
      <c r="D302" s="73"/>
      <c r="E302" s="73"/>
      <c r="F302" s="73"/>
      <c r="G302" s="73"/>
      <c r="H302" s="73"/>
      <c r="I302" s="73"/>
      <c r="J302" s="73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73"/>
      <c r="D303" s="73"/>
      <c r="E303" s="73"/>
      <c r="F303" s="73"/>
      <c r="G303" s="73"/>
      <c r="H303" s="73"/>
      <c r="I303" s="73"/>
      <c r="J303" s="73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73"/>
      <c r="D304" s="73"/>
      <c r="E304" s="73"/>
      <c r="F304" s="73"/>
      <c r="G304" s="73"/>
      <c r="H304" s="73"/>
      <c r="I304" s="73"/>
      <c r="J304" s="73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73"/>
      <c r="D305" s="73"/>
      <c r="E305" s="73"/>
      <c r="F305" s="73"/>
      <c r="G305" s="73"/>
      <c r="H305" s="73"/>
      <c r="I305" s="73"/>
      <c r="J305" s="73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73"/>
      <c r="D306" s="73"/>
      <c r="E306" s="73"/>
      <c r="F306" s="73"/>
      <c r="G306" s="73"/>
      <c r="H306" s="73"/>
      <c r="I306" s="73"/>
      <c r="J306" s="73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73"/>
      <c r="D307" s="73"/>
      <c r="E307" s="73"/>
      <c r="F307" s="73"/>
      <c r="G307" s="73"/>
      <c r="H307" s="73"/>
      <c r="I307" s="73"/>
      <c r="J307" s="73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73"/>
      <c r="D308" s="73"/>
      <c r="E308" s="73"/>
      <c r="F308" s="73"/>
      <c r="G308" s="73"/>
      <c r="H308" s="73"/>
      <c r="I308" s="73"/>
      <c r="J308" s="73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73"/>
      <c r="D309" s="73"/>
      <c r="E309" s="73"/>
      <c r="F309" s="73"/>
      <c r="G309" s="73"/>
      <c r="H309" s="73"/>
      <c r="I309" s="73"/>
      <c r="J309" s="73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73"/>
      <c r="D310" s="73"/>
      <c r="E310" s="73"/>
      <c r="F310" s="73"/>
      <c r="G310" s="73"/>
      <c r="H310" s="73"/>
      <c r="I310" s="73"/>
      <c r="J310" s="73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73"/>
      <c r="D311" s="73"/>
      <c r="E311" s="73"/>
      <c r="F311" s="73"/>
      <c r="G311" s="73"/>
      <c r="H311" s="73"/>
      <c r="I311" s="73"/>
      <c r="J311" s="73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73"/>
      <c r="D312" s="73"/>
      <c r="E312" s="73"/>
      <c r="F312" s="73"/>
      <c r="G312" s="73"/>
      <c r="H312" s="73"/>
      <c r="I312" s="73"/>
      <c r="J312" s="73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73"/>
      <c r="D313" s="73"/>
      <c r="E313" s="73"/>
      <c r="F313" s="73"/>
      <c r="G313" s="73"/>
      <c r="H313" s="73"/>
      <c r="I313" s="73"/>
      <c r="J313" s="73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91"/>
      <c r="L335" s="191"/>
      <c r="M335" s="74"/>
      <c r="N335" s="2"/>
      <c r="O335" s="2"/>
      <c r="P335" s="2"/>
      <c r="Q335" s="2"/>
      <c r="R335" s="2"/>
    </row>
    <row r="336" spans="1:18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191"/>
      <c r="L336" s="191"/>
      <c r="M336" s="74"/>
      <c r="N336" s="2"/>
      <c r="O336" s="2"/>
      <c r="P336" s="2"/>
      <c r="Q336" s="2"/>
      <c r="R336" s="2"/>
    </row>
    <row r="337" spans="1:18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191"/>
      <c r="L337" s="191"/>
      <c r="M337" s="74"/>
      <c r="N337" s="2"/>
      <c r="O337" s="2"/>
      <c r="P337" s="2"/>
      <c r="Q337" s="2"/>
      <c r="R337" s="2"/>
    </row>
    <row r="338" spans="1:18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191"/>
      <c r="L338" s="191"/>
      <c r="M338" s="74"/>
      <c r="N338" s="2"/>
      <c r="O338" s="2"/>
      <c r="P338" s="2"/>
      <c r="Q338" s="2"/>
      <c r="R338" s="2"/>
    </row>
    <row r="339" spans="1:18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191"/>
      <c r="L339" s="191"/>
      <c r="M339" s="74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91"/>
      <c r="L340" s="191"/>
      <c r="M340" s="74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91"/>
      <c r="L341" s="191"/>
      <c r="M341" s="74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91"/>
      <c r="L342" s="191"/>
      <c r="M342" s="74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91"/>
      <c r="L343" s="191"/>
      <c r="M343" s="74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91"/>
      <c r="L344" s="191"/>
      <c r="M344" s="74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91"/>
      <c r="L345" s="191"/>
      <c r="M345" s="74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91"/>
      <c r="L346" s="191"/>
      <c r="M346" s="74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91"/>
      <c r="L347" s="191"/>
      <c r="M347" s="74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91"/>
      <c r="L348" s="191"/>
      <c r="M348" s="74"/>
      <c r="N348" s="2"/>
      <c r="O348" s="2"/>
      <c r="P348" s="2"/>
      <c r="Q348" s="2"/>
      <c r="R348" s="2"/>
    </row>
    <row r="349" spans="1:18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191"/>
      <c r="L349" s="191"/>
      <c r="M349" s="74"/>
      <c r="N349" s="2"/>
      <c r="O349" s="2"/>
      <c r="P349" s="2"/>
      <c r="Q349" s="2"/>
      <c r="R349" s="2"/>
    </row>
    <row r="350" spans="1:18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191"/>
      <c r="L350" s="191"/>
      <c r="M350" s="74"/>
      <c r="N350" s="2"/>
      <c r="O350" s="2"/>
      <c r="P350" s="2"/>
      <c r="Q350" s="2"/>
      <c r="R350" s="2"/>
    </row>
    <row r="351" spans="1:18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191"/>
      <c r="L351" s="191"/>
      <c r="M351" s="74"/>
      <c r="N351" s="2"/>
      <c r="O351" s="2"/>
      <c r="P351" s="2"/>
      <c r="Q351" s="2"/>
      <c r="R351" s="2"/>
    </row>
    <row r="352" spans="1:18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191"/>
      <c r="L352" s="191"/>
      <c r="M352" s="74"/>
      <c r="N352" s="2"/>
      <c r="O352" s="2"/>
      <c r="P352" s="2"/>
      <c r="Q352" s="2"/>
      <c r="R352" s="2"/>
    </row>
    <row r="353" spans="1:18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91"/>
      <c r="L353" s="191"/>
      <c r="M353" s="74"/>
      <c r="N353" s="2"/>
      <c r="O353" s="2"/>
      <c r="P353" s="2"/>
      <c r="Q353" s="2"/>
      <c r="R353" s="2"/>
    </row>
    <row r="354" spans="1:18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91"/>
      <c r="L354" s="191"/>
      <c r="M354" s="74"/>
      <c r="N354" s="2"/>
      <c r="O354" s="2"/>
      <c r="P354" s="2"/>
      <c r="Q354" s="2"/>
      <c r="R354" s="2"/>
    </row>
    <row r="355" spans="1:18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91"/>
      <c r="L355" s="191"/>
      <c r="M355" s="74"/>
      <c r="N355" s="2"/>
      <c r="O355" s="2"/>
      <c r="P355" s="2"/>
      <c r="Q355" s="2"/>
      <c r="R355" s="2"/>
    </row>
    <row r="356" spans="1:18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91"/>
      <c r="L356" s="191"/>
      <c r="M356" s="74"/>
      <c r="N356" s="2"/>
      <c r="O356" s="2"/>
      <c r="P356" s="2"/>
      <c r="Q356" s="2"/>
      <c r="R356" s="2"/>
    </row>
    <row r="357" spans="1:18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91"/>
      <c r="L357" s="191"/>
      <c r="M357" s="74"/>
      <c r="N357" s="2"/>
      <c r="O357" s="2"/>
      <c r="P357" s="2"/>
      <c r="Q357" s="2"/>
      <c r="R357" s="2"/>
    </row>
    <row r="358" spans="1:18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91"/>
      <c r="L358" s="191"/>
      <c r="M358" s="74"/>
      <c r="N358" s="2"/>
      <c r="O358" s="2"/>
      <c r="P358" s="2"/>
      <c r="Q358" s="2"/>
      <c r="R358" s="2"/>
    </row>
    <row r="359" spans="1:18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91"/>
      <c r="L359" s="191"/>
      <c r="M359" s="74"/>
      <c r="N359" s="2"/>
      <c r="O359" s="2"/>
      <c r="P359" s="2"/>
      <c r="Q359" s="2"/>
      <c r="R359" s="2"/>
    </row>
    <row r="360" spans="1:18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91"/>
      <c r="L360" s="191"/>
      <c r="M360" s="74"/>
      <c r="N360" s="2"/>
      <c r="O360" s="2"/>
      <c r="P360" s="2"/>
      <c r="Q360" s="2"/>
      <c r="R360" s="2"/>
    </row>
    <row r="361" spans="1:18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91"/>
      <c r="L361" s="191"/>
      <c r="M361" s="74"/>
      <c r="N361" s="2"/>
      <c r="O361" s="2"/>
      <c r="P361" s="2"/>
      <c r="Q361" s="2"/>
      <c r="R361" s="2"/>
    </row>
    <row r="362" spans="1:18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191"/>
      <c r="L362" s="191"/>
      <c r="M362" s="74"/>
      <c r="N362" s="2"/>
      <c r="O362" s="2"/>
      <c r="P362" s="2"/>
      <c r="Q362" s="2"/>
      <c r="R362" s="2"/>
    </row>
    <row r="363" spans="1:18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191"/>
      <c r="L363" s="191"/>
      <c r="M363" s="74"/>
      <c r="N363" s="2"/>
      <c r="O363" s="2"/>
      <c r="P363" s="2"/>
      <c r="Q363" s="2"/>
      <c r="R363" s="2"/>
    </row>
    <row r="364" spans="1:18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191"/>
      <c r="L364" s="191"/>
      <c r="M364" s="74"/>
      <c r="N364" s="2"/>
      <c r="O364" s="2"/>
      <c r="P364" s="2"/>
      <c r="Q364" s="2"/>
      <c r="R364" s="2"/>
    </row>
    <row r="365" spans="1:18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191"/>
      <c r="L365" s="191"/>
      <c r="M365" s="74"/>
      <c r="N365" s="2"/>
      <c r="O365" s="2"/>
      <c r="P365" s="2"/>
      <c r="Q365" s="2"/>
      <c r="R365" s="2"/>
    </row>
    <row r="366" spans="1:18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191"/>
      <c r="L366" s="191"/>
      <c r="M366" s="74"/>
      <c r="N366" s="2"/>
      <c r="O366" s="2"/>
      <c r="P366" s="2"/>
      <c r="Q366" s="2"/>
      <c r="R366" s="2"/>
    </row>
    <row r="367" spans="1:18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191"/>
      <c r="L367" s="191"/>
      <c r="M367" s="74"/>
      <c r="N367" s="2"/>
      <c r="O367" s="2"/>
      <c r="P367" s="2"/>
      <c r="Q367" s="2"/>
      <c r="R367" s="2"/>
    </row>
    <row r="368" spans="1:18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191"/>
      <c r="L368" s="191"/>
      <c r="M368" s="74"/>
      <c r="N368" s="2"/>
      <c r="O368" s="2"/>
      <c r="P368" s="2"/>
      <c r="Q368" s="2"/>
      <c r="R368" s="2"/>
    </row>
    <row r="369" spans="1:18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191"/>
      <c r="L369" s="191"/>
      <c r="M369" s="74"/>
      <c r="N369" s="2"/>
      <c r="O369" s="2"/>
      <c r="P369" s="2"/>
      <c r="Q369" s="2"/>
      <c r="R369" s="2"/>
    </row>
    <row r="370" spans="1:18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191"/>
      <c r="L370" s="191"/>
      <c r="M370" s="74"/>
      <c r="N370" s="2"/>
      <c r="O370" s="2"/>
      <c r="P370" s="2"/>
      <c r="Q370" s="2"/>
      <c r="R370" s="2"/>
    </row>
    <row r="371" spans="1:18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191"/>
      <c r="L371" s="191"/>
      <c r="M371" s="74"/>
      <c r="N371" s="2"/>
      <c r="O371" s="2"/>
      <c r="P371" s="2"/>
      <c r="Q371" s="2"/>
      <c r="R371" s="2"/>
    </row>
    <row r="372" spans="1:18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191"/>
      <c r="L372" s="191"/>
      <c r="M372" s="74"/>
      <c r="N372" s="2"/>
      <c r="O372" s="2"/>
      <c r="P372" s="2"/>
      <c r="Q372" s="2"/>
      <c r="R372" s="2"/>
    </row>
    <row r="373" spans="1:18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191"/>
      <c r="L373" s="191"/>
      <c r="M373" s="74"/>
      <c r="N373" s="2"/>
      <c r="O373" s="2"/>
      <c r="P373" s="2"/>
      <c r="Q373" s="2"/>
      <c r="R373" s="2"/>
    </row>
    <row r="374" spans="1:18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191"/>
      <c r="L374" s="191"/>
      <c r="M374" s="74"/>
      <c r="N374" s="2"/>
      <c r="O374" s="2"/>
      <c r="P374" s="2"/>
      <c r="Q374" s="2"/>
      <c r="R374" s="2"/>
    </row>
    <row r="375" spans="1:18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191"/>
      <c r="L375" s="191"/>
      <c r="M375" s="74"/>
      <c r="N375" s="2"/>
      <c r="O375" s="2"/>
      <c r="P375" s="2"/>
      <c r="Q375" s="2"/>
      <c r="R375" s="2"/>
    </row>
    <row r="376" spans="1:18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191"/>
      <c r="L376" s="191"/>
      <c r="M376" s="74"/>
      <c r="N376" s="2"/>
      <c r="O376" s="2"/>
      <c r="P376" s="2"/>
      <c r="Q376" s="2"/>
      <c r="R376" s="2"/>
    </row>
    <row r="377" spans="1:18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191"/>
      <c r="L377" s="191"/>
      <c r="M377" s="74"/>
      <c r="N377" s="2"/>
      <c r="O377" s="2"/>
      <c r="P377" s="2"/>
      <c r="Q377" s="2"/>
      <c r="R377" s="2"/>
    </row>
    <row r="378" spans="1:18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191"/>
      <c r="L378" s="191"/>
      <c r="M378" s="74"/>
      <c r="N378" s="2"/>
      <c r="O378" s="2"/>
      <c r="P378" s="2"/>
      <c r="Q378" s="2"/>
      <c r="R378" s="2"/>
    </row>
    <row r="379" spans="1:18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191"/>
      <c r="L379" s="191"/>
      <c r="M379" s="74"/>
      <c r="N379" s="2"/>
      <c r="O379" s="2"/>
      <c r="P379" s="2"/>
      <c r="Q379" s="2"/>
      <c r="R379" s="2"/>
    </row>
    <row r="380" spans="1:18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191"/>
      <c r="L380" s="191"/>
      <c r="M380" s="74"/>
      <c r="N380" s="2"/>
      <c r="O380" s="2"/>
      <c r="P380" s="2"/>
      <c r="Q380" s="2"/>
      <c r="R380" s="2"/>
    </row>
    <row r="381" spans="1:18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191"/>
      <c r="L381" s="191"/>
      <c r="M381" s="74"/>
      <c r="N381" s="2"/>
      <c r="O381" s="2"/>
      <c r="P381" s="2"/>
      <c r="Q381" s="2"/>
      <c r="R381" s="2"/>
    </row>
    <row r="382" spans="1:18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191"/>
      <c r="L382" s="191"/>
      <c r="M382" s="74"/>
      <c r="N382" s="2"/>
      <c r="O382" s="2"/>
      <c r="P382" s="2"/>
      <c r="Q382" s="2"/>
      <c r="R382" s="2"/>
    </row>
    <row r="383" spans="1:18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191"/>
      <c r="L383" s="191"/>
      <c r="M383" s="74"/>
      <c r="N383" s="2"/>
      <c r="O383" s="2"/>
      <c r="P383" s="2"/>
      <c r="Q383" s="2"/>
      <c r="R383" s="2"/>
    </row>
    <row r="384" spans="1:18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191"/>
      <c r="L384" s="191"/>
      <c r="M384" s="74"/>
      <c r="N384" s="2"/>
      <c r="O384" s="2"/>
      <c r="P384" s="2"/>
      <c r="Q384" s="2"/>
      <c r="R384" s="2"/>
    </row>
    <row r="385" spans="1:18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191"/>
      <c r="L385" s="191"/>
      <c r="M385" s="74"/>
      <c r="N385" s="2"/>
      <c r="O385" s="2"/>
      <c r="P385" s="2"/>
      <c r="Q385" s="2"/>
      <c r="R385" s="2"/>
    </row>
    <row r="386" spans="1:18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191"/>
      <c r="L386" s="191"/>
      <c r="M386" s="74"/>
      <c r="N386" s="2"/>
      <c r="O386" s="2"/>
      <c r="P386" s="2"/>
      <c r="Q386" s="2"/>
      <c r="R386" s="2"/>
    </row>
    <row r="387" spans="1:18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191"/>
      <c r="L387" s="191"/>
      <c r="M387" s="74"/>
      <c r="N387" s="2"/>
      <c r="O387" s="2"/>
      <c r="P387" s="2"/>
      <c r="Q387" s="2"/>
      <c r="R387" s="2"/>
    </row>
    <row r="388" spans="1:18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191"/>
      <c r="L388" s="191"/>
      <c r="M388" s="74"/>
      <c r="N388" s="2"/>
      <c r="O388" s="2"/>
      <c r="P388" s="2"/>
      <c r="Q388" s="2"/>
      <c r="R388" s="2"/>
    </row>
    <row r="389" spans="1:18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191"/>
      <c r="L389" s="191"/>
      <c r="M389" s="74"/>
      <c r="N389" s="2"/>
      <c r="O389" s="2"/>
      <c r="P389" s="2"/>
      <c r="Q389" s="2"/>
      <c r="R389" s="2"/>
    </row>
    <row r="390" spans="1:18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191"/>
      <c r="L390" s="191"/>
      <c r="M390" s="74"/>
      <c r="N390" s="2"/>
      <c r="O390" s="2"/>
      <c r="P390" s="2"/>
      <c r="Q390" s="2"/>
      <c r="R390" s="2"/>
    </row>
    <row r="391" spans="1:18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191"/>
      <c r="L391" s="191"/>
      <c r="M391" s="74"/>
      <c r="N391" s="2"/>
      <c r="O391" s="2"/>
      <c r="P391" s="2"/>
      <c r="Q391" s="2"/>
      <c r="R391" s="2"/>
    </row>
    <row r="392" spans="1:18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191"/>
      <c r="L392" s="191"/>
      <c r="M392" s="74"/>
      <c r="N392" s="2"/>
      <c r="O392" s="2"/>
      <c r="P392" s="2"/>
      <c r="Q392" s="2"/>
      <c r="R392" s="2"/>
    </row>
    <row r="393" spans="1:18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191"/>
      <c r="L393" s="191"/>
      <c r="M393" s="74"/>
      <c r="N393" s="2"/>
      <c r="O393" s="2"/>
      <c r="P393" s="2"/>
      <c r="Q393" s="2"/>
      <c r="R393" s="2"/>
    </row>
    <row r="394" spans="1:18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191"/>
      <c r="L394" s="191"/>
      <c r="M394" s="74"/>
      <c r="N394" s="2"/>
      <c r="O394" s="2"/>
      <c r="P394" s="2"/>
      <c r="Q394" s="2"/>
      <c r="R394" s="2"/>
    </row>
    <row r="395" spans="1:18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191"/>
      <c r="L395" s="191"/>
      <c r="M395" s="74"/>
      <c r="N395" s="2"/>
      <c r="O395" s="2"/>
      <c r="P395" s="2"/>
      <c r="Q395" s="2"/>
      <c r="R395" s="2"/>
    </row>
    <row r="396" spans="1:18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191"/>
      <c r="L396" s="191"/>
      <c r="M396" s="74"/>
      <c r="N396" s="2"/>
      <c r="O396" s="2"/>
      <c r="P396" s="2"/>
      <c r="Q396" s="2"/>
      <c r="R396" s="2"/>
    </row>
    <row r="397" spans="1:18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191"/>
      <c r="L397" s="191"/>
      <c r="M397" s="74"/>
      <c r="N397" s="2"/>
      <c r="O397" s="2"/>
      <c r="P397" s="2"/>
      <c r="Q397" s="2"/>
      <c r="R397" s="2"/>
    </row>
    <row r="398" spans="1:18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191"/>
      <c r="L398" s="191"/>
      <c r="M398" s="74"/>
      <c r="N398" s="2"/>
      <c r="O398" s="2"/>
      <c r="P398" s="2"/>
      <c r="Q398" s="2"/>
      <c r="R398" s="2"/>
    </row>
    <row r="399" spans="1:18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191"/>
      <c r="L399" s="191"/>
      <c r="M399" s="74"/>
      <c r="N399" s="2"/>
      <c r="O399" s="2"/>
      <c r="P399" s="2"/>
      <c r="Q399" s="2"/>
      <c r="R399" s="2"/>
    </row>
    <row r="400" spans="1:18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191"/>
      <c r="L400" s="191"/>
      <c r="M400" s="74"/>
      <c r="N400" s="2"/>
      <c r="O400" s="2"/>
      <c r="P400" s="2"/>
      <c r="Q400" s="2"/>
      <c r="R400" s="2"/>
    </row>
    <row r="401" spans="1:18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191"/>
      <c r="L401" s="191"/>
      <c r="M401" s="74"/>
      <c r="N401" s="2"/>
      <c r="O401" s="2"/>
      <c r="P401" s="2"/>
      <c r="Q401" s="2"/>
      <c r="R401" s="2"/>
    </row>
    <row r="402" spans="1:18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191"/>
      <c r="L402" s="191"/>
      <c r="M402" s="74"/>
      <c r="N402" s="2"/>
      <c r="O402" s="2"/>
      <c r="P402" s="2"/>
      <c r="Q402" s="2"/>
      <c r="R402" s="2"/>
    </row>
    <row r="403" spans="1:18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191"/>
      <c r="L403" s="191"/>
      <c r="M403" s="74"/>
      <c r="N403" s="2"/>
      <c r="O403" s="2"/>
      <c r="P403" s="2"/>
      <c r="Q403" s="2"/>
      <c r="R403" s="2"/>
    </row>
    <row r="404" spans="1:18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191"/>
      <c r="L404" s="191"/>
      <c r="M404" s="74"/>
      <c r="N404" s="2"/>
      <c r="O404" s="2"/>
      <c r="P404" s="2"/>
      <c r="Q404" s="2"/>
      <c r="R404" s="2"/>
    </row>
    <row r="405" spans="1:18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191"/>
      <c r="L405" s="191"/>
      <c r="M405" s="74"/>
      <c r="N405" s="2"/>
      <c r="O405" s="2"/>
      <c r="P405" s="2"/>
      <c r="Q405" s="2"/>
      <c r="R405" s="2"/>
    </row>
    <row r="406" spans="1:18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191"/>
      <c r="L406" s="191"/>
      <c r="M406" s="74"/>
      <c r="N406" s="2"/>
      <c r="O406" s="2"/>
      <c r="P406" s="2"/>
      <c r="Q406" s="2"/>
      <c r="R406" s="2"/>
    </row>
    <row r="407" spans="1:18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191"/>
      <c r="L407" s="191"/>
      <c r="M407" s="74"/>
      <c r="N407" s="2"/>
      <c r="O407" s="2"/>
      <c r="P407" s="2"/>
      <c r="Q407" s="2"/>
      <c r="R407" s="2"/>
    </row>
    <row r="408" spans="1:18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191"/>
      <c r="L408" s="191"/>
      <c r="M408" s="74"/>
      <c r="N408" s="2"/>
      <c r="O408" s="2"/>
      <c r="P408" s="2"/>
      <c r="Q408" s="2"/>
      <c r="R408" s="2"/>
    </row>
    <row r="409" spans="1:18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191"/>
      <c r="L409" s="191"/>
      <c r="M409" s="74"/>
      <c r="N409" s="2"/>
      <c r="O409" s="2"/>
      <c r="P409" s="2"/>
      <c r="Q409" s="2"/>
      <c r="R409" s="2"/>
    </row>
    <row r="410" spans="1:18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191"/>
      <c r="L410" s="191"/>
      <c r="M410" s="74"/>
      <c r="N410" s="2"/>
      <c r="O410" s="2"/>
      <c r="P410" s="2"/>
      <c r="Q410" s="2"/>
      <c r="R410" s="2"/>
    </row>
    <row r="411" spans="1:18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191"/>
      <c r="L411" s="191"/>
      <c r="M411" s="74"/>
      <c r="N411" s="2"/>
      <c r="O411" s="2"/>
      <c r="P411" s="2"/>
      <c r="Q411" s="2"/>
      <c r="R411" s="2"/>
    </row>
    <row r="412" spans="1:18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91"/>
      <c r="L412" s="191"/>
      <c r="M412" s="74"/>
      <c r="N412" s="2"/>
      <c r="O412" s="2"/>
      <c r="P412" s="2"/>
      <c r="Q412" s="2"/>
      <c r="R412" s="2"/>
    </row>
    <row r="413" spans="1:18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191"/>
      <c r="L413" s="191"/>
      <c r="M413" s="74"/>
      <c r="N413" s="2"/>
      <c r="O413" s="2"/>
      <c r="P413" s="2"/>
      <c r="Q413" s="2"/>
      <c r="R413" s="2"/>
    </row>
    <row r="414" spans="1:18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191"/>
      <c r="L414" s="191"/>
      <c r="M414" s="74"/>
      <c r="N414" s="2"/>
      <c r="O414" s="2"/>
      <c r="P414" s="2"/>
      <c r="Q414" s="2"/>
      <c r="R414" s="2"/>
    </row>
    <row r="415" spans="1:18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191"/>
      <c r="L415" s="191"/>
      <c r="M415" s="74"/>
      <c r="N415" s="2"/>
      <c r="O415" s="2"/>
      <c r="P415" s="2"/>
      <c r="Q415" s="2"/>
      <c r="R415" s="2"/>
    </row>
    <row r="416" spans="1:18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191"/>
      <c r="L416" s="191"/>
      <c r="M416" s="74"/>
      <c r="N416" s="2"/>
      <c r="O416" s="2"/>
      <c r="P416" s="2"/>
      <c r="Q416" s="2"/>
      <c r="R416" s="2"/>
    </row>
    <row r="417" spans="1:18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191"/>
      <c r="L417" s="191"/>
      <c r="M417" s="74"/>
      <c r="N417" s="2"/>
      <c r="O417" s="2"/>
      <c r="P417" s="2"/>
      <c r="Q417" s="2"/>
      <c r="R417" s="2"/>
    </row>
    <row r="418" spans="1:18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191"/>
      <c r="L418" s="191"/>
      <c r="M418" s="74"/>
      <c r="N418" s="2"/>
      <c r="O418" s="2"/>
      <c r="P418" s="2"/>
      <c r="Q418" s="2"/>
      <c r="R418" s="2"/>
    </row>
    <row r="419" spans="1:18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191"/>
      <c r="L419" s="191"/>
      <c r="M419" s="74"/>
      <c r="N419" s="2"/>
      <c r="O419" s="2"/>
      <c r="P419" s="2"/>
      <c r="Q419" s="2"/>
      <c r="R419" s="2"/>
    </row>
    <row r="420" spans="1:18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191"/>
      <c r="L420" s="191"/>
      <c r="M420" s="74"/>
      <c r="N420" s="2"/>
      <c r="O420" s="2"/>
      <c r="P420" s="2"/>
      <c r="Q420" s="2"/>
      <c r="R420" s="2"/>
    </row>
    <row r="421" spans="1:18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191"/>
      <c r="L421" s="191"/>
      <c r="M421" s="74"/>
      <c r="N421" s="2"/>
      <c r="O421" s="2"/>
      <c r="P421" s="2"/>
      <c r="Q421" s="2"/>
      <c r="R421" s="2"/>
    </row>
    <row r="422" spans="1:18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191"/>
      <c r="L422" s="191"/>
      <c r="M422" s="74"/>
      <c r="N422" s="2"/>
      <c r="O422" s="2"/>
      <c r="P422" s="2"/>
      <c r="Q422" s="2"/>
      <c r="R422" s="2"/>
    </row>
    <row r="423" spans="1:18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191"/>
      <c r="L423" s="191"/>
      <c r="M423" s="74"/>
      <c r="N423" s="2"/>
      <c r="O423" s="2"/>
      <c r="P423" s="2"/>
      <c r="Q423" s="2"/>
      <c r="R423" s="2"/>
    </row>
    <row r="424" spans="1:18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191"/>
      <c r="L424" s="191"/>
      <c r="M424" s="74"/>
      <c r="N424" s="2"/>
      <c r="O424" s="2"/>
      <c r="P424" s="2"/>
      <c r="Q424" s="2"/>
      <c r="R424" s="2"/>
    </row>
    <row r="425" spans="1:18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191"/>
      <c r="L425" s="191"/>
      <c r="M425" s="74"/>
      <c r="N425" s="2"/>
      <c r="O425" s="2"/>
      <c r="P425" s="2"/>
      <c r="Q425" s="2"/>
      <c r="R425" s="2"/>
    </row>
    <row r="426" spans="1:18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191"/>
      <c r="L426" s="191"/>
      <c r="M426" s="74"/>
      <c r="N426" s="2"/>
      <c r="O426" s="2"/>
      <c r="P426" s="2"/>
      <c r="Q426" s="2"/>
      <c r="R426" s="2"/>
    </row>
    <row r="427" spans="1:18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191"/>
      <c r="L427" s="191"/>
      <c r="M427" s="74"/>
      <c r="N427" s="2"/>
      <c r="O427" s="2"/>
      <c r="P427" s="2"/>
      <c r="Q427" s="2"/>
      <c r="R427" s="2"/>
    </row>
    <row r="428" spans="1:18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191"/>
      <c r="L428" s="191"/>
      <c r="M428" s="74"/>
      <c r="N428" s="2"/>
      <c r="O428" s="2"/>
      <c r="P428" s="2"/>
      <c r="Q428" s="2"/>
      <c r="R428" s="2"/>
    </row>
    <row r="429" spans="1:18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191"/>
      <c r="L429" s="191"/>
      <c r="M429" s="74"/>
      <c r="N429" s="2"/>
      <c r="O429" s="2"/>
      <c r="P429" s="2"/>
      <c r="Q429" s="2"/>
      <c r="R429" s="2"/>
    </row>
    <row r="430" spans="1:18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191"/>
      <c r="L430" s="191"/>
      <c r="M430" s="74"/>
      <c r="N430" s="2"/>
      <c r="O430" s="2"/>
      <c r="P430" s="2"/>
      <c r="Q430" s="2"/>
      <c r="R430" s="2"/>
    </row>
    <row r="431" spans="1:18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191"/>
      <c r="L431" s="191"/>
      <c r="M431" s="74"/>
      <c r="N431" s="2"/>
      <c r="O431" s="2"/>
      <c r="P431" s="2"/>
      <c r="Q431" s="2"/>
      <c r="R431" s="2"/>
    </row>
    <row r="432" spans="1:18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191"/>
      <c r="L432" s="191"/>
      <c r="M432" s="74"/>
      <c r="N432" s="2"/>
      <c r="O432" s="2"/>
      <c r="P432" s="2"/>
      <c r="Q432" s="2"/>
      <c r="R432" s="2"/>
    </row>
    <row r="433" spans="1:18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191"/>
      <c r="L433" s="191"/>
      <c r="M433" s="74"/>
      <c r="N433" s="2"/>
      <c r="O433" s="2"/>
      <c r="P433" s="2"/>
      <c r="Q433" s="2"/>
      <c r="R433" s="2"/>
    </row>
    <row r="434" spans="1:18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191"/>
      <c r="L434" s="191"/>
      <c r="M434" s="74"/>
      <c r="N434" s="2"/>
      <c r="O434" s="2"/>
      <c r="P434" s="2"/>
      <c r="Q434" s="2"/>
      <c r="R434" s="2"/>
    </row>
    <row r="435" spans="1:18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191"/>
      <c r="L435" s="191"/>
      <c r="M435" s="74"/>
      <c r="N435" s="2"/>
      <c r="O435" s="2"/>
      <c r="P435" s="2"/>
      <c r="Q435" s="2"/>
      <c r="R435" s="2"/>
    </row>
    <row r="436" spans="1:18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191"/>
      <c r="L436" s="191"/>
      <c r="M436" s="74"/>
      <c r="N436" s="2"/>
      <c r="O436" s="2"/>
      <c r="P436" s="2"/>
      <c r="Q436" s="2"/>
      <c r="R436" s="2"/>
    </row>
    <row r="437" spans="1:18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191"/>
      <c r="L437" s="191"/>
      <c r="M437" s="74"/>
      <c r="N437" s="2"/>
      <c r="O437" s="2"/>
      <c r="P437" s="2"/>
      <c r="Q437" s="2"/>
      <c r="R437" s="2"/>
    </row>
    <row r="438" spans="1:18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191"/>
      <c r="L438" s="191"/>
      <c r="M438" s="74"/>
      <c r="N438" s="2"/>
      <c r="O438" s="2"/>
      <c r="P438" s="2"/>
      <c r="Q438" s="2"/>
      <c r="R438" s="2"/>
    </row>
    <row r="439" spans="1:18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191"/>
      <c r="L439" s="191"/>
      <c r="M439" s="74"/>
      <c r="N439" s="2"/>
      <c r="O439" s="2"/>
      <c r="P439" s="2"/>
      <c r="Q439" s="2"/>
      <c r="R439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3" manualBreakCount="3">
    <brk id="55" max="12" man="1"/>
    <brk id="103" max="12" man="1"/>
    <brk id="15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Normal="100" workbookViewId="0">
      <selection activeCell="A4" sqref="A4"/>
    </sheetView>
  </sheetViews>
  <sheetFormatPr defaultColWidth="9.6640625" defaultRowHeight="15" x14ac:dyDescent="0.2"/>
  <cols>
    <col min="1" max="1" width="10.21875" style="79" customWidth="1"/>
    <col min="2" max="2" width="9.777343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DATE(2025,7,1)</f>
        <v>45839</v>
      </c>
      <c r="B10" s="88">
        <f>'MONTHLY STATS'!$C$9*2</f>
        <v>360560</v>
      </c>
      <c r="C10" s="88">
        <f>'MONTHLY STATS'!$C$21*2</f>
        <v>214610</v>
      </c>
      <c r="D10" s="88">
        <f>'MONTHLY STATS'!$C$33*2</f>
        <v>145072</v>
      </c>
      <c r="E10" s="88">
        <f>'MONTHLY STATS'!$C$45*2</f>
        <v>626394</v>
      </c>
      <c r="F10" s="88">
        <f>'MONTHLY STATS'!$C$57*2</f>
        <v>378056</v>
      </c>
      <c r="G10" s="88">
        <f>'MONTHLY STATS'!$C$69*2</f>
        <v>189756</v>
      </c>
      <c r="H10" s="88">
        <f>'MONTHLY STATS'!$C$81*2</f>
        <v>408904</v>
      </c>
      <c r="I10" s="88">
        <f>'MONTHLY STATS'!$C$93*2</f>
        <v>432796</v>
      </c>
      <c r="J10" s="88">
        <f>'MONTHLY STATS'!$C$105*2</f>
        <v>512784</v>
      </c>
      <c r="K10" s="88">
        <f>'MONTHLY STATS'!$C$117*2</f>
        <v>669154</v>
      </c>
      <c r="L10" s="88">
        <f>'MONTHLY STATS'!$C$129*2</f>
        <v>85610</v>
      </c>
      <c r="M10" s="88">
        <f>'MONTHLY STATS'!$C$141*2</f>
        <v>665520</v>
      </c>
      <c r="N10" s="88">
        <f>'MONTHLY STATS'!$C$153*2</f>
        <v>125062</v>
      </c>
      <c r="O10" s="89">
        <f t="shared" ref="O10:O15" si="0">SUM(B10:N10)</f>
        <v>4814278</v>
      </c>
      <c r="P10" s="82"/>
    </row>
    <row r="11" spans="1:16" ht="15.75" x14ac:dyDescent="0.25">
      <c r="A11" s="87">
        <f>DATE(2025,8,1)</f>
        <v>45870</v>
      </c>
      <c r="B11" s="88">
        <f>'MONTHLY STATS'!$C$10*2</f>
        <v>379164</v>
      </c>
      <c r="C11" s="88">
        <f>'MONTHLY STATS'!$C$22*2</f>
        <v>220074</v>
      </c>
      <c r="D11" s="88">
        <f>'MONTHLY STATS'!$C$34*2</f>
        <v>152900</v>
      </c>
      <c r="E11" s="88">
        <f>'MONTHLY STATS'!$C$46*2</f>
        <v>666526</v>
      </c>
      <c r="F11" s="88">
        <f>'MONTHLY STATS'!$C$58*2</f>
        <v>388106</v>
      </c>
      <c r="G11" s="88">
        <f>'MONTHLY STATS'!$C$70*2</f>
        <v>194500</v>
      </c>
      <c r="H11" s="88">
        <f>'MONTHLY STATS'!$C$82*2</f>
        <v>412510</v>
      </c>
      <c r="I11" s="88">
        <f>'MONTHLY STATS'!$C$94*2</f>
        <v>461220</v>
      </c>
      <c r="J11" s="88">
        <f>'MONTHLY STATS'!$C$106*2</f>
        <v>529152</v>
      </c>
      <c r="K11" s="88">
        <f>'MONTHLY STATS'!$C$118*2</f>
        <v>688408</v>
      </c>
      <c r="L11" s="88">
        <f>'MONTHLY STATS'!$C$130*2</f>
        <v>86952</v>
      </c>
      <c r="M11" s="88">
        <f>'MONTHLY STATS'!$C$142*2</f>
        <v>675876</v>
      </c>
      <c r="N11" s="88">
        <f>'MONTHLY STATS'!$C$154*2</f>
        <v>130530</v>
      </c>
      <c r="O11" s="89">
        <f t="shared" si="0"/>
        <v>4985918</v>
      </c>
      <c r="P11" s="82"/>
    </row>
    <row r="12" spans="1:16" ht="15.75" x14ac:dyDescent="0.25">
      <c r="A12" s="87">
        <f>DATE(2025,9,1)</f>
        <v>45901</v>
      </c>
      <c r="B12" s="88">
        <f>'MONTHLY STATS'!$C$11*2</f>
        <v>320658</v>
      </c>
      <c r="C12" s="88">
        <f>'MONTHLY STATS'!$C$23*2</f>
        <v>200200</v>
      </c>
      <c r="D12" s="88">
        <f>'MONTHLY STATS'!$C$35*2</f>
        <v>128708</v>
      </c>
      <c r="E12" s="88">
        <f>'MONTHLY STATS'!$C$47*2</f>
        <v>588762</v>
      </c>
      <c r="F12" s="88">
        <f>'MONTHLY STATS'!$C$59*2</f>
        <v>348858</v>
      </c>
      <c r="G12" s="88">
        <f>'MONTHLY STATS'!$C$71*2</f>
        <v>179536</v>
      </c>
      <c r="H12" s="88">
        <f>'MONTHLY STATS'!$C$83*2</f>
        <v>389766</v>
      </c>
      <c r="I12" s="88">
        <f>'MONTHLY STATS'!$C$95*2</f>
        <v>408932</v>
      </c>
      <c r="J12" s="88">
        <f>'MONTHLY STATS'!$C$107*2</f>
        <v>458130</v>
      </c>
      <c r="K12" s="88">
        <f>'MONTHLY STATS'!$C$119*2</f>
        <v>615346</v>
      </c>
      <c r="L12" s="88">
        <f>'MONTHLY STATS'!$C$131*2</f>
        <v>77698</v>
      </c>
      <c r="M12" s="88">
        <f>'MONTHLY STATS'!$C$143*2</f>
        <v>599366</v>
      </c>
      <c r="N12" s="88">
        <f>'MONTHLY STATS'!$C$155*2</f>
        <v>117132</v>
      </c>
      <c r="O12" s="89">
        <f t="shared" si="0"/>
        <v>4433092</v>
      </c>
      <c r="P12" s="82"/>
    </row>
    <row r="13" spans="1:16" ht="15.75" x14ac:dyDescent="0.25">
      <c r="A13" s="87">
        <f>DATE(2025,10,1)</f>
        <v>45931</v>
      </c>
      <c r="B13" s="88">
        <f>'MONTHLY STATS'!$C$12*2</f>
        <v>341912</v>
      </c>
      <c r="C13" s="88">
        <f>'MONTHLY STATS'!$C$24*2</f>
        <v>208068</v>
      </c>
      <c r="D13" s="88">
        <f>'MONTHLY STATS'!$C$36*2</f>
        <v>135608</v>
      </c>
      <c r="E13" s="88">
        <f>'MONTHLY STATS'!$C$48*2</f>
        <v>611944</v>
      </c>
      <c r="F13" s="88">
        <f>'MONTHLY STATS'!$C$60*2</f>
        <v>362112</v>
      </c>
      <c r="G13" s="88">
        <f>'MONTHLY STATS'!$C$72*2</f>
        <v>173322</v>
      </c>
      <c r="H13" s="88">
        <f>'MONTHLY STATS'!$C$84*2</f>
        <v>437240</v>
      </c>
      <c r="I13" s="88">
        <f>'MONTHLY STATS'!$C$96*2</f>
        <v>404242</v>
      </c>
      <c r="J13" s="88">
        <f>'MONTHLY STATS'!$C$108*2</f>
        <v>485342</v>
      </c>
      <c r="K13" s="88">
        <f>'MONTHLY STATS'!$C$120*2</f>
        <v>655792</v>
      </c>
      <c r="L13" s="88">
        <f>'MONTHLY STATS'!$C$132*2</f>
        <v>81178</v>
      </c>
      <c r="M13" s="88">
        <f>'MONTHLY STATS'!$C$144*2</f>
        <v>620254</v>
      </c>
      <c r="N13" s="88">
        <f>'MONTHLY STATS'!$C$156*2</f>
        <v>120824</v>
      </c>
      <c r="O13" s="89">
        <f t="shared" si="0"/>
        <v>4637838</v>
      </c>
      <c r="P13" s="82"/>
    </row>
    <row r="14" spans="1:16" ht="15.75" x14ac:dyDescent="0.25">
      <c r="A14" s="87">
        <f>DATE(2025,11,1)</f>
        <v>45962</v>
      </c>
      <c r="B14" s="88">
        <f>'MONTHLY STATS'!$C$13*2</f>
        <v>336526</v>
      </c>
      <c r="C14" s="88">
        <f>'MONTHLY STATS'!$C$25*2</f>
        <v>196104</v>
      </c>
      <c r="D14" s="88">
        <f>'MONTHLY STATS'!$C$37*2</f>
        <v>140876</v>
      </c>
      <c r="E14" s="88">
        <f>'MONTHLY STATS'!$C$49*2</f>
        <v>595560</v>
      </c>
      <c r="F14" s="88">
        <f>'MONTHLY STATS'!$C$61*2</f>
        <v>355388</v>
      </c>
      <c r="G14" s="88">
        <f>'MONTHLY STATS'!$C$73*2</f>
        <v>183546</v>
      </c>
      <c r="H14" s="88">
        <f>'MONTHLY STATS'!$C$85*2</f>
        <v>414026</v>
      </c>
      <c r="I14" s="88">
        <f>'MONTHLY STATS'!$C$97*2</f>
        <v>391222</v>
      </c>
      <c r="J14" s="88">
        <f>'MONTHLY STATS'!$C$109*2</f>
        <v>481988</v>
      </c>
      <c r="K14" s="88">
        <f>'MONTHLY STATS'!$C$121*2</f>
        <v>631322</v>
      </c>
      <c r="L14" s="88">
        <f>'MONTHLY STATS'!$C$133*2</f>
        <v>75170</v>
      </c>
      <c r="M14" s="88">
        <f>'MONTHLY STATS'!$C$145*2</f>
        <v>613654</v>
      </c>
      <c r="N14" s="88">
        <f>'MONTHLY STATS'!$C$157*2</f>
        <v>116420</v>
      </c>
      <c r="O14" s="89">
        <f t="shared" si="0"/>
        <v>4531802</v>
      </c>
      <c r="P14" s="82"/>
    </row>
    <row r="15" spans="1:16" ht="15.75" x14ac:dyDescent="0.25">
      <c r="A15" s="87">
        <f>DATE(2025,12,1)</f>
        <v>45992</v>
      </c>
      <c r="B15" s="88">
        <f>'MONTHLY STATS'!$C$14*2</f>
        <v>385640</v>
      </c>
      <c r="C15" s="88">
        <f>'MONTHLY STATS'!$C$26*2</f>
        <v>197812</v>
      </c>
      <c r="D15" s="88">
        <f>'MONTHLY STATS'!$C$38*2</f>
        <v>144750</v>
      </c>
      <c r="E15" s="88">
        <f>'MONTHLY STATS'!$C$50*2</f>
        <v>617522</v>
      </c>
      <c r="F15" s="88">
        <f>'MONTHLY STATS'!$C$62*2</f>
        <v>414276</v>
      </c>
      <c r="G15" s="88">
        <f>'MONTHLY STATS'!$C$74*2</f>
        <v>204252</v>
      </c>
      <c r="H15" s="88">
        <f>'MONTHLY STATS'!$C$86*2</f>
        <v>399222</v>
      </c>
      <c r="I15" s="88">
        <f>'MONTHLY STATS'!$C$98*2</f>
        <v>437136</v>
      </c>
      <c r="J15" s="88">
        <f>'MONTHLY STATS'!$C$110*2</f>
        <v>538854</v>
      </c>
      <c r="K15" s="88">
        <f>'MONTHLY STATS'!$C$122*2</f>
        <v>664840</v>
      </c>
      <c r="L15" s="88">
        <f>'MONTHLY STATS'!$C$134*2</f>
        <v>73284</v>
      </c>
      <c r="M15" s="88">
        <f>'MONTHLY STATS'!$C$146*2</f>
        <v>686872</v>
      </c>
      <c r="N15" s="88">
        <f>'MONTHLY STATS'!$C$158*2</f>
        <v>120760</v>
      </c>
      <c r="O15" s="89">
        <f t="shared" si="0"/>
        <v>4885220</v>
      </c>
      <c r="P15" s="82"/>
    </row>
    <row r="16" spans="1:16" ht="15.75" x14ac:dyDescent="0.25">
      <c r="A16" s="87">
        <f>DATE(2026,1,1)</f>
        <v>46023</v>
      </c>
      <c r="B16" s="88">
        <f>'MONTHLY STATS'!$C$15*2</f>
        <v>352458</v>
      </c>
      <c r="C16" s="88">
        <f>'MONTHLY STATS'!$C$27*2</f>
        <v>177538</v>
      </c>
      <c r="D16" s="88">
        <f>'MONTHLY STATS'!$C$39*2</f>
        <v>126228</v>
      </c>
      <c r="E16" s="88">
        <f>'MONTHLY STATS'!$C$51*2</f>
        <v>580030</v>
      </c>
      <c r="F16" s="88">
        <f>'MONTHLY STATS'!$C$63*2</f>
        <v>348750</v>
      </c>
      <c r="G16" s="88">
        <f>'MONTHLY STATS'!$C$75*2</f>
        <v>170148</v>
      </c>
      <c r="H16" s="88">
        <f>'MONTHLY STATS'!$C$87*2</f>
        <v>360550</v>
      </c>
      <c r="I16" s="88">
        <f>'MONTHLY STATS'!$C$99*2</f>
        <v>388062</v>
      </c>
      <c r="J16" s="88">
        <f>'MONTHLY STATS'!$C$111*2</f>
        <v>467176</v>
      </c>
      <c r="K16" s="88">
        <f>'MONTHLY STATS'!$C$123*2</f>
        <v>630058</v>
      </c>
      <c r="L16" s="88">
        <f>'MONTHLY STATS'!$C$135*2</f>
        <v>76668</v>
      </c>
      <c r="M16" s="88">
        <f>'MONTHLY STATS'!$C$147*2</f>
        <v>632310</v>
      </c>
      <c r="N16" s="88">
        <f>'MONTHLY STATS'!$C$159*2</f>
        <v>113980</v>
      </c>
      <c r="O16" s="89">
        <f>SUM(B16:N16)</f>
        <v>4423956</v>
      </c>
      <c r="P16" s="82"/>
    </row>
    <row r="17" spans="1:16" ht="15.75" x14ac:dyDescent="0.25">
      <c r="A17" s="87">
        <f>DATE(2026,2,1)</f>
        <v>46054</v>
      </c>
      <c r="B17" s="88">
        <f>'MONTHLY STATS'!$C$16*2</f>
        <v>359940</v>
      </c>
      <c r="C17" s="88">
        <f>'MONTHLY STATS'!$C$28*2</f>
        <v>200398</v>
      </c>
      <c r="D17" s="88">
        <f>'MONTHLY STATS'!$C$40*2</f>
        <v>147452</v>
      </c>
      <c r="E17" s="88">
        <f>'MONTHLY STATS'!$C$52*2</f>
        <v>588996</v>
      </c>
      <c r="F17" s="88">
        <f>'MONTHLY STATS'!$C$64*2</f>
        <v>360186</v>
      </c>
      <c r="G17" s="88">
        <f>'MONTHLY STATS'!$C$76*2</f>
        <v>194002</v>
      </c>
      <c r="H17" s="88">
        <f>'MONTHLY STATS'!$C$88*2</f>
        <v>360504</v>
      </c>
      <c r="I17" s="88">
        <f>'MONTHLY STATS'!$C$100*2</f>
        <v>393252</v>
      </c>
      <c r="J17" s="88">
        <f>'MONTHLY STATS'!$C$112*2</f>
        <v>490118</v>
      </c>
      <c r="K17" s="88">
        <f>'MONTHLY STATS'!$C$124*2</f>
        <v>618716</v>
      </c>
      <c r="L17" s="88">
        <f>'MONTHLY STATS'!$C$136*2</f>
        <v>78786</v>
      </c>
      <c r="M17" s="88">
        <f>'MONTHLY STATS'!$C$148*2</f>
        <v>615776</v>
      </c>
      <c r="N17" s="88">
        <f>'MONTHLY STATS'!$C$160*2</f>
        <v>116984</v>
      </c>
      <c r="O17" s="89">
        <f>SUM(B17:N17)</f>
        <v>4525110</v>
      </c>
      <c r="P17" s="82"/>
    </row>
    <row r="18" spans="1:16" ht="15.75" x14ac:dyDescent="0.25">
      <c r="A18" s="87">
        <f>DATE(2026,3,1)</f>
        <v>46082</v>
      </c>
      <c r="B18" s="88">
        <f>'MONTHLY STATS'!$C$17*2</f>
        <v>379076</v>
      </c>
      <c r="C18" s="88">
        <f>'MONTHLY STATS'!$C$29*2</f>
        <v>196878</v>
      </c>
      <c r="D18" s="88">
        <f>'MONTHLY STATS'!$C$41*2</f>
        <v>156080</v>
      </c>
      <c r="E18" s="88">
        <f>'MONTHLY STATS'!$C$53*2</f>
        <v>651488</v>
      </c>
      <c r="F18" s="88">
        <f>'MONTHLY STATS'!$C$65*2</f>
        <v>379868</v>
      </c>
      <c r="G18" s="88">
        <f>'MONTHLY STATS'!$C$77*2</f>
        <v>195784</v>
      </c>
      <c r="H18" s="88">
        <f>'MONTHLY STATS'!$C$89*2</f>
        <v>380748</v>
      </c>
      <c r="I18" s="88">
        <f>'MONTHLY STATS'!$C$101*2</f>
        <v>462734</v>
      </c>
      <c r="J18" s="88">
        <f>'MONTHLY STATS'!$C$113*2</f>
        <v>527896</v>
      </c>
      <c r="K18" s="88">
        <f>'MONTHLY STATS'!$C$125*2</f>
        <v>676586</v>
      </c>
      <c r="L18" s="88">
        <f>'MONTHLY STATS'!$C$137*2</f>
        <v>85098</v>
      </c>
      <c r="M18" s="88">
        <f>'MONTHLY STATS'!$C$149*2</f>
        <v>658566</v>
      </c>
      <c r="N18" s="88">
        <f>'MONTHLY STATS'!$C$161*2</f>
        <v>123012</v>
      </c>
      <c r="O18" s="89">
        <f>SUM(B18:N18)</f>
        <v>4873814</v>
      </c>
      <c r="P18" s="82"/>
    </row>
    <row r="19" spans="1:16" ht="15.75" x14ac:dyDescent="0.2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9"/>
      <c r="P19" s="82"/>
    </row>
    <row r="20" spans="1:16" ht="15.75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1">SUM(B10:B21)</f>
        <v>3215934</v>
      </c>
      <c r="C23" s="89">
        <f t="shared" si="1"/>
        <v>1811682</v>
      </c>
      <c r="D23" s="89">
        <f t="shared" si="1"/>
        <v>1277674</v>
      </c>
      <c r="E23" s="89">
        <f t="shared" si="1"/>
        <v>5527222</v>
      </c>
      <c r="F23" s="89">
        <f t="shared" si="1"/>
        <v>3335600</v>
      </c>
      <c r="G23" s="89">
        <f>SUM(G10:G21)</f>
        <v>1684846</v>
      </c>
      <c r="H23" s="89">
        <f t="shared" si="1"/>
        <v>3563470</v>
      </c>
      <c r="I23" s="89">
        <f>SUM(I10:I21)</f>
        <v>3779596</v>
      </c>
      <c r="J23" s="89">
        <f t="shared" si="1"/>
        <v>4491440</v>
      </c>
      <c r="K23" s="89">
        <f>SUM(K10:K21)</f>
        <v>5850222</v>
      </c>
      <c r="L23" s="89">
        <f t="shared" si="1"/>
        <v>720444</v>
      </c>
      <c r="M23" s="89">
        <f t="shared" si="1"/>
        <v>5768194</v>
      </c>
      <c r="N23" s="89">
        <f t="shared" si="1"/>
        <v>1084704</v>
      </c>
      <c r="O23" s="89">
        <f t="shared" si="1"/>
        <v>42111028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DATE(2025,7,1)</f>
        <v>45839</v>
      </c>
      <c r="B31" s="88">
        <f>'MONTHLY STATS'!$K$9*0.21</f>
        <v>2868662.3742</v>
      </c>
      <c r="C31" s="88">
        <f>'MONTHLY STATS'!$K$21*0.21</f>
        <v>1755725.4372</v>
      </c>
      <c r="D31" s="88">
        <f>'MONTHLY STATS'!$K$33*0.21</f>
        <v>1071613.5759000001</v>
      </c>
      <c r="E31" s="88">
        <f>'MONTHLY STATS'!$K$45*0.21</f>
        <v>4632434.1272999998</v>
      </c>
      <c r="F31" s="88">
        <f>'MONTHLY STATS'!$K$57*0.21</f>
        <v>3046383.8201999995</v>
      </c>
      <c r="G31" s="88">
        <f>'MONTHLY STATS'!$K$69*0.21</f>
        <v>1232192.7890999999</v>
      </c>
      <c r="H31" s="88">
        <f>'MONTHLY STATS'!$K$81*0.21</f>
        <v>2323957.5155999996</v>
      </c>
      <c r="I31" s="88">
        <f>'MONTHLY STATS'!$K$93*0.21</f>
        <v>3036431.0718</v>
      </c>
      <c r="J31" s="88">
        <f>'MONTHLY STATS'!$K$105*0.21</f>
        <v>3669881.8905000002</v>
      </c>
      <c r="K31" s="88">
        <f>'MONTHLY STATS'!$K$117*0.21</f>
        <v>4675936.7675999999</v>
      </c>
      <c r="L31" s="88">
        <f>'MONTHLY STATS'!$K$129*0.21</f>
        <v>618653.44169999997</v>
      </c>
      <c r="M31" s="88">
        <f>'MONTHLY STATS'!$K$141*0.21</f>
        <v>5378563.3292999994</v>
      </c>
      <c r="N31" s="88">
        <f>'MONTHLY STATS'!$K$153*0.21</f>
        <v>908066.38439999986</v>
      </c>
      <c r="O31" s="89">
        <f t="shared" ref="O31:O36" si="2">SUM(B31:N31)</f>
        <v>35218502.524800003</v>
      </c>
      <c r="P31" s="82"/>
    </row>
    <row r="32" spans="1:16" ht="15.75" x14ac:dyDescent="0.25">
      <c r="A32" s="87">
        <f>DATE(2025,8,1)</f>
        <v>45870</v>
      </c>
      <c r="B32" s="88">
        <f>'MONTHLY STATS'!$K$10*0.21</f>
        <v>3109937.1596999997</v>
      </c>
      <c r="C32" s="88">
        <f>'MONTHLY STATS'!$K$22*0.21</f>
        <v>1755120.5027999999</v>
      </c>
      <c r="D32" s="88">
        <f>'MONTHLY STATS'!$K$34*0.21</f>
        <v>1127483.3870999999</v>
      </c>
      <c r="E32" s="88">
        <f>'MONTHLY STATS'!$K$46*0.21</f>
        <v>4983170.1402000003</v>
      </c>
      <c r="F32" s="88">
        <f>'MONTHLY STATS'!$K$58*0.21</f>
        <v>3390595.3514999999</v>
      </c>
      <c r="G32" s="88">
        <f>'MONTHLY STATS'!$K$70*0.21</f>
        <v>1278646.3158</v>
      </c>
      <c r="H32" s="88">
        <f>'MONTHLY STATS'!$K$82*0.21</f>
        <v>2370996.7658999995</v>
      </c>
      <c r="I32" s="88">
        <f>'MONTHLY STATS'!$K$94*0.21</f>
        <v>3222442.7528999997</v>
      </c>
      <c r="J32" s="88">
        <f>'MONTHLY STATS'!$K$106*0.21</f>
        <v>3735813.1733999997</v>
      </c>
      <c r="K32" s="88">
        <f>'MONTHLY STATS'!$K$118*0.21</f>
        <v>5049494.1441000002</v>
      </c>
      <c r="L32" s="88">
        <f>'MONTHLY STATS'!$K$130*0.21</f>
        <v>634301.99699999997</v>
      </c>
      <c r="M32" s="88">
        <f>'MONTHLY STATS'!$K$142*0.21</f>
        <v>5731629.0339000002</v>
      </c>
      <c r="N32" s="88">
        <f>'MONTHLY STATS'!$K$154*0.21</f>
        <v>881846.07630000007</v>
      </c>
      <c r="O32" s="89">
        <f t="shared" si="2"/>
        <v>37271476.8006</v>
      </c>
      <c r="P32" s="82"/>
    </row>
    <row r="33" spans="1:16" ht="15.75" x14ac:dyDescent="0.25">
      <c r="A33" s="87">
        <f>DATE(2025,9,1)</f>
        <v>45901</v>
      </c>
      <c r="B33" s="88">
        <f>'MONTHLY STATS'!$K$11*0.21</f>
        <v>2539965.5882999999</v>
      </c>
      <c r="C33" s="88">
        <f>'MONTHLY STATS'!$K$23*0.21</f>
        <v>1663269.1697999998</v>
      </c>
      <c r="D33" s="88">
        <f>'MONTHLY STATS'!$K$35*0.21</f>
        <v>970767.66150000005</v>
      </c>
      <c r="E33" s="88">
        <f>'MONTHLY STATS'!$K$47*0.21</f>
        <v>4418000.9600999998</v>
      </c>
      <c r="F33" s="88">
        <f>'MONTHLY STATS'!$K$59*0.21</f>
        <v>3151143.3764999998</v>
      </c>
      <c r="G33" s="88">
        <f>'MONTHLY STATS'!$K$71*0.21</f>
        <v>1174943.8637999999</v>
      </c>
      <c r="H33" s="88">
        <f>'MONTHLY STATS'!$K$83*0.21</f>
        <v>2136883.2765000002</v>
      </c>
      <c r="I33" s="88">
        <f>'MONTHLY STATS'!$K$95*0.21</f>
        <v>2788465.3041000003</v>
      </c>
      <c r="J33" s="88">
        <f>'MONTHLY STATS'!$K$107*0.21</f>
        <v>3308799.648</v>
      </c>
      <c r="K33" s="88">
        <f>'MONTHLY STATS'!$K$119*0.21</f>
        <v>4515897.9264000002</v>
      </c>
      <c r="L33" s="88">
        <f>'MONTHLY STATS'!$K$131*0.21</f>
        <v>582705.3456</v>
      </c>
      <c r="M33" s="88">
        <f>'MONTHLY STATS'!$K$143*0.21</f>
        <v>4887908.2560000001</v>
      </c>
      <c r="N33" s="88">
        <f>'MONTHLY STATS'!$K$155*0.21</f>
        <v>729219.46019999997</v>
      </c>
      <c r="O33" s="89">
        <f t="shared" si="2"/>
        <v>32867969.836800002</v>
      </c>
      <c r="P33" s="82"/>
    </row>
    <row r="34" spans="1:16" ht="15.75" x14ac:dyDescent="0.25">
      <c r="A34" s="87">
        <f>DATE(2025,10,1)</f>
        <v>45931</v>
      </c>
      <c r="B34" s="88">
        <f>'MONTHLY STATS'!$K$12*0.21</f>
        <v>2790013.0460999999</v>
      </c>
      <c r="C34" s="88">
        <f>'MONTHLY STATS'!$K$24*0.21</f>
        <v>1661041.7879999999</v>
      </c>
      <c r="D34" s="88">
        <f>'MONTHLY STATS'!$K$36*0.21</f>
        <v>1023968.7842999999</v>
      </c>
      <c r="E34" s="88">
        <f>'MONTHLY STATS'!$K$48*0.21</f>
        <v>4836059.0921999998</v>
      </c>
      <c r="F34" s="88">
        <f>'MONTHLY STATS'!$K$60*0.21</f>
        <v>2914936.2227999996</v>
      </c>
      <c r="G34" s="88">
        <f>'MONTHLY STATS'!$K$72*0.21</f>
        <v>1127128.9616999999</v>
      </c>
      <c r="H34" s="88">
        <f>'MONTHLY STATS'!$K$84*0.21</f>
        <v>2462652.0575999999</v>
      </c>
      <c r="I34" s="88">
        <f>'MONTHLY STATS'!$K$96*0.21</f>
        <v>2741088.4724999997</v>
      </c>
      <c r="J34" s="88">
        <f>'MONTHLY STATS'!$K$108*0.21</f>
        <v>3530379.7577999998</v>
      </c>
      <c r="K34" s="88">
        <f>'MONTHLY STATS'!$K$120*0.21</f>
        <v>4759469.9607000006</v>
      </c>
      <c r="L34" s="88">
        <f>'MONTHLY STATS'!$K$132*0.21</f>
        <v>612080.67059999995</v>
      </c>
      <c r="M34" s="88">
        <f>'MONTHLY STATS'!$K$144*0.21</f>
        <v>5301386.5674000001</v>
      </c>
      <c r="N34" s="88">
        <f>'MONTHLY STATS'!$K$156*0.21</f>
        <v>861859.36829999997</v>
      </c>
      <c r="O34" s="89">
        <f t="shared" si="2"/>
        <v>34622064.75</v>
      </c>
      <c r="P34" s="82"/>
    </row>
    <row r="35" spans="1:16" ht="15.75" x14ac:dyDescent="0.25">
      <c r="A35" s="87">
        <f>DATE(2025,11,1)</f>
        <v>45962</v>
      </c>
      <c r="B35" s="88">
        <f>'MONTHLY STATS'!$K$13*0.21</f>
        <v>2780853.8226000001</v>
      </c>
      <c r="C35" s="88">
        <f>'MONTHLY STATS'!$K$25*0.21</f>
        <v>1592466.5231999999</v>
      </c>
      <c r="D35" s="88">
        <f>'MONTHLY STATS'!$K$37*0.21</f>
        <v>1051732.0274999999</v>
      </c>
      <c r="E35" s="88">
        <f>'MONTHLY STATS'!$K$49*0.21</f>
        <v>4397914.2479999997</v>
      </c>
      <c r="F35" s="88">
        <f>'MONTHLY STATS'!$K$61*0.21</f>
        <v>2905503.9068999998</v>
      </c>
      <c r="G35" s="88">
        <f>'MONTHLY STATS'!$K$73*0.21</f>
        <v>1229168.0141999999</v>
      </c>
      <c r="H35" s="88">
        <f>'MONTHLY STATS'!$K$85*0.21</f>
        <v>2231875.1301000002</v>
      </c>
      <c r="I35" s="88">
        <f>'MONTHLY STATS'!$K$97*0.21</f>
        <v>2682743.5991999996</v>
      </c>
      <c r="J35" s="88">
        <f>'MONTHLY STATS'!$K$109*0.21</f>
        <v>3354827.3955000001</v>
      </c>
      <c r="K35" s="88">
        <f>'MONTHLY STATS'!$K$121*0.21</f>
        <v>4585596.3236999996</v>
      </c>
      <c r="L35" s="88">
        <f>'MONTHLY STATS'!$K$133*0.21</f>
        <v>562712.97809999995</v>
      </c>
      <c r="M35" s="88">
        <f>'MONTHLY STATS'!$K$145*0.21</f>
        <v>5108770.2665999997</v>
      </c>
      <c r="N35" s="88">
        <f>'MONTHLY STATS'!$K$157*0.21</f>
        <v>814971.40409999993</v>
      </c>
      <c r="O35" s="89">
        <f t="shared" si="2"/>
        <v>33299135.639700003</v>
      </c>
      <c r="P35" s="82"/>
    </row>
    <row r="36" spans="1:16" ht="15.75" x14ac:dyDescent="0.25">
      <c r="A36" s="87">
        <f>DATE(2025,12,1)</f>
        <v>45992</v>
      </c>
      <c r="B36" s="88">
        <f>'MONTHLY STATS'!$K$14*0.21</f>
        <v>2961816.7634999999</v>
      </c>
      <c r="C36" s="88">
        <f>'MONTHLY STATS'!$K$26*0.21</f>
        <v>1633176.7263</v>
      </c>
      <c r="D36" s="88">
        <f>'MONTHLY STATS'!$K$38*0.21</f>
        <v>1107818.1281999999</v>
      </c>
      <c r="E36" s="88">
        <f>'MONTHLY STATS'!$K$50*0.21</f>
        <v>4659986.8413000004</v>
      </c>
      <c r="F36" s="88">
        <f>'MONTHLY STATS'!$K$62*0.21</f>
        <v>3586574.5544999996</v>
      </c>
      <c r="G36" s="88">
        <f>'MONTHLY STATS'!$K$74*0.21</f>
        <v>1277085.7722</v>
      </c>
      <c r="H36" s="88">
        <f>'MONTHLY STATS'!$K$86*0.21</f>
        <v>2216771.7977999998</v>
      </c>
      <c r="I36" s="88">
        <f>'MONTHLY STATS'!$K$98*0.21</f>
        <v>3022789.8308999995</v>
      </c>
      <c r="J36" s="88">
        <f>'MONTHLY STATS'!$K$110*0.21</f>
        <v>3628699.3071000003</v>
      </c>
      <c r="K36" s="88">
        <f>'MONTHLY STATS'!$K$122*0.21</f>
        <v>4917070.0970999999</v>
      </c>
      <c r="L36" s="88">
        <f>'MONTHLY STATS'!$K$134*0.21</f>
        <v>617015.37659999996</v>
      </c>
      <c r="M36" s="88">
        <f>'MONTHLY STATS'!$K$146*0.21</f>
        <v>5721322.7169000003</v>
      </c>
      <c r="N36" s="88">
        <f>'MONTHLY STATS'!$K$158*0.21</f>
        <v>859257.96600000001</v>
      </c>
      <c r="O36" s="89">
        <f t="shared" si="2"/>
        <v>36209385.878399998</v>
      </c>
      <c r="P36" s="82"/>
    </row>
    <row r="37" spans="1:16" ht="15.75" x14ac:dyDescent="0.25">
      <c r="A37" s="87">
        <f>DATE(2026,1,1)</f>
        <v>46023</v>
      </c>
      <c r="B37" s="88">
        <f>'MONTHLY STATS'!$K$15*0.21</f>
        <v>2950030.8894000002</v>
      </c>
      <c r="C37" s="88">
        <f>'MONTHLY STATS'!$K$27*0.21</f>
        <v>1521959.0105999999</v>
      </c>
      <c r="D37" s="88">
        <f>'MONTHLY STATS'!$K$39*0.21</f>
        <v>889604.0013</v>
      </c>
      <c r="E37" s="88">
        <f>'MONTHLY STATS'!$K$51*0.21</f>
        <v>4385390.3457000004</v>
      </c>
      <c r="F37" s="88">
        <f>'MONTHLY STATS'!$K$63*0.21</f>
        <v>3110618.8301999997</v>
      </c>
      <c r="G37" s="88">
        <f>'MONTHLY STATS'!$K$75*0.21</f>
        <v>1148338.5669</v>
      </c>
      <c r="H37" s="88">
        <f>'MONTHLY STATS'!$K$87*0.21</f>
        <v>2056196.1126000001</v>
      </c>
      <c r="I37" s="88">
        <f>'MONTHLY STATS'!$K$99*0.21</f>
        <v>2669161.2171</v>
      </c>
      <c r="J37" s="88">
        <f>'MONTHLY STATS'!$K$111*0.21</f>
        <v>3340081.0358999996</v>
      </c>
      <c r="K37" s="88">
        <f>'MONTHLY STATS'!$K$123*0.21</f>
        <v>4545149.9750999995</v>
      </c>
      <c r="L37" s="88">
        <f>'MONTHLY STATS'!$K$135*0.21</f>
        <v>617295.46829999995</v>
      </c>
      <c r="M37" s="88">
        <f>'MONTHLY STATS'!$K$147*0.21</f>
        <v>5144509.7864999995</v>
      </c>
      <c r="N37" s="88">
        <f>'MONTHLY STATS'!$K$159*0.21</f>
        <v>849646.64399999997</v>
      </c>
      <c r="O37" s="89">
        <f>SUM(B37:N37)</f>
        <v>33227981.883600004</v>
      </c>
      <c r="P37" s="82"/>
    </row>
    <row r="38" spans="1:16" ht="15.75" x14ac:dyDescent="0.25">
      <c r="A38" s="87">
        <f>DATE(2026,2,1)</f>
        <v>46054</v>
      </c>
      <c r="B38" s="88">
        <f>'MONTHLY STATS'!$K$16*0.21</f>
        <v>2905061.6783999996</v>
      </c>
      <c r="C38" s="88">
        <f>'MONTHLY STATS'!$K$28*0.21</f>
        <v>1647894.7568999999</v>
      </c>
      <c r="D38" s="88">
        <f>'MONTHLY STATS'!$K$40*0.21</f>
        <v>1104399.0111</v>
      </c>
      <c r="E38" s="88">
        <f>'MONTHLY STATS'!$K$52*0.21</f>
        <v>4360014.3761999998</v>
      </c>
      <c r="F38" s="88">
        <f>'MONTHLY STATS'!$K$64*0.21</f>
        <v>2963186.7278999998</v>
      </c>
      <c r="G38" s="88">
        <f>'MONTHLY STATS'!$K$76*0.21</f>
        <v>1320631.0697999999</v>
      </c>
      <c r="H38" s="88">
        <f>'MONTHLY STATS'!$K$88*0.21</f>
        <v>2091702.9020999998</v>
      </c>
      <c r="I38" s="88">
        <f>'MONTHLY STATS'!$K$100*0.21</f>
        <v>2715510.8673</v>
      </c>
      <c r="J38" s="88">
        <f>'MONTHLY STATS'!$K$112*0.21</f>
        <v>3362298.3051</v>
      </c>
      <c r="K38" s="88">
        <f>'MONTHLY STATS'!$K$124*0.21</f>
        <v>4560932.7372000003</v>
      </c>
      <c r="L38" s="88">
        <f>'MONTHLY STATS'!$K$136*0.21</f>
        <v>595115.74290000007</v>
      </c>
      <c r="M38" s="88">
        <f>'MONTHLY STATS'!$K$148*0.21</f>
        <v>5261449.5296999998</v>
      </c>
      <c r="N38" s="88">
        <f>'MONTHLY STATS'!$K$160*0.21</f>
        <v>848272.88069999998</v>
      </c>
      <c r="O38" s="89">
        <f>SUM(B38:N38)</f>
        <v>33736470.585300006</v>
      </c>
      <c r="P38" s="82"/>
    </row>
    <row r="39" spans="1:16" ht="15.75" x14ac:dyDescent="0.25">
      <c r="A39" s="87">
        <f>DATE(2026,3,1)</f>
        <v>46082</v>
      </c>
      <c r="B39" s="88">
        <f>'MONTHLY STATS'!$K$17*0.21</f>
        <v>3022733.5949999997</v>
      </c>
      <c r="C39" s="88">
        <f>'MONTHLY STATS'!$K$29*0.21</f>
        <v>1787562.2058000001</v>
      </c>
      <c r="D39" s="88">
        <f>'MONTHLY STATS'!$K$41*0.21</f>
        <v>1180618.7799</v>
      </c>
      <c r="E39" s="88">
        <f>'MONTHLY STATS'!$K$53*0.21</f>
        <v>4866776.1092999997</v>
      </c>
      <c r="F39" s="88">
        <f>'MONTHLY STATS'!$K$65*0.21</f>
        <v>3354251.4683999997</v>
      </c>
      <c r="G39" s="88">
        <f>'MONTHLY STATS'!$K$77*0.21</f>
        <v>1377812.2742999999</v>
      </c>
      <c r="H39" s="88">
        <f>'MONTHLY STATS'!$K$89*0.21</f>
        <v>2335628.0387999997</v>
      </c>
      <c r="I39" s="88">
        <f>'MONTHLY STATS'!$K$101*0.21</f>
        <v>3130166.7683999995</v>
      </c>
      <c r="J39" s="88">
        <f>'MONTHLY STATS'!$K$113*0.21</f>
        <v>3561212.9763000002</v>
      </c>
      <c r="K39" s="88">
        <f>'MONTHLY STATS'!$K$125*0.21</f>
        <v>5216569.2788999993</v>
      </c>
      <c r="L39" s="88">
        <f>'MONTHLY STATS'!$K$137*0.21</f>
        <v>652004.96129999997</v>
      </c>
      <c r="M39" s="88">
        <f>'MONTHLY STATS'!$K$149*0.21</f>
        <v>5369853.1634999998</v>
      </c>
      <c r="N39" s="88">
        <f>'MONTHLY STATS'!$K$161*0.21</f>
        <v>918047.70330000005</v>
      </c>
      <c r="O39" s="89">
        <f>SUM(B39:N39)</f>
        <v>36773237.323200002</v>
      </c>
      <c r="P39" s="82"/>
    </row>
    <row r="40" spans="1:16" ht="15.75" x14ac:dyDescent="0.2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9"/>
      <c r="P40" s="82"/>
    </row>
    <row r="41" spans="1:16" ht="15.75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3">SUM(B31:B42)</f>
        <v>25929074.917199999</v>
      </c>
      <c r="C44" s="89">
        <f t="shared" si="3"/>
        <v>15018216.1206</v>
      </c>
      <c r="D44" s="89">
        <f t="shared" si="3"/>
        <v>9528005.3567999993</v>
      </c>
      <c r="E44" s="89">
        <f t="shared" si="3"/>
        <v>41539746.2403</v>
      </c>
      <c r="F44" s="89">
        <f t="shared" si="3"/>
        <v>28423194.258899994</v>
      </c>
      <c r="G44" s="89">
        <f t="shared" si="3"/>
        <v>11165947.627799999</v>
      </c>
      <c r="H44" s="89">
        <f t="shared" si="3"/>
        <v>20226663.596999999</v>
      </c>
      <c r="I44" s="89">
        <f>SUM(I31:I42)</f>
        <v>26008799.884199996</v>
      </c>
      <c r="J44" s="89">
        <f t="shared" si="3"/>
        <v>31491993.489600003</v>
      </c>
      <c r="K44" s="89">
        <f>SUM(K31:K42)</f>
        <v>42826117.2108</v>
      </c>
      <c r="L44" s="89">
        <f t="shared" si="3"/>
        <v>5491885.9820999997</v>
      </c>
      <c r="M44" s="89">
        <f t="shared" si="3"/>
        <v>47905392.649799988</v>
      </c>
      <c r="N44" s="89">
        <f t="shared" si="3"/>
        <v>7671187.8872999996</v>
      </c>
      <c r="O44" s="89">
        <f t="shared" si="3"/>
        <v>313226225.22240001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70"/>
  <sheetViews>
    <sheetView showOutlineSymbols="0" topLeftCell="A137" zoomScaleNormal="100" workbookViewId="0">
      <selection activeCell="E167" sqref="E167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75</v>
      </c>
      <c r="B3" s="116"/>
      <c r="C3" s="199"/>
      <c r="D3" s="199"/>
      <c r="E3" s="199"/>
      <c r="F3" s="116"/>
      <c r="G3" s="209"/>
    </row>
    <row r="4" spans="1:8" x14ac:dyDescent="0.2">
      <c r="A4" s="283" t="s">
        <v>76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DATE(2025,7,1)</f>
        <v>45839</v>
      </c>
      <c r="C9" s="203">
        <v>15157408</v>
      </c>
      <c r="D9" s="203">
        <v>2471172.5</v>
      </c>
      <c r="E9" s="203">
        <v>2142172</v>
      </c>
      <c r="F9" s="131">
        <f t="shared" ref="F9:F17" si="0">(+D9-E9)/E9</f>
        <v>0.15358267216638066</v>
      </c>
      <c r="G9" s="214">
        <f t="shared" ref="G9:G17" si="1">D9/C9</f>
        <v>0.16303397652157942</v>
      </c>
      <c r="H9" s="122"/>
    </row>
    <row r="10" spans="1:8" ht="15.75" x14ac:dyDescent="0.25">
      <c r="A10" s="129"/>
      <c r="B10" s="130">
        <f>DATE(2025,8,1)</f>
        <v>45870</v>
      </c>
      <c r="C10" s="203">
        <v>15784114</v>
      </c>
      <c r="D10" s="203">
        <v>2783309</v>
      </c>
      <c r="E10" s="203">
        <v>2238159.9</v>
      </c>
      <c r="F10" s="131">
        <f t="shared" si="0"/>
        <v>0.24357022034037878</v>
      </c>
      <c r="G10" s="214">
        <f t="shared" si="1"/>
        <v>0.17633609336577269</v>
      </c>
      <c r="H10" s="122"/>
    </row>
    <row r="11" spans="1:8" ht="15.75" x14ac:dyDescent="0.25">
      <c r="A11" s="129"/>
      <c r="B11" s="130">
        <f>DATE(2025,9,1)</f>
        <v>45901</v>
      </c>
      <c r="C11" s="203">
        <v>14041863</v>
      </c>
      <c r="D11" s="203">
        <v>2434170</v>
      </c>
      <c r="E11" s="203">
        <v>1892412</v>
      </c>
      <c r="F11" s="131">
        <f t="shared" si="0"/>
        <v>0.28627909778631716</v>
      </c>
      <c r="G11" s="214">
        <f t="shared" si="1"/>
        <v>0.17335092928908366</v>
      </c>
      <c r="H11" s="122"/>
    </row>
    <row r="12" spans="1:8" ht="15.75" x14ac:dyDescent="0.25">
      <c r="A12" s="129"/>
      <c r="B12" s="130">
        <f>DATE(2025,10,1)</f>
        <v>45931</v>
      </c>
      <c r="C12" s="203">
        <v>14624061</v>
      </c>
      <c r="D12" s="203">
        <v>2183432.5</v>
      </c>
      <c r="E12" s="203">
        <v>1986740.5</v>
      </c>
      <c r="F12" s="131">
        <f t="shared" si="0"/>
        <v>9.9002360902191305E-2</v>
      </c>
      <c r="G12" s="214">
        <f t="shared" si="1"/>
        <v>0.14930411600443955</v>
      </c>
      <c r="H12" s="122"/>
    </row>
    <row r="13" spans="1:8" ht="15.75" x14ac:dyDescent="0.25">
      <c r="A13" s="129"/>
      <c r="B13" s="130">
        <f>DATE(2025,11,1)</f>
        <v>45962</v>
      </c>
      <c r="C13" s="203">
        <v>14072429</v>
      </c>
      <c r="D13" s="203">
        <v>2351476</v>
      </c>
      <c r="E13" s="203">
        <v>2262943</v>
      </c>
      <c r="F13" s="131">
        <f t="shared" si="0"/>
        <v>3.9122947418472317E-2</v>
      </c>
      <c r="G13" s="214">
        <f t="shared" si="1"/>
        <v>0.16709808946273597</v>
      </c>
      <c r="H13" s="122"/>
    </row>
    <row r="14" spans="1:8" ht="15.75" x14ac:dyDescent="0.25">
      <c r="A14" s="129"/>
      <c r="B14" s="130">
        <f>DATE(2025,12,1)</f>
        <v>45992</v>
      </c>
      <c r="C14" s="203">
        <v>13580516.01</v>
      </c>
      <c r="D14" s="203">
        <v>2279114.5099999998</v>
      </c>
      <c r="E14" s="203">
        <v>2146361.5</v>
      </c>
      <c r="F14" s="131">
        <f t="shared" si="0"/>
        <v>6.1850256818341075E-2</v>
      </c>
      <c r="G14" s="214">
        <f t="shared" si="1"/>
        <v>0.1678223793795299</v>
      </c>
      <c r="H14" s="122"/>
    </row>
    <row r="15" spans="1:8" ht="15.75" x14ac:dyDescent="0.25">
      <c r="A15" s="129"/>
      <c r="B15" s="130">
        <f>DATE(2026,1,1)</f>
        <v>46023</v>
      </c>
      <c r="C15" s="203">
        <v>13201896</v>
      </c>
      <c r="D15" s="203">
        <v>2824843</v>
      </c>
      <c r="E15" s="203">
        <v>2195138.5</v>
      </c>
      <c r="F15" s="131">
        <f t="shared" si="0"/>
        <v>0.28686322070338616</v>
      </c>
      <c r="G15" s="214">
        <f t="shared" si="1"/>
        <v>0.21397252334058683</v>
      </c>
      <c r="H15" s="122"/>
    </row>
    <row r="16" spans="1:8" ht="15.75" x14ac:dyDescent="0.25">
      <c r="A16" s="129"/>
      <c r="B16" s="130">
        <f>DATE(2026,2,1)</f>
        <v>46054</v>
      </c>
      <c r="C16" s="203">
        <v>13199383</v>
      </c>
      <c r="D16" s="203">
        <v>2628888</v>
      </c>
      <c r="E16" s="203">
        <v>1852081</v>
      </c>
      <c r="F16" s="131">
        <f t="shared" si="0"/>
        <v>0.41942388048902829</v>
      </c>
      <c r="G16" s="214">
        <f t="shared" si="1"/>
        <v>0.19916749138955964</v>
      </c>
      <c r="H16" s="122"/>
    </row>
    <row r="17" spans="1:8" ht="15.75" x14ac:dyDescent="0.25">
      <c r="A17" s="129"/>
      <c r="B17" s="130">
        <f>DATE(2026,3,1)</f>
        <v>46082</v>
      </c>
      <c r="C17" s="203">
        <v>14067045.1</v>
      </c>
      <c r="D17" s="203">
        <v>2013768.6</v>
      </c>
      <c r="E17" s="203">
        <v>3265395</v>
      </c>
      <c r="F17" s="131">
        <f t="shared" si="0"/>
        <v>-0.38330015204898638</v>
      </c>
      <c r="G17" s="214">
        <f t="shared" si="1"/>
        <v>0.1431550539352433</v>
      </c>
      <c r="H17" s="122"/>
    </row>
    <row r="18" spans="1:8" ht="15.75" thickBot="1" x14ac:dyDescent="0.25">
      <c r="A18" s="132"/>
      <c r="B18" s="133"/>
      <c r="C18" s="203"/>
      <c r="D18" s="203"/>
      <c r="E18" s="203"/>
      <c r="F18" s="131"/>
      <c r="G18" s="214"/>
      <c r="H18" s="122"/>
    </row>
    <row r="19" spans="1:8" ht="17.25" thickTop="1" thickBot="1" x14ac:dyDescent="0.3">
      <c r="A19" s="134" t="s">
        <v>14</v>
      </c>
      <c r="B19" s="135"/>
      <c r="C19" s="200">
        <f>SUM(C9:C18)</f>
        <v>127728715.11</v>
      </c>
      <c r="D19" s="200">
        <f>SUM(D9:D18)</f>
        <v>21970174.109999999</v>
      </c>
      <c r="E19" s="200">
        <f>SUM(E9:E18)</f>
        <v>19981403.399999999</v>
      </c>
      <c r="F19" s="136">
        <f>(+D19-E19)/E19</f>
        <v>9.9531082486428404E-2</v>
      </c>
      <c r="G19" s="211">
        <f>D19/C19</f>
        <v>0.17200653816238018</v>
      </c>
      <c r="H19" s="122"/>
    </row>
    <row r="20" spans="1:8" ht="15.75" customHeight="1" thickTop="1" x14ac:dyDescent="0.25">
      <c r="A20" s="137"/>
      <c r="B20" s="138"/>
      <c r="C20" s="204"/>
      <c r="D20" s="204"/>
      <c r="E20" s="204"/>
      <c r="F20" s="139"/>
      <c r="G20" s="215"/>
      <c r="H20" s="122"/>
    </row>
    <row r="21" spans="1:8" ht="15.75" x14ac:dyDescent="0.25">
      <c r="A21" s="19" t="s">
        <v>15</v>
      </c>
      <c r="B21" s="130">
        <f>DATE(2025,7,1)</f>
        <v>45839</v>
      </c>
      <c r="C21" s="203">
        <v>2659383</v>
      </c>
      <c r="D21" s="203">
        <v>660688.5</v>
      </c>
      <c r="E21" s="203">
        <v>481789</v>
      </c>
      <c r="F21" s="131">
        <f t="shared" ref="F21:F29" si="2">(+D21-E21)/E21</f>
        <v>0.37132333863994404</v>
      </c>
      <c r="G21" s="214">
        <f t="shared" ref="G21:G29" si="3">D21/C21</f>
        <v>0.24843676145933097</v>
      </c>
      <c r="H21" s="122"/>
    </row>
    <row r="22" spans="1:8" ht="15.75" x14ac:dyDescent="0.25">
      <c r="A22" s="19"/>
      <c r="B22" s="130">
        <f>DATE(2025,8,1)</f>
        <v>45870</v>
      </c>
      <c r="C22" s="203">
        <v>2981006</v>
      </c>
      <c r="D22" s="203">
        <v>701335</v>
      </c>
      <c r="E22" s="203">
        <v>713769.5</v>
      </c>
      <c r="F22" s="131">
        <f t="shared" si="2"/>
        <v>-1.7420890077258836E-2</v>
      </c>
      <c r="G22" s="214">
        <f t="shared" si="3"/>
        <v>0.23526789278518728</v>
      </c>
      <c r="H22" s="122"/>
    </row>
    <row r="23" spans="1:8" ht="15.75" x14ac:dyDescent="0.25">
      <c r="A23" s="19"/>
      <c r="B23" s="130">
        <f>DATE(2025,9,1)</f>
        <v>45901</v>
      </c>
      <c r="C23" s="203">
        <v>2576166</v>
      </c>
      <c r="D23" s="203">
        <v>579552.5</v>
      </c>
      <c r="E23" s="203">
        <v>548040</v>
      </c>
      <c r="F23" s="131">
        <f t="shared" si="2"/>
        <v>5.7500364936865923E-2</v>
      </c>
      <c r="G23" s="214">
        <f t="shared" si="3"/>
        <v>0.22496706345786724</v>
      </c>
      <c r="H23" s="122"/>
    </row>
    <row r="24" spans="1:8" ht="15.75" x14ac:dyDescent="0.25">
      <c r="A24" s="19"/>
      <c r="B24" s="130">
        <f>DATE(2025,10,1)</f>
        <v>45931</v>
      </c>
      <c r="C24" s="203">
        <v>2742922</v>
      </c>
      <c r="D24" s="203">
        <v>741986.5</v>
      </c>
      <c r="E24" s="203">
        <v>525427.5</v>
      </c>
      <c r="F24" s="131">
        <f t="shared" si="2"/>
        <v>0.41215771919056388</v>
      </c>
      <c r="G24" s="214">
        <f t="shared" si="3"/>
        <v>0.27050951503542575</v>
      </c>
      <c r="H24" s="122"/>
    </row>
    <row r="25" spans="1:8" ht="15.75" x14ac:dyDescent="0.25">
      <c r="A25" s="19"/>
      <c r="B25" s="130">
        <f>DATE(2025,11,1)</f>
        <v>45962</v>
      </c>
      <c r="C25" s="203">
        <v>2884058</v>
      </c>
      <c r="D25" s="203">
        <v>789817.85</v>
      </c>
      <c r="E25" s="203">
        <v>841667.5</v>
      </c>
      <c r="F25" s="131">
        <f t="shared" si="2"/>
        <v>-6.1603483560907391E-2</v>
      </c>
      <c r="G25" s="214">
        <f t="shared" si="3"/>
        <v>0.27385643769993528</v>
      </c>
      <c r="H25" s="122"/>
    </row>
    <row r="26" spans="1:8" ht="15.75" x14ac:dyDescent="0.25">
      <c r="A26" s="19"/>
      <c r="B26" s="130">
        <f>DATE(2025,12,1)</f>
        <v>45992</v>
      </c>
      <c r="C26" s="203">
        <v>3229577</v>
      </c>
      <c r="D26" s="203">
        <v>799081</v>
      </c>
      <c r="E26" s="203">
        <v>733146</v>
      </c>
      <c r="F26" s="131">
        <f t="shared" si="2"/>
        <v>8.993433777173987E-2</v>
      </c>
      <c r="G26" s="214">
        <f t="shared" si="3"/>
        <v>0.24742590128676295</v>
      </c>
      <c r="H26" s="122"/>
    </row>
    <row r="27" spans="1:8" ht="15.75" x14ac:dyDescent="0.25">
      <c r="A27" s="19"/>
      <c r="B27" s="130">
        <f>DATE(2026,1,1)</f>
        <v>46023</v>
      </c>
      <c r="C27" s="203">
        <v>2842808</v>
      </c>
      <c r="D27" s="203">
        <v>855760.35</v>
      </c>
      <c r="E27" s="203">
        <v>505460.5</v>
      </c>
      <c r="F27" s="131">
        <f t="shared" si="2"/>
        <v>0.69303110727742323</v>
      </c>
      <c r="G27" s="214">
        <f t="shared" si="3"/>
        <v>0.3010264323162169</v>
      </c>
      <c r="H27" s="122"/>
    </row>
    <row r="28" spans="1:8" ht="15.75" x14ac:dyDescent="0.25">
      <c r="A28" s="19"/>
      <c r="B28" s="130">
        <f>DATE(2026,2,1)</f>
        <v>46054</v>
      </c>
      <c r="C28" s="203">
        <v>2487577</v>
      </c>
      <c r="D28" s="203">
        <v>681487.05</v>
      </c>
      <c r="E28" s="203">
        <v>741266.5</v>
      </c>
      <c r="F28" s="131">
        <f t="shared" si="2"/>
        <v>-8.0645017682574288E-2</v>
      </c>
      <c r="G28" s="214">
        <f t="shared" si="3"/>
        <v>0.27395616296500575</v>
      </c>
      <c r="H28" s="122"/>
    </row>
    <row r="29" spans="1:8" ht="15.75" x14ac:dyDescent="0.25">
      <c r="A29" s="19"/>
      <c r="B29" s="130">
        <f>DATE(2026,3,1)</f>
        <v>46082</v>
      </c>
      <c r="C29" s="203">
        <v>3033296</v>
      </c>
      <c r="D29" s="203">
        <v>623718.44999999995</v>
      </c>
      <c r="E29" s="203">
        <v>706716.5</v>
      </c>
      <c r="F29" s="131">
        <f t="shared" si="2"/>
        <v>-0.11744178889271729</v>
      </c>
      <c r="G29" s="214">
        <f t="shared" si="3"/>
        <v>0.2056239977898629</v>
      </c>
      <c r="H29" s="122"/>
    </row>
    <row r="30" spans="1:8" ht="15.75" thickBot="1" x14ac:dyDescent="0.25">
      <c r="A30" s="132"/>
      <c r="B30" s="130"/>
      <c r="C30" s="203"/>
      <c r="D30" s="203"/>
      <c r="E30" s="203"/>
      <c r="F30" s="131"/>
      <c r="G30" s="214"/>
      <c r="H30" s="122"/>
    </row>
    <row r="31" spans="1:8" ht="17.25" thickTop="1" thickBot="1" x14ac:dyDescent="0.3">
      <c r="A31" s="134" t="s">
        <v>14</v>
      </c>
      <c r="B31" s="135"/>
      <c r="C31" s="200">
        <f>SUM(C21:C30)</f>
        <v>25436793</v>
      </c>
      <c r="D31" s="200">
        <f>SUM(D21:D30)</f>
        <v>6433427.1999999993</v>
      </c>
      <c r="E31" s="200">
        <f>SUM(E21:E30)</f>
        <v>5797283</v>
      </c>
      <c r="F31" s="136">
        <f>(+D31-E31)/E31</f>
        <v>0.10973143798569075</v>
      </c>
      <c r="G31" s="211">
        <f>D31/C31</f>
        <v>0.25291817250704518</v>
      </c>
      <c r="H31" s="122"/>
    </row>
    <row r="32" spans="1:8" ht="15.75" customHeight="1" thickTop="1" x14ac:dyDescent="0.25">
      <c r="A32" s="254"/>
      <c r="B32" s="138"/>
      <c r="C32" s="204"/>
      <c r="D32" s="204"/>
      <c r="E32" s="204"/>
      <c r="F32" s="139"/>
      <c r="G32" s="218"/>
      <c r="H32" s="122"/>
    </row>
    <row r="33" spans="1:8" ht="15.75" x14ac:dyDescent="0.25">
      <c r="A33" s="19" t="s">
        <v>62</v>
      </c>
      <c r="B33" s="130">
        <f>DATE(2025,7,1)</f>
        <v>45839</v>
      </c>
      <c r="C33" s="203">
        <v>1369130</v>
      </c>
      <c r="D33" s="203">
        <v>348272</v>
      </c>
      <c r="E33" s="203">
        <v>281475</v>
      </c>
      <c r="F33" s="131">
        <f t="shared" ref="F33:F41" si="4">(+D33-E33)/E33</f>
        <v>0.23731059596767032</v>
      </c>
      <c r="G33" s="214">
        <f t="shared" ref="G33:G41" si="5">D33/C33</f>
        <v>0.25437467588906826</v>
      </c>
      <c r="H33" s="122"/>
    </row>
    <row r="34" spans="1:8" ht="15.75" x14ac:dyDescent="0.25">
      <c r="A34" s="19"/>
      <c r="B34" s="130">
        <f>DATE(2025,8,1)</f>
        <v>45870</v>
      </c>
      <c r="C34" s="203">
        <v>1473657</v>
      </c>
      <c r="D34" s="203">
        <v>338220.5</v>
      </c>
      <c r="E34" s="203">
        <v>304278.5</v>
      </c>
      <c r="F34" s="131">
        <f t="shared" si="4"/>
        <v>0.11154912358250747</v>
      </c>
      <c r="G34" s="214">
        <f t="shared" si="5"/>
        <v>0.2295110056139251</v>
      </c>
      <c r="H34" s="122"/>
    </row>
    <row r="35" spans="1:8" ht="15.75" x14ac:dyDescent="0.25">
      <c r="A35" s="19"/>
      <c r="B35" s="130">
        <f>DATE(2025,9,1)</f>
        <v>45901</v>
      </c>
      <c r="C35" s="203">
        <v>1169185</v>
      </c>
      <c r="D35" s="203">
        <v>224864</v>
      </c>
      <c r="E35" s="203">
        <v>260316</v>
      </c>
      <c r="F35" s="131">
        <f t="shared" si="4"/>
        <v>-0.1361883249588961</v>
      </c>
      <c r="G35" s="214">
        <f t="shared" si="5"/>
        <v>0.19232542326492386</v>
      </c>
      <c r="H35" s="122"/>
    </row>
    <row r="36" spans="1:8" ht="15.75" x14ac:dyDescent="0.25">
      <c r="A36" s="19"/>
      <c r="B36" s="130">
        <f>DATE(2025,10,1)</f>
        <v>45931</v>
      </c>
      <c r="C36" s="203">
        <v>1255924</v>
      </c>
      <c r="D36" s="203">
        <v>281184</v>
      </c>
      <c r="E36" s="203">
        <v>198689</v>
      </c>
      <c r="F36" s="131">
        <f t="shared" si="4"/>
        <v>0.41519661380348183</v>
      </c>
      <c r="G36" s="214">
        <f t="shared" si="5"/>
        <v>0.22388615871661025</v>
      </c>
      <c r="H36" s="122"/>
    </row>
    <row r="37" spans="1:8" ht="15.75" x14ac:dyDescent="0.25">
      <c r="A37" s="19"/>
      <c r="B37" s="130">
        <f>DATE(2025,11,1)</f>
        <v>45962</v>
      </c>
      <c r="C37" s="203">
        <v>1219942</v>
      </c>
      <c r="D37" s="203">
        <v>312142.5</v>
      </c>
      <c r="E37" s="203">
        <v>414768.5</v>
      </c>
      <c r="F37" s="131">
        <f t="shared" si="4"/>
        <v>-0.24742959024130329</v>
      </c>
      <c r="G37" s="214">
        <f t="shared" si="5"/>
        <v>0.25586667234999699</v>
      </c>
      <c r="H37" s="122"/>
    </row>
    <row r="38" spans="1:8" ht="15.75" x14ac:dyDescent="0.25">
      <c r="A38" s="19"/>
      <c r="B38" s="130">
        <f>DATE(2025,12,1)</f>
        <v>45992</v>
      </c>
      <c r="C38" s="203">
        <v>1302288</v>
      </c>
      <c r="D38" s="203">
        <v>326497.5</v>
      </c>
      <c r="E38" s="203">
        <v>415414</v>
      </c>
      <c r="F38" s="131">
        <f t="shared" si="4"/>
        <v>-0.21404309917335476</v>
      </c>
      <c r="G38" s="214">
        <f t="shared" si="5"/>
        <v>0.25071067229368621</v>
      </c>
      <c r="H38" s="122"/>
    </row>
    <row r="39" spans="1:8" ht="15.75" x14ac:dyDescent="0.25">
      <c r="A39" s="19"/>
      <c r="B39" s="130">
        <f>DATE(2026,1,1)</f>
        <v>46023</v>
      </c>
      <c r="C39" s="203">
        <v>1218617</v>
      </c>
      <c r="D39" s="203">
        <v>244975</v>
      </c>
      <c r="E39" s="203">
        <v>300101.5</v>
      </c>
      <c r="F39" s="131">
        <f t="shared" si="4"/>
        <v>-0.18369285058555188</v>
      </c>
      <c r="G39" s="214">
        <f t="shared" si="5"/>
        <v>0.20102706592801511</v>
      </c>
      <c r="H39" s="122"/>
    </row>
    <row r="40" spans="1:8" ht="15.75" x14ac:dyDescent="0.25">
      <c r="A40" s="19"/>
      <c r="B40" s="130">
        <f>DATE(2026,2,1)</f>
        <v>46054</v>
      </c>
      <c r="C40" s="203">
        <v>1274468</v>
      </c>
      <c r="D40" s="203">
        <v>332769.5</v>
      </c>
      <c r="E40" s="203">
        <v>265795</v>
      </c>
      <c r="F40" s="131">
        <f t="shared" si="4"/>
        <v>0.25197802817961212</v>
      </c>
      <c r="G40" s="214">
        <f t="shared" si="5"/>
        <v>0.26110463346274682</v>
      </c>
      <c r="H40" s="122"/>
    </row>
    <row r="41" spans="1:8" ht="15.75" x14ac:dyDescent="0.25">
      <c r="A41" s="19"/>
      <c r="B41" s="130">
        <f>DATE(2026,3,1)</f>
        <v>46082</v>
      </c>
      <c r="C41" s="203">
        <v>1395464</v>
      </c>
      <c r="D41" s="203">
        <v>428085</v>
      </c>
      <c r="E41" s="203">
        <v>418753.5</v>
      </c>
      <c r="F41" s="131">
        <f t="shared" si="4"/>
        <v>2.2283992850209013E-2</v>
      </c>
      <c r="G41" s="214">
        <f t="shared" si="5"/>
        <v>0.30676893133753363</v>
      </c>
      <c r="H41" s="122"/>
    </row>
    <row r="42" spans="1:8" ht="15.75" thickBot="1" x14ac:dyDescent="0.25">
      <c r="A42" s="132"/>
      <c r="B42" s="130"/>
      <c r="C42" s="203"/>
      <c r="D42" s="203"/>
      <c r="E42" s="203"/>
      <c r="F42" s="131"/>
      <c r="G42" s="214"/>
      <c r="H42" s="122"/>
    </row>
    <row r="43" spans="1:8" ht="17.25" thickTop="1" thickBot="1" x14ac:dyDescent="0.3">
      <c r="A43" s="140" t="s">
        <v>14</v>
      </c>
      <c r="B43" s="141"/>
      <c r="C43" s="205">
        <f>SUM(C33:C42)</f>
        <v>11678675</v>
      </c>
      <c r="D43" s="205">
        <f>SUM(D33:D42)</f>
        <v>2837010</v>
      </c>
      <c r="E43" s="205">
        <f>SUM(E33:E42)</f>
        <v>2859591</v>
      </c>
      <c r="F43" s="142">
        <f>(+D43-E43)/E43</f>
        <v>-7.896583812160551E-3</v>
      </c>
      <c r="G43" s="216">
        <f>D43/C43</f>
        <v>0.2429222493133853</v>
      </c>
      <c r="H43" s="122"/>
    </row>
    <row r="44" spans="1:8" ht="15.75" thickTop="1" x14ac:dyDescent="0.2">
      <c r="A44" s="132"/>
      <c r="B44" s="133"/>
      <c r="C44" s="203"/>
      <c r="D44" s="203"/>
      <c r="E44" s="203"/>
      <c r="F44" s="131"/>
      <c r="G44" s="217"/>
      <c r="H44" s="122"/>
    </row>
    <row r="45" spans="1:8" ht="15.75" x14ac:dyDescent="0.25">
      <c r="A45" s="176" t="s">
        <v>58</v>
      </c>
      <c r="B45" s="130">
        <f>DATE(2025,7,1)</f>
        <v>45839</v>
      </c>
      <c r="C45" s="203">
        <v>16216115</v>
      </c>
      <c r="D45" s="203">
        <v>2993259</v>
      </c>
      <c r="E45" s="203">
        <v>2924457.34</v>
      </c>
      <c r="F45" s="131">
        <f t="shared" ref="F45:F53" si="6">(+D45-E45)/E45</f>
        <v>2.3526299754470056E-2</v>
      </c>
      <c r="G45" s="214">
        <f t="shared" ref="G45:G53" si="7">D45/C45</f>
        <v>0.18458545712089486</v>
      </c>
      <c r="H45" s="122"/>
    </row>
    <row r="46" spans="1:8" ht="15.75" x14ac:dyDescent="0.25">
      <c r="A46" s="176"/>
      <c r="B46" s="130">
        <f>DATE(2025,8,1)</f>
        <v>45870</v>
      </c>
      <c r="C46" s="203">
        <v>18602092</v>
      </c>
      <c r="D46" s="203">
        <v>4103671.65</v>
      </c>
      <c r="E46" s="203">
        <v>4174786.65</v>
      </c>
      <c r="F46" s="131">
        <f t="shared" si="6"/>
        <v>-1.7034403422747365E-2</v>
      </c>
      <c r="G46" s="214">
        <f t="shared" si="7"/>
        <v>0.2206026961913746</v>
      </c>
      <c r="H46" s="122"/>
    </row>
    <row r="47" spans="1:8" ht="15.75" x14ac:dyDescent="0.25">
      <c r="A47" s="176"/>
      <c r="B47" s="130">
        <f>DATE(2025,9,1)</f>
        <v>45901</v>
      </c>
      <c r="C47" s="203">
        <v>14563965</v>
      </c>
      <c r="D47" s="203">
        <v>3602227.39</v>
      </c>
      <c r="E47" s="203">
        <v>3153365.16</v>
      </c>
      <c r="F47" s="131">
        <f t="shared" si="6"/>
        <v>0.14234387938756829</v>
      </c>
      <c r="G47" s="214">
        <f t="shared" si="7"/>
        <v>0.24733837179641671</v>
      </c>
      <c r="H47" s="122"/>
    </row>
    <row r="48" spans="1:8" ht="15.75" x14ac:dyDescent="0.25">
      <c r="A48" s="176"/>
      <c r="B48" s="130">
        <f>DATE(2025,10,1)</f>
        <v>45931</v>
      </c>
      <c r="C48" s="203">
        <v>16207851</v>
      </c>
      <c r="D48" s="203">
        <v>3268929.1</v>
      </c>
      <c r="E48" s="203">
        <v>3337567.1</v>
      </c>
      <c r="F48" s="131">
        <f t="shared" si="6"/>
        <v>-2.056527942164818E-2</v>
      </c>
      <c r="G48" s="214">
        <f t="shared" si="7"/>
        <v>0.20168800293141886</v>
      </c>
      <c r="H48" s="122"/>
    </row>
    <row r="49" spans="1:8" ht="15.75" x14ac:dyDescent="0.25">
      <c r="A49" s="176"/>
      <c r="B49" s="130">
        <f>DATE(2025,11,1)</f>
        <v>45962</v>
      </c>
      <c r="C49" s="203">
        <v>15972168</v>
      </c>
      <c r="D49" s="203">
        <v>3050821.8</v>
      </c>
      <c r="E49" s="203">
        <v>2609189.4300000002</v>
      </c>
      <c r="F49" s="131">
        <f t="shared" si="6"/>
        <v>0.16926037064315397</v>
      </c>
      <c r="G49" s="214">
        <f t="shared" si="7"/>
        <v>0.19100862199796545</v>
      </c>
      <c r="H49" s="122"/>
    </row>
    <row r="50" spans="1:8" ht="15.75" x14ac:dyDescent="0.25">
      <c r="A50" s="176"/>
      <c r="B50" s="130">
        <f>DATE(2025,12,1)</f>
        <v>45992</v>
      </c>
      <c r="C50" s="203">
        <v>15296289</v>
      </c>
      <c r="D50" s="203">
        <v>3391653.1</v>
      </c>
      <c r="E50" s="203">
        <v>4136219.56</v>
      </c>
      <c r="F50" s="131">
        <f t="shared" si="6"/>
        <v>-0.18001134833374269</v>
      </c>
      <c r="G50" s="214">
        <f t="shared" si="7"/>
        <v>0.22173045370677816</v>
      </c>
      <c r="H50" s="122"/>
    </row>
    <row r="51" spans="1:8" ht="15.75" x14ac:dyDescent="0.25">
      <c r="A51" s="176"/>
      <c r="B51" s="130">
        <f>DATE(2026,1,1)</f>
        <v>46023</v>
      </c>
      <c r="C51" s="203">
        <v>14702092</v>
      </c>
      <c r="D51" s="203">
        <v>2842311.53</v>
      </c>
      <c r="E51" s="203">
        <v>2940557.3</v>
      </c>
      <c r="F51" s="131">
        <f t="shared" si="6"/>
        <v>-3.3410595331708051E-2</v>
      </c>
      <c r="G51" s="214">
        <f t="shared" si="7"/>
        <v>0.19332701291761742</v>
      </c>
      <c r="H51" s="122"/>
    </row>
    <row r="52" spans="1:8" ht="15.75" x14ac:dyDescent="0.25">
      <c r="A52" s="176"/>
      <c r="B52" s="130">
        <f>DATE(2026,2,1)</f>
        <v>46054</v>
      </c>
      <c r="C52" s="203">
        <v>14815935</v>
      </c>
      <c r="D52" s="203">
        <v>3452924.69</v>
      </c>
      <c r="E52" s="203">
        <v>3148280.01</v>
      </c>
      <c r="F52" s="131">
        <f t="shared" si="6"/>
        <v>9.6765433516823748E-2</v>
      </c>
      <c r="G52" s="214">
        <f t="shared" si="7"/>
        <v>0.23305479471933427</v>
      </c>
      <c r="H52" s="122"/>
    </row>
    <row r="53" spans="1:8" ht="15.75" x14ac:dyDescent="0.25">
      <c r="A53" s="176"/>
      <c r="B53" s="130">
        <f>DATE(2026,3,1)</f>
        <v>46082</v>
      </c>
      <c r="C53" s="203">
        <v>17536168</v>
      </c>
      <c r="D53" s="203">
        <v>3448963.6</v>
      </c>
      <c r="E53" s="203">
        <v>2937266.15</v>
      </c>
      <c r="F53" s="131">
        <f t="shared" si="6"/>
        <v>0.17420874509448189</v>
      </c>
      <c r="G53" s="214">
        <f t="shared" si="7"/>
        <v>0.19667715318420764</v>
      </c>
      <c r="H53" s="122"/>
    </row>
    <row r="54" spans="1:8" ht="15.75" customHeight="1" thickBot="1" x14ac:dyDescent="0.25">
      <c r="A54" s="132"/>
      <c r="B54" s="133"/>
      <c r="C54" s="203"/>
      <c r="D54" s="203"/>
      <c r="E54" s="203"/>
      <c r="F54" s="131"/>
      <c r="G54" s="214"/>
      <c r="H54" s="122"/>
    </row>
    <row r="55" spans="1:8" ht="17.25" customHeight="1" thickTop="1" thickBot="1" x14ac:dyDescent="0.3">
      <c r="A55" s="140" t="s">
        <v>14</v>
      </c>
      <c r="B55" s="141"/>
      <c r="C55" s="205">
        <f>SUM(C45:C54)</f>
        <v>143912675</v>
      </c>
      <c r="D55" s="205">
        <f>SUM(D45:D54)</f>
        <v>30154761.860000007</v>
      </c>
      <c r="E55" s="205">
        <f>SUM(E45:E54)</f>
        <v>29361688.699999996</v>
      </c>
      <c r="F55" s="142">
        <f>(+D55-E55)/E55</f>
        <v>2.7010475048051697E-2</v>
      </c>
      <c r="G55" s="216">
        <f>D55/C55</f>
        <v>0.20953513552576247</v>
      </c>
      <c r="H55" s="122"/>
    </row>
    <row r="56" spans="1:8" ht="15.75" customHeight="1" thickTop="1" x14ac:dyDescent="0.2">
      <c r="A56" s="132"/>
      <c r="B56" s="133"/>
      <c r="C56" s="203"/>
      <c r="D56" s="203"/>
      <c r="E56" s="203"/>
      <c r="F56" s="131"/>
      <c r="G56" s="217"/>
      <c r="H56" s="122"/>
    </row>
    <row r="57" spans="1:8" ht="15" customHeight="1" x14ac:dyDescent="0.25">
      <c r="A57" s="129" t="s">
        <v>60</v>
      </c>
      <c r="B57" s="130">
        <f>DATE(2025,7,1)</f>
        <v>45839</v>
      </c>
      <c r="C57" s="203">
        <v>14883360</v>
      </c>
      <c r="D57" s="203">
        <v>3222320.5</v>
      </c>
      <c r="E57" s="203">
        <v>2983132</v>
      </c>
      <c r="F57" s="131">
        <f t="shared" ref="F57:F65" si="8">(+D57-E57)/E57</f>
        <v>8.0180327253369946E-2</v>
      </c>
      <c r="G57" s="214">
        <f t="shared" ref="G57:G65" si="9">D57/C57</f>
        <v>0.21650490883778931</v>
      </c>
      <c r="H57" s="122"/>
    </row>
    <row r="58" spans="1:8" ht="15" customHeight="1" x14ac:dyDescent="0.25">
      <c r="A58" s="129"/>
      <c r="B58" s="130">
        <f>DATE(2025,8,1)</f>
        <v>45870</v>
      </c>
      <c r="C58" s="203">
        <v>16264831</v>
      </c>
      <c r="D58" s="203">
        <v>3938155</v>
      </c>
      <c r="E58" s="203">
        <v>3594985</v>
      </c>
      <c r="F58" s="131">
        <f t="shared" si="8"/>
        <v>9.5457978266946866E-2</v>
      </c>
      <c r="G58" s="214">
        <f t="shared" si="9"/>
        <v>0.2421270162598062</v>
      </c>
      <c r="H58" s="122"/>
    </row>
    <row r="59" spans="1:8" ht="15" customHeight="1" x14ac:dyDescent="0.25">
      <c r="A59" s="129"/>
      <c r="B59" s="130">
        <f>DATE(2025,9,1)</f>
        <v>45901</v>
      </c>
      <c r="C59" s="203">
        <v>14529351</v>
      </c>
      <c r="D59" s="203">
        <v>4156517.5</v>
      </c>
      <c r="E59" s="203">
        <v>3439229.31</v>
      </c>
      <c r="F59" s="131">
        <f t="shared" si="8"/>
        <v>0.20856073420704824</v>
      </c>
      <c r="G59" s="214">
        <f t="shared" si="9"/>
        <v>0.28607729966741113</v>
      </c>
      <c r="H59" s="122"/>
    </row>
    <row r="60" spans="1:8" ht="15" customHeight="1" x14ac:dyDescent="0.25">
      <c r="A60" s="129"/>
      <c r="B60" s="130">
        <f>DATE(2025,10,1)</f>
        <v>45931</v>
      </c>
      <c r="C60" s="203">
        <v>16497251</v>
      </c>
      <c r="D60" s="203">
        <v>2284128.5</v>
      </c>
      <c r="E60" s="203">
        <v>3362463</v>
      </c>
      <c r="F60" s="131">
        <f t="shared" si="8"/>
        <v>-0.32069780396096553</v>
      </c>
      <c r="G60" s="214">
        <f t="shared" si="9"/>
        <v>0.13845509776143916</v>
      </c>
      <c r="H60" s="122"/>
    </row>
    <row r="61" spans="1:8" ht="15" customHeight="1" x14ac:dyDescent="0.25">
      <c r="A61" s="129"/>
      <c r="B61" s="130">
        <f>DATE(2025,11,1)</f>
        <v>45962</v>
      </c>
      <c r="C61" s="203">
        <v>16036910</v>
      </c>
      <c r="D61" s="203">
        <v>2799237</v>
      </c>
      <c r="E61" s="203">
        <v>3369905</v>
      </c>
      <c r="F61" s="131">
        <f t="shared" si="8"/>
        <v>-0.16934245920879076</v>
      </c>
      <c r="G61" s="214">
        <f t="shared" si="9"/>
        <v>0.17454964828012379</v>
      </c>
      <c r="H61" s="122"/>
    </row>
    <row r="62" spans="1:8" ht="15" customHeight="1" x14ac:dyDescent="0.25">
      <c r="A62" s="129"/>
      <c r="B62" s="130">
        <f>DATE(2025,12,1)</f>
        <v>45992</v>
      </c>
      <c r="C62" s="203">
        <v>16247750</v>
      </c>
      <c r="D62" s="203">
        <v>4184833</v>
      </c>
      <c r="E62" s="203">
        <v>3459971</v>
      </c>
      <c r="F62" s="131">
        <f t="shared" si="8"/>
        <v>0.20949944378146523</v>
      </c>
      <c r="G62" s="214">
        <f t="shared" si="9"/>
        <v>0.2575638473019341</v>
      </c>
      <c r="H62" s="122"/>
    </row>
    <row r="63" spans="1:8" ht="15" customHeight="1" x14ac:dyDescent="0.25">
      <c r="A63" s="129"/>
      <c r="B63" s="130">
        <f>DATE(2026,1,1)</f>
        <v>46023</v>
      </c>
      <c r="C63" s="203">
        <v>13849410</v>
      </c>
      <c r="D63" s="203">
        <v>3374861</v>
      </c>
      <c r="E63" s="203">
        <v>2683494</v>
      </c>
      <c r="F63" s="131">
        <f t="shared" si="8"/>
        <v>0.2576368719289106</v>
      </c>
      <c r="G63" s="214">
        <f t="shared" si="9"/>
        <v>0.24368265507339301</v>
      </c>
      <c r="H63" s="122"/>
    </row>
    <row r="64" spans="1:8" ht="15" customHeight="1" x14ac:dyDescent="0.25">
      <c r="A64" s="129"/>
      <c r="B64" s="130">
        <f>DATE(2026,2,1)</f>
        <v>46054</v>
      </c>
      <c r="C64" s="203">
        <v>13486037</v>
      </c>
      <c r="D64" s="203">
        <v>2739424.5</v>
      </c>
      <c r="E64" s="203">
        <v>3371843</v>
      </c>
      <c r="F64" s="131">
        <f t="shared" si="8"/>
        <v>-0.18755870305942476</v>
      </c>
      <c r="G64" s="214">
        <f t="shared" si="9"/>
        <v>0.20313043038514575</v>
      </c>
      <c r="H64" s="122"/>
    </row>
    <row r="65" spans="1:8" ht="15" customHeight="1" x14ac:dyDescent="0.25">
      <c r="A65" s="129"/>
      <c r="B65" s="130">
        <f>DATE(2026,3,1)</f>
        <v>46082</v>
      </c>
      <c r="C65" s="203">
        <v>14747895</v>
      </c>
      <c r="D65" s="203">
        <v>3009550</v>
      </c>
      <c r="E65" s="203">
        <v>2847399.5</v>
      </c>
      <c r="F65" s="131">
        <f t="shared" si="8"/>
        <v>5.6946873805379258E-2</v>
      </c>
      <c r="G65" s="214">
        <f t="shared" si="9"/>
        <v>0.20406641083354607</v>
      </c>
      <c r="H65" s="122"/>
    </row>
    <row r="66" spans="1:8" ht="15.75" thickBot="1" x14ac:dyDescent="0.25">
      <c r="A66" s="132"/>
      <c r="B66" s="130"/>
      <c r="C66" s="203"/>
      <c r="D66" s="203"/>
      <c r="E66" s="203"/>
      <c r="F66" s="131"/>
      <c r="G66" s="214"/>
      <c r="H66" s="122"/>
    </row>
    <row r="67" spans="1:8" ht="17.25" customHeight="1" thickTop="1" thickBot="1" x14ac:dyDescent="0.3">
      <c r="A67" s="140" t="s">
        <v>14</v>
      </c>
      <c r="B67" s="141"/>
      <c r="C67" s="206">
        <f>SUM(C57:C66)</f>
        <v>136542795</v>
      </c>
      <c r="D67" s="260">
        <f>SUM(D57:D66)</f>
        <v>29709027</v>
      </c>
      <c r="E67" s="205">
        <f>SUM(E57:E66)</f>
        <v>29112421.810000002</v>
      </c>
      <c r="F67" s="267">
        <f>(+D67-E67)/E67</f>
        <v>2.0493148728528868E-2</v>
      </c>
      <c r="G67" s="266">
        <f>D67/C67</f>
        <v>0.21758033442921687</v>
      </c>
      <c r="H67" s="122"/>
    </row>
    <row r="68" spans="1:8" ht="15.75" customHeight="1" thickTop="1" x14ac:dyDescent="0.25">
      <c r="A68" s="129"/>
      <c r="B68" s="133"/>
      <c r="C68" s="203"/>
      <c r="D68" s="203"/>
      <c r="E68" s="203"/>
      <c r="F68" s="131"/>
      <c r="G68" s="217"/>
      <c r="H68" s="122"/>
    </row>
    <row r="69" spans="1:8" ht="15.75" x14ac:dyDescent="0.25">
      <c r="A69" s="129" t="s">
        <v>64</v>
      </c>
      <c r="B69" s="130">
        <f>DATE(2025,7,1)</f>
        <v>45839</v>
      </c>
      <c r="C69" s="203">
        <v>3331757</v>
      </c>
      <c r="D69" s="203">
        <v>734009.5</v>
      </c>
      <c r="E69" s="203">
        <v>749499</v>
      </c>
      <c r="F69" s="131">
        <f t="shared" ref="F69:F77" si="10">(+D69-E69)/E69</f>
        <v>-2.0666471869875743E-2</v>
      </c>
      <c r="G69" s="214">
        <f t="shared" ref="G69:G77" si="11">D69/C69</f>
        <v>0.2203070331959984</v>
      </c>
      <c r="H69" s="122"/>
    </row>
    <row r="70" spans="1:8" ht="15.75" x14ac:dyDescent="0.25">
      <c r="A70" s="129"/>
      <c r="B70" s="130">
        <f>DATE(2025,8,1)</f>
        <v>45870</v>
      </c>
      <c r="C70" s="203">
        <v>3602540</v>
      </c>
      <c r="D70" s="203">
        <v>626879.5</v>
      </c>
      <c r="E70" s="203">
        <v>714655.5</v>
      </c>
      <c r="F70" s="131">
        <f t="shared" si="10"/>
        <v>-0.12282281462886664</v>
      </c>
      <c r="G70" s="214">
        <f t="shared" si="11"/>
        <v>0.17401042042558862</v>
      </c>
      <c r="H70" s="122"/>
    </row>
    <row r="71" spans="1:8" ht="15.75" x14ac:dyDescent="0.25">
      <c r="A71" s="129"/>
      <c r="B71" s="130">
        <f>DATE(2025,9,1)</f>
        <v>45901</v>
      </c>
      <c r="C71" s="203">
        <v>3228814</v>
      </c>
      <c r="D71" s="203">
        <v>822920.5</v>
      </c>
      <c r="E71" s="203">
        <v>930975</v>
      </c>
      <c r="F71" s="131">
        <f t="shared" si="10"/>
        <v>-0.11606595236177127</v>
      </c>
      <c r="G71" s="214">
        <f t="shared" si="11"/>
        <v>0.25486773161910226</v>
      </c>
      <c r="H71" s="122"/>
    </row>
    <row r="72" spans="1:8" ht="15.75" x14ac:dyDescent="0.25">
      <c r="A72" s="129"/>
      <c r="B72" s="130">
        <f>DATE(2025,10,1)</f>
        <v>45931</v>
      </c>
      <c r="C72" s="203">
        <v>2806028</v>
      </c>
      <c r="D72" s="203">
        <v>608944.5</v>
      </c>
      <c r="E72" s="203">
        <v>723018.5</v>
      </c>
      <c r="F72" s="131">
        <f t="shared" si="10"/>
        <v>-0.1577746627506765</v>
      </c>
      <c r="G72" s="214">
        <f t="shared" si="11"/>
        <v>0.21701298062599517</v>
      </c>
      <c r="H72" s="122"/>
    </row>
    <row r="73" spans="1:8" ht="15.75" x14ac:dyDescent="0.25">
      <c r="A73" s="129"/>
      <c r="B73" s="130">
        <f>DATE(2025,11,1)</f>
        <v>45962</v>
      </c>
      <c r="C73" s="203">
        <v>3088319</v>
      </c>
      <c r="D73" s="203">
        <v>710777</v>
      </c>
      <c r="E73" s="203">
        <v>655674</v>
      </c>
      <c r="F73" s="131">
        <f t="shared" si="10"/>
        <v>8.4040239509268325E-2</v>
      </c>
      <c r="G73" s="214">
        <f t="shared" si="11"/>
        <v>0.23015012374045557</v>
      </c>
      <c r="H73" s="122"/>
    </row>
    <row r="74" spans="1:8" ht="15.75" x14ac:dyDescent="0.25">
      <c r="A74" s="129"/>
      <c r="B74" s="130">
        <f>DATE(2025,12,1)</f>
        <v>45992</v>
      </c>
      <c r="C74" s="203">
        <v>3537612</v>
      </c>
      <c r="D74" s="203">
        <v>846553.5</v>
      </c>
      <c r="E74" s="203">
        <v>815712</v>
      </c>
      <c r="F74" s="131">
        <f t="shared" si="10"/>
        <v>3.7809300341296925E-2</v>
      </c>
      <c r="G74" s="214">
        <f t="shared" si="11"/>
        <v>0.23930083344357719</v>
      </c>
      <c r="H74" s="122"/>
    </row>
    <row r="75" spans="1:8" ht="15.75" x14ac:dyDescent="0.25">
      <c r="A75" s="129"/>
      <c r="B75" s="130">
        <f>DATE(2026,1,1)</f>
        <v>46023</v>
      </c>
      <c r="C75" s="203">
        <v>2969124</v>
      </c>
      <c r="D75" s="203">
        <v>703508.5</v>
      </c>
      <c r="E75" s="203">
        <v>695996</v>
      </c>
      <c r="F75" s="131">
        <f t="shared" si="10"/>
        <v>1.0793883872895821E-2</v>
      </c>
      <c r="G75" s="214">
        <f t="shared" si="11"/>
        <v>0.2369414345780102</v>
      </c>
      <c r="H75" s="122"/>
    </row>
    <row r="76" spans="1:8" ht="15.75" x14ac:dyDescent="0.25">
      <c r="A76" s="129"/>
      <c r="B76" s="130">
        <f>DATE(2026,2,1)</f>
        <v>46054</v>
      </c>
      <c r="C76" s="203">
        <v>3059171</v>
      </c>
      <c r="D76" s="203">
        <v>876032.5</v>
      </c>
      <c r="E76" s="203">
        <v>851344.5</v>
      </c>
      <c r="F76" s="131">
        <f t="shared" si="10"/>
        <v>2.8998836546192522E-2</v>
      </c>
      <c r="G76" s="214">
        <f t="shared" si="11"/>
        <v>0.28636271068207692</v>
      </c>
      <c r="H76" s="122"/>
    </row>
    <row r="77" spans="1:8" ht="15.75" x14ac:dyDescent="0.25">
      <c r="A77" s="129"/>
      <c r="B77" s="130">
        <f>DATE(2026,3,1)</f>
        <v>46082</v>
      </c>
      <c r="C77" s="203">
        <v>3334983</v>
      </c>
      <c r="D77" s="203">
        <v>810781.5</v>
      </c>
      <c r="E77" s="203">
        <v>738876</v>
      </c>
      <c r="F77" s="131">
        <f t="shared" si="10"/>
        <v>9.7317411852597735E-2</v>
      </c>
      <c r="G77" s="214">
        <f t="shared" si="11"/>
        <v>0.24311413281566951</v>
      </c>
      <c r="H77" s="122"/>
    </row>
    <row r="78" spans="1:8" ht="15.75" customHeight="1" thickBot="1" x14ac:dyDescent="0.3">
      <c r="A78" s="129"/>
      <c r="B78" s="130"/>
      <c r="C78" s="203"/>
      <c r="D78" s="203"/>
      <c r="E78" s="203"/>
      <c r="F78" s="131"/>
      <c r="G78" s="214"/>
      <c r="H78" s="122"/>
    </row>
    <row r="79" spans="1:8" ht="17.25" thickTop="1" thickBot="1" x14ac:dyDescent="0.3">
      <c r="A79" s="140" t="s">
        <v>14</v>
      </c>
      <c r="B79" s="141"/>
      <c r="C79" s="206">
        <f>SUM(C69:C78)</f>
        <v>28958348</v>
      </c>
      <c r="D79" s="260">
        <f>SUM(D69:D78)</f>
        <v>6740407</v>
      </c>
      <c r="E79" s="206">
        <f>SUM(E69:E78)</f>
        <v>6875750.5</v>
      </c>
      <c r="F79" s="267">
        <f>(+D79-E79)/E79</f>
        <v>-1.9684178476225975E-2</v>
      </c>
      <c r="G79" s="266">
        <f>D79/C79</f>
        <v>0.23276213822694583</v>
      </c>
      <c r="H79" s="122"/>
    </row>
    <row r="80" spans="1:8" ht="15.75" customHeight="1" thickTop="1" x14ac:dyDescent="0.25">
      <c r="A80" s="129"/>
      <c r="B80" s="133"/>
      <c r="C80" s="203"/>
      <c r="D80" s="203"/>
      <c r="E80" s="203"/>
      <c r="F80" s="131"/>
      <c r="G80" s="217"/>
      <c r="H80" s="122"/>
    </row>
    <row r="81" spans="1:8" ht="15.75" x14ac:dyDescent="0.25">
      <c r="A81" s="129" t="s">
        <v>67</v>
      </c>
      <c r="B81" s="130">
        <f>DATE(2025,7,1)</f>
        <v>45839</v>
      </c>
      <c r="C81" s="203">
        <v>3744976</v>
      </c>
      <c r="D81" s="203">
        <v>651025.5</v>
      </c>
      <c r="E81" s="203">
        <v>1112358.5</v>
      </c>
      <c r="F81" s="131">
        <f t="shared" ref="F81:F89" si="12">(+D81-E81)/E81</f>
        <v>-0.41473409876402256</v>
      </c>
      <c r="G81" s="214">
        <f t="shared" ref="G81:G89" si="13">D81/C81</f>
        <v>0.17383969883919148</v>
      </c>
      <c r="H81" s="122"/>
    </row>
    <row r="82" spans="1:8" ht="15.75" x14ac:dyDescent="0.25">
      <c r="A82" s="129"/>
      <c r="B82" s="130">
        <f>DATE(2025,8,1)</f>
        <v>45870</v>
      </c>
      <c r="C82" s="203">
        <v>4062461</v>
      </c>
      <c r="D82" s="203">
        <v>722686</v>
      </c>
      <c r="E82" s="203">
        <v>743956</v>
      </c>
      <c r="F82" s="131">
        <f t="shared" si="12"/>
        <v>-2.8590400507556898E-2</v>
      </c>
      <c r="G82" s="214">
        <f t="shared" si="13"/>
        <v>0.17789364624054238</v>
      </c>
      <c r="H82" s="122"/>
    </row>
    <row r="83" spans="1:8" ht="15.75" x14ac:dyDescent="0.25">
      <c r="A83" s="129"/>
      <c r="B83" s="130">
        <f>DATE(2025,9,1)</f>
        <v>45901</v>
      </c>
      <c r="C83" s="203">
        <v>3460423</v>
      </c>
      <c r="D83" s="203">
        <v>651690.5</v>
      </c>
      <c r="E83" s="203">
        <v>865028.5</v>
      </c>
      <c r="F83" s="131">
        <f t="shared" si="12"/>
        <v>-0.24662540020357709</v>
      </c>
      <c r="G83" s="214">
        <f t="shared" si="13"/>
        <v>0.18832683171970593</v>
      </c>
      <c r="H83" s="122"/>
    </row>
    <row r="84" spans="1:8" ht="15.75" x14ac:dyDescent="0.25">
      <c r="A84" s="129"/>
      <c r="B84" s="130">
        <f>DATE(2025,10,1)</f>
        <v>45931</v>
      </c>
      <c r="C84" s="203">
        <v>3680288</v>
      </c>
      <c r="D84" s="203">
        <v>599434</v>
      </c>
      <c r="E84" s="203">
        <v>1107084</v>
      </c>
      <c r="F84" s="131">
        <f t="shared" si="12"/>
        <v>-0.45854695759310043</v>
      </c>
      <c r="G84" s="214">
        <f t="shared" si="13"/>
        <v>0.16287692702310255</v>
      </c>
      <c r="H84" s="122"/>
    </row>
    <row r="85" spans="1:8" ht="15.75" x14ac:dyDescent="0.25">
      <c r="A85" s="129"/>
      <c r="B85" s="130">
        <f>DATE(2025,11,1)</f>
        <v>45962</v>
      </c>
      <c r="C85" s="203">
        <v>3491764</v>
      </c>
      <c r="D85" s="203">
        <v>509595</v>
      </c>
      <c r="E85" s="203">
        <v>422535.5</v>
      </c>
      <c r="F85" s="131">
        <f t="shared" si="12"/>
        <v>0.20604067587220481</v>
      </c>
      <c r="G85" s="214">
        <f t="shared" si="13"/>
        <v>0.14594199378881276</v>
      </c>
      <c r="H85" s="122"/>
    </row>
    <row r="86" spans="1:8" ht="15.75" x14ac:dyDescent="0.25">
      <c r="A86" s="129"/>
      <c r="B86" s="130">
        <f>DATE(2025,12,1)</f>
        <v>45992</v>
      </c>
      <c r="C86" s="203">
        <v>3273374</v>
      </c>
      <c r="D86" s="203">
        <v>573062.5</v>
      </c>
      <c r="E86" s="203">
        <v>665807</v>
      </c>
      <c r="F86" s="131">
        <f t="shared" si="12"/>
        <v>-0.13929637267256126</v>
      </c>
      <c r="G86" s="214">
        <f t="shared" si="13"/>
        <v>0.17506783520612065</v>
      </c>
      <c r="H86" s="122"/>
    </row>
    <row r="87" spans="1:8" ht="15.75" x14ac:dyDescent="0.25">
      <c r="A87" s="129"/>
      <c r="B87" s="130">
        <f>DATE(2026,1,1)</f>
        <v>46023</v>
      </c>
      <c r="C87" s="203">
        <v>2691459</v>
      </c>
      <c r="D87" s="203">
        <v>482399.5</v>
      </c>
      <c r="E87" s="203">
        <v>875743.5</v>
      </c>
      <c r="F87" s="131">
        <f t="shared" si="12"/>
        <v>-0.44915434713474894</v>
      </c>
      <c r="G87" s="214">
        <f t="shared" si="13"/>
        <v>0.17923345664934892</v>
      </c>
      <c r="H87" s="122"/>
    </row>
    <row r="88" spans="1:8" ht="15.75" x14ac:dyDescent="0.25">
      <c r="A88" s="129"/>
      <c r="B88" s="130">
        <f>DATE(2026,2,1)</f>
        <v>46054</v>
      </c>
      <c r="C88" s="203">
        <v>2822903</v>
      </c>
      <c r="D88" s="203">
        <v>433313.5</v>
      </c>
      <c r="E88" s="203">
        <v>953681.5</v>
      </c>
      <c r="F88" s="131">
        <f t="shared" si="12"/>
        <v>-0.54564128590100569</v>
      </c>
      <c r="G88" s="214">
        <f t="shared" si="13"/>
        <v>0.15349925236538414</v>
      </c>
      <c r="H88" s="122"/>
    </row>
    <row r="89" spans="1:8" ht="15.75" x14ac:dyDescent="0.25">
      <c r="A89" s="129"/>
      <c r="B89" s="130">
        <f>DATE(2026,3,1)</f>
        <v>46082</v>
      </c>
      <c r="C89" s="203">
        <v>3426037</v>
      </c>
      <c r="D89" s="203">
        <v>689695.5</v>
      </c>
      <c r="E89" s="203">
        <v>1024448</v>
      </c>
      <c r="F89" s="131">
        <f t="shared" si="12"/>
        <v>-0.32676377912788157</v>
      </c>
      <c r="G89" s="214">
        <f t="shared" si="13"/>
        <v>0.20130999752775583</v>
      </c>
      <c r="H89" s="122"/>
    </row>
    <row r="90" spans="1:8" ht="15.75" customHeight="1" thickBot="1" x14ac:dyDescent="0.3">
      <c r="A90" s="129"/>
      <c r="B90" s="130"/>
      <c r="C90" s="203"/>
      <c r="D90" s="203"/>
      <c r="E90" s="203"/>
      <c r="F90" s="131"/>
      <c r="G90" s="214"/>
      <c r="H90" s="122"/>
    </row>
    <row r="91" spans="1:8" ht="17.25" thickTop="1" thickBot="1" x14ac:dyDescent="0.3">
      <c r="A91" s="140" t="s">
        <v>14</v>
      </c>
      <c r="B91" s="141"/>
      <c r="C91" s="206">
        <f>SUM(C81:C90)</f>
        <v>30653685</v>
      </c>
      <c r="D91" s="260">
        <f>SUM(D81:D90)</f>
        <v>5312902</v>
      </c>
      <c r="E91" s="206">
        <f>SUM(E81:E90)</f>
        <v>7770642.5</v>
      </c>
      <c r="F91" s="268">
        <f>(+D91-E91)/E91</f>
        <v>-0.31628536507759814</v>
      </c>
      <c r="G91" s="266">
        <f>D91/C91</f>
        <v>0.17332017341471342</v>
      </c>
      <c r="H91" s="122"/>
    </row>
    <row r="92" spans="1:8" ht="15.75" customHeight="1" thickTop="1" x14ac:dyDescent="0.25">
      <c r="A92" s="129"/>
      <c r="B92" s="138"/>
      <c r="C92" s="204"/>
      <c r="D92" s="204"/>
      <c r="E92" s="204"/>
      <c r="F92" s="139"/>
      <c r="G92" s="215"/>
      <c r="H92" s="122"/>
    </row>
    <row r="93" spans="1:8" ht="15.75" x14ac:dyDescent="0.25">
      <c r="A93" s="129" t="s">
        <v>69</v>
      </c>
      <c r="B93" s="130">
        <f>DATE(2025,7,1)</f>
        <v>45839</v>
      </c>
      <c r="C93" s="203">
        <v>7856217</v>
      </c>
      <c r="D93" s="203">
        <v>1689752.84</v>
      </c>
      <c r="E93" s="203">
        <v>1491620.4</v>
      </c>
      <c r="F93" s="131">
        <f t="shared" ref="F93:F101" si="14">(+D93-E93)/E93</f>
        <v>0.13283033672642194</v>
      </c>
      <c r="G93" s="214">
        <f t="shared" ref="G93:G101" si="15">D93/C93</f>
        <v>0.21508479717400883</v>
      </c>
      <c r="H93" s="122"/>
    </row>
    <row r="94" spans="1:8" ht="15.75" x14ac:dyDescent="0.25">
      <c r="A94" s="129"/>
      <c r="B94" s="130">
        <f>DATE(2025,8,1)</f>
        <v>45870</v>
      </c>
      <c r="C94" s="203">
        <v>8255461</v>
      </c>
      <c r="D94" s="203">
        <v>2210201.46</v>
      </c>
      <c r="E94" s="203">
        <v>1342748.66</v>
      </c>
      <c r="F94" s="131">
        <f t="shared" si="14"/>
        <v>0.6460276787764585</v>
      </c>
      <c r="G94" s="214">
        <f t="shared" si="15"/>
        <v>0.26772598889389704</v>
      </c>
      <c r="H94" s="122"/>
    </row>
    <row r="95" spans="1:8" ht="15.75" x14ac:dyDescent="0.25">
      <c r="A95" s="129"/>
      <c r="B95" s="130">
        <f>DATE(2025,9,1)</f>
        <v>45901</v>
      </c>
      <c r="C95" s="203">
        <v>7703181.5</v>
      </c>
      <c r="D95" s="203">
        <v>1784251.36</v>
      </c>
      <c r="E95" s="203">
        <v>1469217.16</v>
      </c>
      <c r="F95" s="131">
        <f t="shared" si="14"/>
        <v>0.21442316941084474</v>
      </c>
      <c r="G95" s="214">
        <f t="shared" si="15"/>
        <v>0.23162525250119059</v>
      </c>
      <c r="H95" s="122"/>
    </row>
    <row r="96" spans="1:8" ht="15.75" x14ac:dyDescent="0.25">
      <c r="A96" s="129"/>
      <c r="B96" s="130">
        <f>DATE(2025,10,1)</f>
        <v>45931</v>
      </c>
      <c r="C96" s="203">
        <v>7807917</v>
      </c>
      <c r="D96" s="203">
        <v>1573225</v>
      </c>
      <c r="E96" s="203">
        <v>1142918.93</v>
      </c>
      <c r="F96" s="131">
        <f t="shared" si="14"/>
        <v>0.37649745638564242</v>
      </c>
      <c r="G96" s="214">
        <f t="shared" si="15"/>
        <v>0.20149099945606491</v>
      </c>
      <c r="H96" s="122"/>
    </row>
    <row r="97" spans="1:8" ht="15.75" x14ac:dyDescent="0.25">
      <c r="A97" s="129"/>
      <c r="B97" s="130">
        <f>DATE(2025,11,1)</f>
        <v>45962</v>
      </c>
      <c r="C97" s="203">
        <v>8357680</v>
      </c>
      <c r="D97" s="203">
        <v>1842690.87</v>
      </c>
      <c r="E97" s="203">
        <v>1529575.8</v>
      </c>
      <c r="F97" s="131">
        <f t="shared" si="14"/>
        <v>0.2047071286038914</v>
      </c>
      <c r="G97" s="214">
        <f t="shared" si="15"/>
        <v>0.22047875367326819</v>
      </c>
      <c r="H97" s="122"/>
    </row>
    <row r="98" spans="1:8" ht="15.75" x14ac:dyDescent="0.25">
      <c r="A98" s="129"/>
      <c r="B98" s="130">
        <f>DATE(2025,12,1)</f>
        <v>45992</v>
      </c>
      <c r="C98" s="203">
        <v>8744850</v>
      </c>
      <c r="D98" s="203">
        <v>1829648.59</v>
      </c>
      <c r="E98" s="203">
        <v>1401284</v>
      </c>
      <c r="F98" s="131">
        <f t="shared" si="14"/>
        <v>0.30569434176084226</v>
      </c>
      <c r="G98" s="214">
        <f t="shared" si="15"/>
        <v>0.2092258403517499</v>
      </c>
      <c r="H98" s="122"/>
    </row>
    <row r="99" spans="1:8" ht="15.75" x14ac:dyDescent="0.25">
      <c r="A99" s="129"/>
      <c r="B99" s="130">
        <f>DATE(2026,1,1)</f>
        <v>46023</v>
      </c>
      <c r="C99" s="203">
        <v>7582933</v>
      </c>
      <c r="D99" s="203">
        <v>1686981.36</v>
      </c>
      <c r="E99" s="203">
        <v>1457745.5</v>
      </c>
      <c r="F99" s="131">
        <f t="shared" si="14"/>
        <v>0.15725369071624648</v>
      </c>
      <c r="G99" s="214">
        <f t="shared" si="15"/>
        <v>0.22247082494332998</v>
      </c>
      <c r="H99" s="122"/>
    </row>
    <row r="100" spans="1:8" ht="15.75" x14ac:dyDescent="0.25">
      <c r="A100" s="129"/>
      <c r="B100" s="130">
        <f>DATE(2026,2,1)</f>
        <v>46054</v>
      </c>
      <c r="C100" s="203">
        <v>7545353</v>
      </c>
      <c r="D100" s="203">
        <v>1415137.12</v>
      </c>
      <c r="E100" s="203">
        <v>1641091.22</v>
      </c>
      <c r="F100" s="131">
        <f t="shared" si="14"/>
        <v>-0.13768527748262516</v>
      </c>
      <c r="G100" s="214">
        <f t="shared" si="15"/>
        <v>0.18755081703930884</v>
      </c>
      <c r="H100" s="122"/>
    </row>
    <row r="101" spans="1:8" ht="15.75" x14ac:dyDescent="0.25">
      <c r="A101" s="129"/>
      <c r="B101" s="130">
        <f>DATE(2026,3,1)</f>
        <v>46082</v>
      </c>
      <c r="C101" s="203">
        <v>9398563</v>
      </c>
      <c r="D101" s="203">
        <v>1719046.54</v>
      </c>
      <c r="E101" s="203">
        <v>1820456.44</v>
      </c>
      <c r="F101" s="131">
        <f t="shared" si="14"/>
        <v>-5.5705754761152047E-2</v>
      </c>
      <c r="G101" s="214">
        <f t="shared" si="15"/>
        <v>0.18290525264340943</v>
      </c>
      <c r="H101" s="122"/>
    </row>
    <row r="102" spans="1:8" ht="15.75" customHeight="1" thickBot="1" x14ac:dyDescent="0.3">
      <c r="A102" s="129"/>
      <c r="B102" s="130"/>
      <c r="C102" s="203"/>
      <c r="D102" s="203"/>
      <c r="E102" s="203"/>
      <c r="F102" s="131"/>
      <c r="G102" s="214"/>
      <c r="H102" s="122"/>
    </row>
    <row r="103" spans="1:8" ht="17.25" thickTop="1" thickBot="1" x14ac:dyDescent="0.3">
      <c r="A103" s="140" t="s">
        <v>14</v>
      </c>
      <c r="B103" s="141"/>
      <c r="C103" s="205">
        <f>SUM(C93:C102)</f>
        <v>73252155.5</v>
      </c>
      <c r="D103" s="205">
        <f>SUM(D93:D102)</f>
        <v>15750935.140000001</v>
      </c>
      <c r="E103" s="205">
        <f>SUM(E93:E102)</f>
        <v>13296658.109999999</v>
      </c>
      <c r="F103" s="142">
        <f>(+D103-E103)/E103</f>
        <v>0.18457848654123221</v>
      </c>
      <c r="G103" s="216">
        <f>D103/C103</f>
        <v>0.21502350384761035</v>
      </c>
      <c r="H103" s="122"/>
    </row>
    <row r="104" spans="1:8" ht="15.75" customHeight="1" thickTop="1" x14ac:dyDescent="0.25">
      <c r="A104" s="137"/>
      <c r="B104" s="138"/>
      <c r="C104" s="204"/>
      <c r="D104" s="204"/>
      <c r="E104" s="204"/>
      <c r="F104" s="139"/>
      <c r="G104" s="215"/>
      <c r="H104" s="122"/>
    </row>
    <row r="105" spans="1:8" ht="15.75" x14ac:dyDescent="0.25">
      <c r="A105" s="129" t="s">
        <v>16</v>
      </c>
      <c r="B105" s="130">
        <f>DATE(2025,7,1)</f>
        <v>45839</v>
      </c>
      <c r="C105" s="203">
        <v>9457573</v>
      </c>
      <c r="D105" s="203">
        <v>2213338.5</v>
      </c>
      <c r="E105" s="203">
        <v>2089350</v>
      </c>
      <c r="F105" s="131">
        <f t="shared" ref="F105:F113" si="16">(+D105-E105)/E105</f>
        <v>5.9343097135472755E-2</v>
      </c>
      <c r="G105" s="214">
        <f t="shared" ref="G105:G113" si="17">D105/C105</f>
        <v>0.23402816980635519</v>
      </c>
      <c r="H105" s="122"/>
    </row>
    <row r="106" spans="1:8" ht="15.75" x14ac:dyDescent="0.25">
      <c r="A106" s="129"/>
      <c r="B106" s="130">
        <f>DATE(2025,8,1)</f>
        <v>45870</v>
      </c>
      <c r="C106" s="203">
        <v>9990142</v>
      </c>
      <c r="D106" s="203">
        <v>1935718.5</v>
      </c>
      <c r="E106" s="203">
        <v>2032596</v>
      </c>
      <c r="F106" s="131">
        <f t="shared" si="16"/>
        <v>-4.7661955450074685E-2</v>
      </c>
      <c r="G106" s="214">
        <f t="shared" si="17"/>
        <v>0.19376286142879651</v>
      </c>
      <c r="H106" s="122"/>
    </row>
    <row r="107" spans="1:8" ht="15.75" x14ac:dyDescent="0.25">
      <c r="A107" s="129"/>
      <c r="B107" s="130">
        <f>DATE(2025,9,1)</f>
        <v>45901</v>
      </c>
      <c r="C107" s="203">
        <v>9229587</v>
      </c>
      <c r="D107" s="203">
        <v>1857060</v>
      </c>
      <c r="E107" s="203">
        <v>2006849.5</v>
      </c>
      <c r="F107" s="131">
        <f t="shared" si="16"/>
        <v>-7.4639129640762802E-2</v>
      </c>
      <c r="G107" s="214">
        <f t="shared" si="17"/>
        <v>0.20120726962105673</v>
      </c>
      <c r="H107" s="122"/>
    </row>
    <row r="108" spans="1:8" ht="15.75" x14ac:dyDescent="0.25">
      <c r="A108" s="129"/>
      <c r="B108" s="130">
        <f>DATE(2025,10,1)</f>
        <v>45931</v>
      </c>
      <c r="C108" s="203">
        <v>10041578</v>
      </c>
      <c r="D108" s="203">
        <v>1785644</v>
      </c>
      <c r="E108" s="203">
        <v>1749191</v>
      </c>
      <c r="F108" s="131">
        <f t="shared" si="16"/>
        <v>2.0839919711455181E-2</v>
      </c>
      <c r="G108" s="214">
        <f t="shared" si="17"/>
        <v>0.17782503905262698</v>
      </c>
      <c r="H108" s="122"/>
    </row>
    <row r="109" spans="1:8" ht="15.75" x14ac:dyDescent="0.25">
      <c r="A109" s="129"/>
      <c r="B109" s="130">
        <f>DATE(2025,11,1)</f>
        <v>45962</v>
      </c>
      <c r="C109" s="203">
        <v>9732288</v>
      </c>
      <c r="D109" s="203">
        <v>1892637.5</v>
      </c>
      <c r="E109" s="203">
        <v>1908483</v>
      </c>
      <c r="F109" s="131">
        <f t="shared" si="16"/>
        <v>-8.3026676161118539E-3</v>
      </c>
      <c r="G109" s="214">
        <f t="shared" si="17"/>
        <v>0.19446994375834337</v>
      </c>
      <c r="H109" s="122"/>
    </row>
    <row r="110" spans="1:8" ht="15.75" x14ac:dyDescent="0.25">
      <c r="A110" s="129"/>
      <c r="B110" s="130">
        <f>DATE(2025,12,1)</f>
        <v>45992</v>
      </c>
      <c r="C110" s="203">
        <v>10260701</v>
      </c>
      <c r="D110" s="203">
        <v>1882355</v>
      </c>
      <c r="E110" s="203">
        <v>1872226</v>
      </c>
      <c r="F110" s="131">
        <f t="shared" si="16"/>
        <v>5.4101374513546973E-3</v>
      </c>
      <c r="G110" s="214">
        <f t="shared" si="17"/>
        <v>0.18345286545237016</v>
      </c>
      <c r="H110" s="122"/>
    </row>
    <row r="111" spans="1:8" ht="15.75" x14ac:dyDescent="0.25">
      <c r="A111" s="129"/>
      <c r="B111" s="130">
        <f>DATE(2026,1,1)</f>
        <v>46023</v>
      </c>
      <c r="C111" s="203">
        <v>9651927</v>
      </c>
      <c r="D111" s="203">
        <v>2080789.5</v>
      </c>
      <c r="E111" s="203">
        <v>1378177</v>
      </c>
      <c r="F111" s="131">
        <f t="shared" si="16"/>
        <v>0.50981296306642765</v>
      </c>
      <c r="G111" s="214">
        <f t="shared" si="17"/>
        <v>0.21558280538176469</v>
      </c>
      <c r="H111" s="122"/>
    </row>
    <row r="112" spans="1:8" ht="15.75" x14ac:dyDescent="0.25">
      <c r="A112" s="129"/>
      <c r="B112" s="130">
        <f>DATE(2026,2,1)</f>
        <v>46054</v>
      </c>
      <c r="C112" s="203">
        <v>9859466</v>
      </c>
      <c r="D112" s="203">
        <v>1788314.5</v>
      </c>
      <c r="E112" s="203">
        <v>1536555</v>
      </c>
      <c r="F112" s="131">
        <f t="shared" si="16"/>
        <v>0.16384672205030085</v>
      </c>
      <c r="G112" s="214">
        <f t="shared" si="17"/>
        <v>0.18138046218730305</v>
      </c>
      <c r="H112" s="122"/>
    </row>
    <row r="113" spans="1:8" ht="15.75" x14ac:dyDescent="0.25">
      <c r="A113" s="129"/>
      <c r="B113" s="130">
        <f>DATE(2026,3,1)</f>
        <v>46082</v>
      </c>
      <c r="C113" s="203">
        <v>12937447</v>
      </c>
      <c r="D113" s="203">
        <v>1683540.5</v>
      </c>
      <c r="E113" s="203">
        <v>2356841</v>
      </c>
      <c r="F113" s="131">
        <f t="shared" si="16"/>
        <v>-0.28567922061776757</v>
      </c>
      <c r="G113" s="214">
        <f t="shared" si="17"/>
        <v>0.13012926738946254</v>
      </c>
      <c r="H113" s="122"/>
    </row>
    <row r="114" spans="1:8" ht="15.75" customHeight="1" thickBot="1" x14ac:dyDescent="0.3">
      <c r="A114" s="129"/>
      <c r="B114" s="130"/>
      <c r="C114" s="203"/>
      <c r="D114" s="203"/>
      <c r="E114" s="203"/>
      <c r="F114" s="131"/>
      <c r="G114" s="214"/>
      <c r="H114" s="122"/>
    </row>
    <row r="115" spans="1:8" ht="17.25" thickTop="1" thickBot="1" x14ac:dyDescent="0.3">
      <c r="A115" s="140" t="s">
        <v>14</v>
      </c>
      <c r="B115" s="141"/>
      <c r="C115" s="205">
        <f>SUM(C105:C114)</f>
        <v>91160709</v>
      </c>
      <c r="D115" s="205">
        <f>SUM(D105:D114)</f>
        <v>17119398</v>
      </c>
      <c r="E115" s="205">
        <f>SUM(E105:E114)</f>
        <v>16930268.5</v>
      </c>
      <c r="F115" s="142">
        <f>(+D115-E115)/E115</f>
        <v>1.1171086861380845E-2</v>
      </c>
      <c r="G115" s="216">
        <f>D115/C115</f>
        <v>0.18779360305326279</v>
      </c>
      <c r="H115" s="122"/>
    </row>
    <row r="116" spans="1:8" ht="15.75" customHeight="1" thickTop="1" x14ac:dyDescent="0.25">
      <c r="A116" s="137"/>
      <c r="B116" s="138"/>
      <c r="C116" s="204"/>
      <c r="D116" s="204"/>
      <c r="E116" s="204"/>
      <c r="F116" s="139"/>
      <c r="G116" s="215"/>
      <c r="H116" s="122"/>
    </row>
    <row r="117" spans="1:8" ht="15.75" x14ac:dyDescent="0.25">
      <c r="A117" s="129" t="s">
        <v>53</v>
      </c>
      <c r="B117" s="130">
        <f>DATE(2025,7,1)</f>
        <v>45839</v>
      </c>
      <c r="C117" s="203">
        <v>15237163</v>
      </c>
      <c r="D117" s="203">
        <v>2238507.35</v>
      </c>
      <c r="E117" s="203">
        <v>2603604.12</v>
      </c>
      <c r="F117" s="131">
        <f t="shared" ref="F117:F125" si="18">(+D117-E117)/E117</f>
        <v>-0.14022745132236156</v>
      </c>
      <c r="G117" s="214">
        <f t="shared" ref="G117:G125" si="19">D117/C117</f>
        <v>0.14691103258526539</v>
      </c>
      <c r="H117" s="122"/>
    </row>
    <row r="118" spans="1:8" ht="15.75" x14ac:dyDescent="0.25">
      <c r="A118" s="129"/>
      <c r="B118" s="130">
        <f>DATE(2025,8,1)</f>
        <v>45870</v>
      </c>
      <c r="C118" s="203">
        <v>15717335</v>
      </c>
      <c r="D118" s="203">
        <v>3124514.38</v>
      </c>
      <c r="E118" s="203">
        <v>2949818.5</v>
      </c>
      <c r="F118" s="131">
        <f t="shared" si="18"/>
        <v>5.922258606758344E-2</v>
      </c>
      <c r="G118" s="214">
        <f t="shared" si="19"/>
        <v>0.1987941581699442</v>
      </c>
      <c r="H118" s="122"/>
    </row>
    <row r="119" spans="1:8" ht="15.75" x14ac:dyDescent="0.25">
      <c r="A119" s="129"/>
      <c r="B119" s="130">
        <f>DATE(2025,9,1)</f>
        <v>45901</v>
      </c>
      <c r="C119" s="203">
        <v>13914068</v>
      </c>
      <c r="D119" s="203">
        <v>2710984.71</v>
      </c>
      <c r="E119" s="203">
        <v>2558580.2400000002</v>
      </c>
      <c r="F119" s="131">
        <f t="shared" si="18"/>
        <v>5.9566031042278249E-2</v>
      </c>
      <c r="G119" s="214">
        <f t="shared" si="19"/>
        <v>0.1948376786716868</v>
      </c>
      <c r="H119" s="122"/>
    </row>
    <row r="120" spans="1:8" ht="15.75" x14ac:dyDescent="0.25">
      <c r="A120" s="129"/>
      <c r="B120" s="130">
        <f>DATE(2025,10,1)</f>
        <v>45931</v>
      </c>
      <c r="C120" s="203">
        <v>13536511</v>
      </c>
      <c r="D120" s="203">
        <v>2921217.18</v>
      </c>
      <c r="E120" s="203">
        <v>2936056.53</v>
      </c>
      <c r="F120" s="131">
        <f t="shared" si="18"/>
        <v>-5.0541772095919514E-3</v>
      </c>
      <c r="G120" s="214">
        <f t="shared" si="19"/>
        <v>0.21580281506807775</v>
      </c>
      <c r="H120" s="122"/>
    </row>
    <row r="121" spans="1:8" ht="15.75" x14ac:dyDescent="0.25">
      <c r="A121" s="129"/>
      <c r="B121" s="130">
        <f>DATE(2025,11,1)</f>
        <v>45962</v>
      </c>
      <c r="C121" s="203">
        <v>13406644</v>
      </c>
      <c r="D121" s="203">
        <v>2575229.36</v>
      </c>
      <c r="E121" s="203">
        <v>2560428.5</v>
      </c>
      <c r="F121" s="131">
        <f t="shared" si="18"/>
        <v>5.7806183613406384E-3</v>
      </c>
      <c r="G121" s="214">
        <f t="shared" si="19"/>
        <v>0.19208605524246036</v>
      </c>
      <c r="H121" s="122"/>
    </row>
    <row r="122" spans="1:8" ht="15.75" x14ac:dyDescent="0.25">
      <c r="A122" s="129"/>
      <c r="B122" s="130">
        <f>DATE(2025,12,1)</f>
        <v>45992</v>
      </c>
      <c r="C122" s="203">
        <v>14570030</v>
      </c>
      <c r="D122" s="203">
        <v>3198371.82</v>
      </c>
      <c r="E122" s="203">
        <v>3966151.56</v>
      </c>
      <c r="F122" s="131">
        <f t="shared" si="18"/>
        <v>-0.19358305611498119</v>
      </c>
      <c r="G122" s="214">
        <f t="shared" si="19"/>
        <v>0.21951717463862461</v>
      </c>
      <c r="H122" s="122"/>
    </row>
    <row r="123" spans="1:8" ht="15.75" x14ac:dyDescent="0.25">
      <c r="A123" s="129"/>
      <c r="B123" s="130">
        <f>DATE(2026,1,1)</f>
        <v>46023</v>
      </c>
      <c r="C123" s="203">
        <v>14049140</v>
      </c>
      <c r="D123" s="203">
        <v>2147104</v>
      </c>
      <c r="E123" s="203">
        <v>2508967.4900000002</v>
      </c>
      <c r="F123" s="131">
        <f t="shared" si="18"/>
        <v>-0.14422805055955515</v>
      </c>
      <c r="G123" s="214">
        <f t="shared" si="19"/>
        <v>0.15282814464088193</v>
      </c>
      <c r="H123" s="122"/>
    </row>
    <row r="124" spans="1:8" ht="15.75" x14ac:dyDescent="0.25">
      <c r="A124" s="129"/>
      <c r="B124" s="130">
        <f>DATE(2026,2,1)</f>
        <v>46054</v>
      </c>
      <c r="C124" s="203">
        <v>13581505</v>
      </c>
      <c r="D124" s="203">
        <v>2324308.5</v>
      </c>
      <c r="E124" s="203">
        <v>3572657.42</v>
      </c>
      <c r="F124" s="131">
        <f t="shared" si="18"/>
        <v>-0.34941747087522318</v>
      </c>
      <c r="G124" s="214">
        <f t="shared" si="19"/>
        <v>0.1711377715503547</v>
      </c>
      <c r="H124" s="122"/>
    </row>
    <row r="125" spans="1:8" ht="15.75" x14ac:dyDescent="0.25">
      <c r="A125" s="129"/>
      <c r="B125" s="130">
        <f>DATE(2026,3,1)</f>
        <v>46082</v>
      </c>
      <c r="C125" s="203">
        <v>14355630</v>
      </c>
      <c r="D125" s="203">
        <v>3518953.1</v>
      </c>
      <c r="E125" s="203">
        <v>3677501.08</v>
      </c>
      <c r="F125" s="131">
        <f t="shared" si="18"/>
        <v>-4.3112966264580943E-2</v>
      </c>
      <c r="G125" s="214">
        <f t="shared" si="19"/>
        <v>0.24512704074986608</v>
      </c>
      <c r="H125" s="122"/>
    </row>
    <row r="126" spans="1:8" ht="15.75" thickBot="1" x14ac:dyDescent="0.25">
      <c r="A126" s="132"/>
      <c r="B126" s="130"/>
      <c r="C126" s="203"/>
      <c r="D126" s="203"/>
      <c r="E126" s="203"/>
      <c r="F126" s="131"/>
      <c r="G126" s="214"/>
      <c r="H126" s="122"/>
    </row>
    <row r="127" spans="1:8" ht="17.25" thickTop="1" thickBot="1" x14ac:dyDescent="0.3">
      <c r="A127" s="140" t="s">
        <v>14</v>
      </c>
      <c r="B127" s="141"/>
      <c r="C127" s="206">
        <f>SUM(C117:C126)</f>
        <v>128368026</v>
      </c>
      <c r="D127" s="206">
        <f>SUM(D117:D126)</f>
        <v>24759190.400000002</v>
      </c>
      <c r="E127" s="206">
        <f>SUM(E117:E126)</f>
        <v>27333765.439999998</v>
      </c>
      <c r="F127" s="142">
        <f>(+D127-E127)/E127</f>
        <v>-9.4190280722625377E-2</v>
      </c>
      <c r="G127" s="266">
        <f>D127/C127</f>
        <v>0.19287661555222485</v>
      </c>
      <c r="H127" s="122"/>
    </row>
    <row r="128" spans="1:8" ht="15.75" customHeight="1" thickTop="1" x14ac:dyDescent="0.25">
      <c r="A128" s="137"/>
      <c r="B128" s="138"/>
      <c r="C128" s="204"/>
      <c r="D128" s="204"/>
      <c r="E128" s="204"/>
      <c r="F128" s="139"/>
      <c r="G128" s="218"/>
      <c r="H128" s="122"/>
    </row>
    <row r="129" spans="1:8" ht="15.75" x14ac:dyDescent="0.25">
      <c r="A129" s="129" t="s">
        <v>54</v>
      </c>
      <c r="B129" s="130">
        <f>DATE(2025,7,1)</f>
        <v>45839</v>
      </c>
      <c r="C129" s="203">
        <v>0</v>
      </c>
      <c r="D129" s="203">
        <v>0</v>
      </c>
      <c r="E129" s="203">
        <v>0</v>
      </c>
      <c r="F129" s="131">
        <v>0</v>
      </c>
      <c r="G129" s="214">
        <v>0</v>
      </c>
      <c r="H129" s="122"/>
    </row>
    <row r="130" spans="1:8" ht="15.75" x14ac:dyDescent="0.25">
      <c r="A130" s="129"/>
      <c r="B130" s="130">
        <f>DATE(2025,8,1)</f>
        <v>45870</v>
      </c>
      <c r="C130" s="203">
        <v>0</v>
      </c>
      <c r="D130" s="203">
        <v>0</v>
      </c>
      <c r="E130" s="203">
        <v>0</v>
      </c>
      <c r="F130" s="131">
        <v>0</v>
      </c>
      <c r="G130" s="214">
        <v>0</v>
      </c>
      <c r="H130" s="122"/>
    </row>
    <row r="131" spans="1:8" ht="15.75" x14ac:dyDescent="0.25">
      <c r="A131" s="129"/>
      <c r="B131" s="130">
        <f>DATE(2025,9,1)</f>
        <v>45901</v>
      </c>
      <c r="C131" s="203">
        <v>0</v>
      </c>
      <c r="D131" s="203">
        <v>0</v>
      </c>
      <c r="E131" s="203">
        <v>0</v>
      </c>
      <c r="F131" s="131">
        <v>0</v>
      </c>
      <c r="G131" s="214">
        <v>0</v>
      </c>
      <c r="H131" s="122"/>
    </row>
    <row r="132" spans="1:8" ht="15.75" x14ac:dyDescent="0.25">
      <c r="A132" s="129"/>
      <c r="B132" s="130">
        <f>DATE(2025,10,1)</f>
        <v>45931</v>
      </c>
      <c r="C132" s="203">
        <v>0</v>
      </c>
      <c r="D132" s="203">
        <v>0</v>
      </c>
      <c r="E132" s="203">
        <v>0</v>
      </c>
      <c r="F132" s="131">
        <v>0</v>
      </c>
      <c r="G132" s="214">
        <v>0</v>
      </c>
      <c r="H132" s="122"/>
    </row>
    <row r="133" spans="1:8" ht="15.75" x14ac:dyDescent="0.25">
      <c r="A133" s="129"/>
      <c r="B133" s="130">
        <f>DATE(2025,11,1)</f>
        <v>45962</v>
      </c>
      <c r="C133" s="203">
        <v>0</v>
      </c>
      <c r="D133" s="203">
        <v>0</v>
      </c>
      <c r="E133" s="203">
        <v>0</v>
      </c>
      <c r="F133" s="131">
        <v>0</v>
      </c>
      <c r="G133" s="214">
        <v>0</v>
      </c>
      <c r="H133" s="122"/>
    </row>
    <row r="134" spans="1:8" ht="15.75" x14ac:dyDescent="0.25">
      <c r="A134" s="129"/>
      <c r="B134" s="130">
        <f>DATE(2025,12,1)</f>
        <v>45992</v>
      </c>
      <c r="C134" s="203">
        <v>0</v>
      </c>
      <c r="D134" s="203">
        <v>0</v>
      </c>
      <c r="E134" s="203">
        <v>0</v>
      </c>
      <c r="F134" s="131">
        <v>0</v>
      </c>
      <c r="G134" s="214">
        <v>0</v>
      </c>
      <c r="H134" s="122"/>
    </row>
    <row r="135" spans="1:8" ht="15.75" x14ac:dyDescent="0.25">
      <c r="A135" s="129"/>
      <c r="B135" s="130">
        <f>DATE(2026,1,1)</f>
        <v>46023</v>
      </c>
      <c r="C135" s="203">
        <v>0</v>
      </c>
      <c r="D135" s="203">
        <v>0</v>
      </c>
      <c r="E135" s="203">
        <v>0</v>
      </c>
      <c r="F135" s="131">
        <v>0</v>
      </c>
      <c r="G135" s="214">
        <v>0</v>
      </c>
      <c r="H135" s="122"/>
    </row>
    <row r="136" spans="1:8" ht="15.75" x14ac:dyDescent="0.25">
      <c r="A136" s="129"/>
      <c r="B136" s="130">
        <f>DATE(2026,2,1)</f>
        <v>46054</v>
      </c>
      <c r="C136" s="203">
        <v>0</v>
      </c>
      <c r="D136" s="203">
        <v>0</v>
      </c>
      <c r="E136" s="203">
        <v>0</v>
      </c>
      <c r="F136" s="131">
        <v>0</v>
      </c>
      <c r="G136" s="214">
        <v>0</v>
      </c>
      <c r="H136" s="122"/>
    </row>
    <row r="137" spans="1:8" ht="15.75" x14ac:dyDescent="0.25">
      <c r="A137" s="129"/>
      <c r="B137" s="130">
        <f>DATE(2026,3,1)</f>
        <v>46082</v>
      </c>
      <c r="C137" s="203">
        <v>0</v>
      </c>
      <c r="D137" s="203">
        <v>0</v>
      </c>
      <c r="E137" s="203">
        <v>0</v>
      </c>
      <c r="F137" s="131">
        <v>0</v>
      </c>
      <c r="G137" s="214">
        <v>0</v>
      </c>
      <c r="H137" s="122"/>
    </row>
    <row r="138" spans="1:8" ht="15.75" thickBot="1" x14ac:dyDescent="0.25">
      <c r="A138" s="132"/>
      <c r="B138" s="133"/>
      <c r="C138" s="203"/>
      <c r="D138" s="203"/>
      <c r="E138" s="203"/>
      <c r="F138" s="131"/>
      <c r="G138" s="214"/>
      <c r="H138" s="122"/>
    </row>
    <row r="139" spans="1:8" ht="17.25" thickTop="1" thickBot="1" x14ac:dyDescent="0.3">
      <c r="A139" s="143" t="s">
        <v>14</v>
      </c>
      <c r="B139" s="144"/>
      <c r="C139" s="206">
        <f>SUM(C129:C138)</f>
        <v>0</v>
      </c>
      <c r="D139" s="206">
        <f>SUM(D129:D138)</f>
        <v>0</v>
      </c>
      <c r="E139" s="206">
        <f>SUM(E129:E138)</f>
        <v>0</v>
      </c>
      <c r="F139" s="142">
        <v>0</v>
      </c>
      <c r="G139" s="216">
        <v>0</v>
      </c>
      <c r="H139" s="122"/>
    </row>
    <row r="140" spans="1:8" ht="15.75" customHeight="1" thickTop="1" x14ac:dyDescent="0.25">
      <c r="A140" s="129"/>
      <c r="B140" s="133"/>
      <c r="C140" s="203"/>
      <c r="D140" s="203"/>
      <c r="E140" s="203"/>
      <c r="F140" s="131"/>
      <c r="G140" s="217"/>
      <c r="H140" s="122"/>
    </row>
    <row r="141" spans="1:8" ht="15.75" x14ac:dyDescent="0.25">
      <c r="A141" s="129" t="s">
        <v>37</v>
      </c>
      <c r="B141" s="130">
        <f>DATE(2025,7,1)</f>
        <v>45839</v>
      </c>
      <c r="C141" s="203">
        <v>22987346</v>
      </c>
      <c r="D141" s="203">
        <v>4388523.87</v>
      </c>
      <c r="E141" s="203">
        <v>4532513.72</v>
      </c>
      <c r="F141" s="131">
        <f t="shared" ref="F141:F149" si="20">(+D141-E141)/E141</f>
        <v>-3.1768210510789062E-2</v>
      </c>
      <c r="G141" s="214">
        <f t="shared" ref="G141:G149" si="21">D141/C141</f>
        <v>0.19091041958475763</v>
      </c>
      <c r="H141" s="122"/>
    </row>
    <row r="142" spans="1:8" ht="15.75" x14ac:dyDescent="0.25">
      <c r="A142" s="129"/>
      <c r="B142" s="130">
        <f>DATE(2025,8,1)</f>
        <v>45870</v>
      </c>
      <c r="C142" s="203">
        <v>22289536</v>
      </c>
      <c r="D142" s="203">
        <v>4972073.57</v>
      </c>
      <c r="E142" s="203">
        <v>4951353.17</v>
      </c>
      <c r="F142" s="131">
        <f t="shared" si="20"/>
        <v>4.1847954061415447E-3</v>
      </c>
      <c r="G142" s="214">
        <f t="shared" si="21"/>
        <v>0.22306761208488146</v>
      </c>
      <c r="H142" s="122"/>
    </row>
    <row r="143" spans="1:8" ht="15.75" x14ac:dyDescent="0.25">
      <c r="A143" s="129"/>
      <c r="B143" s="130">
        <f>DATE(2025,9,1)</f>
        <v>45901</v>
      </c>
      <c r="C143" s="203">
        <v>19909806</v>
      </c>
      <c r="D143" s="203">
        <v>4174161.5</v>
      </c>
      <c r="E143" s="203">
        <v>4582987.34</v>
      </c>
      <c r="F143" s="131">
        <f t="shared" si="20"/>
        <v>-8.9205099135185456E-2</v>
      </c>
      <c r="G143" s="214">
        <f t="shared" si="21"/>
        <v>0.20965354961268834</v>
      </c>
      <c r="H143" s="122"/>
    </row>
    <row r="144" spans="1:8" ht="15.75" x14ac:dyDescent="0.25">
      <c r="A144" s="129"/>
      <c r="B144" s="130">
        <f>DATE(2025,10,1)</f>
        <v>45931</v>
      </c>
      <c r="C144" s="203">
        <v>20889933</v>
      </c>
      <c r="D144" s="203">
        <v>4997786.5999999996</v>
      </c>
      <c r="E144" s="203">
        <v>4731206.4800000004</v>
      </c>
      <c r="F144" s="131">
        <f t="shared" si="20"/>
        <v>5.6345061482076589E-2</v>
      </c>
      <c r="G144" s="214">
        <f t="shared" si="21"/>
        <v>0.23924378311792574</v>
      </c>
      <c r="H144" s="122"/>
    </row>
    <row r="145" spans="1:8" ht="15.75" x14ac:dyDescent="0.25">
      <c r="A145" s="129"/>
      <c r="B145" s="130">
        <f>DATE(2025,11,1)</f>
        <v>45962</v>
      </c>
      <c r="C145" s="203">
        <v>20136033</v>
      </c>
      <c r="D145" s="203">
        <v>4513957</v>
      </c>
      <c r="E145" s="203">
        <v>4056375.5</v>
      </c>
      <c r="F145" s="131">
        <f t="shared" si="20"/>
        <v>0.11280550826717102</v>
      </c>
      <c r="G145" s="214">
        <f t="shared" si="21"/>
        <v>0.2241731030138856</v>
      </c>
      <c r="H145" s="122"/>
    </row>
    <row r="146" spans="1:8" ht="15.75" x14ac:dyDescent="0.25">
      <c r="A146" s="129"/>
      <c r="B146" s="130">
        <f>DATE(2025,12,1)</f>
        <v>45992</v>
      </c>
      <c r="C146" s="203">
        <v>22583082</v>
      </c>
      <c r="D146" s="203">
        <v>5802741.5</v>
      </c>
      <c r="E146" s="203">
        <v>5104148.9000000004</v>
      </c>
      <c r="F146" s="131">
        <f t="shared" si="20"/>
        <v>0.13686759804362283</v>
      </c>
      <c r="G146" s="214">
        <f t="shared" si="21"/>
        <v>0.25695082274421177</v>
      </c>
      <c r="H146" s="122"/>
    </row>
    <row r="147" spans="1:8" ht="15.75" x14ac:dyDescent="0.25">
      <c r="A147" s="129"/>
      <c r="B147" s="130">
        <f>DATE(2026,1,1)</f>
        <v>46023</v>
      </c>
      <c r="C147" s="203">
        <v>22547626</v>
      </c>
      <c r="D147" s="203">
        <v>4453800.5</v>
      </c>
      <c r="E147" s="203">
        <v>4798011.71</v>
      </c>
      <c r="F147" s="131">
        <f t="shared" si="20"/>
        <v>-7.1740385560668002E-2</v>
      </c>
      <c r="G147" s="214">
        <f t="shared" si="21"/>
        <v>0.19752857795317344</v>
      </c>
      <c r="H147" s="122"/>
    </row>
    <row r="148" spans="1:8" ht="15.75" x14ac:dyDescent="0.25">
      <c r="A148" s="129"/>
      <c r="B148" s="130">
        <f>DATE(2026,2,1)</f>
        <v>46054</v>
      </c>
      <c r="C148" s="203">
        <v>20563412</v>
      </c>
      <c r="D148" s="203">
        <v>4829145.5</v>
      </c>
      <c r="E148" s="203">
        <v>4059352.08</v>
      </c>
      <c r="F148" s="131">
        <f t="shared" si="20"/>
        <v>0.18963455369951548</v>
      </c>
      <c r="G148" s="214">
        <f t="shared" si="21"/>
        <v>0.23484164495658599</v>
      </c>
      <c r="H148" s="122"/>
    </row>
    <row r="149" spans="1:8" ht="15.75" x14ac:dyDescent="0.25">
      <c r="A149" s="129"/>
      <c r="B149" s="130">
        <f>DATE(2026,3,1)</f>
        <v>46082</v>
      </c>
      <c r="C149" s="203">
        <v>24081529</v>
      </c>
      <c r="D149" s="203">
        <v>3889190</v>
      </c>
      <c r="E149" s="203">
        <v>4610091.8099999996</v>
      </c>
      <c r="F149" s="131">
        <f t="shared" si="20"/>
        <v>-0.15637471870652392</v>
      </c>
      <c r="G149" s="214">
        <f t="shared" si="21"/>
        <v>0.16150095785030927</v>
      </c>
      <c r="H149" s="122"/>
    </row>
    <row r="150" spans="1:8" ht="15.75" thickBot="1" x14ac:dyDescent="0.25">
      <c r="A150" s="132"/>
      <c r="B150" s="133"/>
      <c r="C150" s="203"/>
      <c r="D150" s="203"/>
      <c r="E150" s="203"/>
      <c r="F150" s="131"/>
      <c r="G150" s="214"/>
      <c r="H150" s="122"/>
    </row>
    <row r="151" spans="1:8" ht="17.25" thickTop="1" thickBot="1" x14ac:dyDescent="0.3">
      <c r="A151" s="140" t="s">
        <v>14</v>
      </c>
      <c r="B151" s="141"/>
      <c r="C151" s="205">
        <f>SUM(C141:C150)</f>
        <v>195988303</v>
      </c>
      <c r="D151" s="206">
        <f>SUM(D141:D150)</f>
        <v>42021380.039999999</v>
      </c>
      <c r="E151" s="205">
        <f>SUM(E141:E150)</f>
        <v>41426040.710000001</v>
      </c>
      <c r="F151" s="142">
        <f>(+D151-E151)/E151</f>
        <v>1.4371137569424703E-2</v>
      </c>
      <c r="G151" s="216">
        <f>D151/C151</f>
        <v>0.21440759166122275</v>
      </c>
      <c r="H151" s="122"/>
    </row>
    <row r="152" spans="1:8" ht="15.75" customHeight="1" thickTop="1" x14ac:dyDescent="0.25">
      <c r="A152" s="129"/>
      <c r="B152" s="133"/>
      <c r="C152" s="203"/>
      <c r="D152" s="203"/>
      <c r="E152" s="203"/>
      <c r="F152" s="131"/>
      <c r="G152" s="217"/>
      <c r="H152" s="122"/>
    </row>
    <row r="153" spans="1:8" ht="15.75" x14ac:dyDescent="0.25">
      <c r="A153" s="129" t="s">
        <v>57</v>
      </c>
      <c r="B153" s="130">
        <f>DATE(2025,7,1)</f>
        <v>45839</v>
      </c>
      <c r="C153" s="203">
        <v>603284</v>
      </c>
      <c r="D153" s="203">
        <v>176713.5</v>
      </c>
      <c r="E153" s="203">
        <v>133926.5</v>
      </c>
      <c r="F153" s="131">
        <f t="shared" ref="F153:F161" si="22">(+D153-E153)/E153</f>
        <v>0.3194812079760167</v>
      </c>
      <c r="G153" s="214">
        <f t="shared" ref="G153:G161" si="23">D153/C153</f>
        <v>0.292919255276122</v>
      </c>
      <c r="H153" s="122"/>
    </row>
    <row r="154" spans="1:8" ht="15.75" x14ac:dyDescent="0.25">
      <c r="A154" s="129"/>
      <c r="B154" s="130">
        <f>DATE(2025,8,1)</f>
        <v>45870</v>
      </c>
      <c r="C154" s="203">
        <v>600824</v>
      </c>
      <c r="D154" s="203">
        <v>225401</v>
      </c>
      <c r="E154" s="203">
        <v>188568.5</v>
      </c>
      <c r="F154" s="131">
        <f t="shared" si="22"/>
        <v>0.19532689712226592</v>
      </c>
      <c r="G154" s="214">
        <f t="shared" si="23"/>
        <v>0.37515312304435244</v>
      </c>
      <c r="H154" s="122"/>
    </row>
    <row r="155" spans="1:8" ht="15.75" x14ac:dyDescent="0.25">
      <c r="A155" s="129"/>
      <c r="B155" s="130">
        <f>DATE(2025,9,1)</f>
        <v>45901</v>
      </c>
      <c r="C155" s="203">
        <v>478325</v>
      </c>
      <c r="D155" s="203">
        <v>-59552.65</v>
      </c>
      <c r="E155" s="203">
        <v>118770</v>
      </c>
      <c r="F155" s="131">
        <f t="shared" si="22"/>
        <v>-1.5014115517386546</v>
      </c>
      <c r="G155" s="214">
        <f t="shared" si="23"/>
        <v>-0.12450248262164847</v>
      </c>
      <c r="H155" s="122"/>
    </row>
    <row r="156" spans="1:8" ht="15.75" x14ac:dyDescent="0.25">
      <c r="A156" s="129"/>
      <c r="B156" s="130">
        <f>DATE(2025,10,1)</f>
        <v>45931</v>
      </c>
      <c r="C156" s="203">
        <v>480228</v>
      </c>
      <c r="D156" s="203">
        <v>116653.5</v>
      </c>
      <c r="E156" s="203">
        <v>142953</v>
      </c>
      <c r="F156" s="131">
        <f t="shared" si="22"/>
        <v>-0.18397305408071185</v>
      </c>
      <c r="G156" s="214">
        <f t="shared" si="23"/>
        <v>0.2429127414478123</v>
      </c>
      <c r="H156" s="122"/>
    </row>
    <row r="157" spans="1:8" ht="15.75" x14ac:dyDescent="0.25">
      <c r="A157" s="129"/>
      <c r="B157" s="130">
        <f>DATE(2025,11,1)</f>
        <v>45962</v>
      </c>
      <c r="C157" s="203">
        <v>427136</v>
      </c>
      <c r="D157" s="203">
        <v>129553</v>
      </c>
      <c r="E157" s="203">
        <v>139907.5</v>
      </c>
      <c r="F157" s="131">
        <f t="shared" si="22"/>
        <v>-7.400961349463038E-2</v>
      </c>
      <c r="G157" s="214">
        <f t="shared" si="23"/>
        <v>0.30330620692238536</v>
      </c>
      <c r="H157" s="122"/>
    </row>
    <row r="158" spans="1:8" ht="15.75" x14ac:dyDescent="0.25">
      <c r="A158" s="129"/>
      <c r="B158" s="130">
        <f>DATE(2025,12,1)</f>
        <v>45992</v>
      </c>
      <c r="C158" s="203">
        <v>354271</v>
      </c>
      <c r="D158" s="203">
        <v>80755</v>
      </c>
      <c r="E158" s="203">
        <v>103931.5</v>
      </c>
      <c r="F158" s="131">
        <f t="shared" si="22"/>
        <v>-0.2229978399234111</v>
      </c>
      <c r="G158" s="214">
        <f t="shared" si="23"/>
        <v>0.22794696715226478</v>
      </c>
      <c r="H158" s="122"/>
    </row>
    <row r="159" spans="1:8" ht="15.75" x14ac:dyDescent="0.25">
      <c r="A159" s="129"/>
      <c r="B159" s="130">
        <f>DATE(2026,1,1)</f>
        <v>46023</v>
      </c>
      <c r="C159" s="203">
        <v>354241</v>
      </c>
      <c r="D159" s="203">
        <v>120717.5</v>
      </c>
      <c r="E159" s="203">
        <v>125087</v>
      </c>
      <c r="F159" s="131">
        <f t="shared" si="22"/>
        <v>-3.4931687545468354E-2</v>
      </c>
      <c r="G159" s="214">
        <f t="shared" si="23"/>
        <v>0.34077788849963725</v>
      </c>
      <c r="H159" s="122"/>
    </row>
    <row r="160" spans="1:8" ht="15.75" x14ac:dyDescent="0.25">
      <c r="A160" s="129"/>
      <c r="B160" s="130">
        <f>DATE(2026,2,1)</f>
        <v>46054</v>
      </c>
      <c r="C160" s="203">
        <v>292801</v>
      </c>
      <c r="D160" s="203">
        <v>97271.5</v>
      </c>
      <c r="E160" s="203">
        <v>182336.5</v>
      </c>
      <c r="F160" s="131">
        <f t="shared" si="22"/>
        <v>-0.46652754659653989</v>
      </c>
      <c r="G160" s="214">
        <f t="shared" si="23"/>
        <v>0.33221027250589991</v>
      </c>
      <c r="H160" s="122"/>
    </row>
    <row r="161" spans="1:8" ht="15.75" x14ac:dyDescent="0.25">
      <c r="A161" s="129"/>
      <c r="B161" s="130">
        <f>DATE(2026,3,1)</f>
        <v>46082</v>
      </c>
      <c r="C161" s="203">
        <v>278617</v>
      </c>
      <c r="D161" s="203">
        <v>82951.5</v>
      </c>
      <c r="E161" s="203">
        <v>157204</v>
      </c>
      <c r="F161" s="131">
        <f t="shared" si="22"/>
        <v>-0.47233212895346172</v>
      </c>
      <c r="G161" s="214">
        <f t="shared" si="23"/>
        <v>0.29772591047926006</v>
      </c>
      <c r="H161" s="122"/>
    </row>
    <row r="162" spans="1:8" ht="15.75" thickBot="1" x14ac:dyDescent="0.25">
      <c r="A162" s="132"/>
      <c r="B162" s="133"/>
      <c r="C162" s="203"/>
      <c r="D162" s="203"/>
      <c r="E162" s="203"/>
      <c r="F162" s="131"/>
      <c r="G162" s="214"/>
      <c r="H162" s="122"/>
    </row>
    <row r="163" spans="1:8" ht="17.25" thickTop="1" thickBot="1" x14ac:dyDescent="0.3">
      <c r="A163" s="134" t="s">
        <v>14</v>
      </c>
      <c r="B163" s="135"/>
      <c r="C163" s="200">
        <f>SUM(C153:C162)</f>
        <v>3869727</v>
      </c>
      <c r="D163" s="206">
        <f>SUM(D153:D162)</f>
        <v>970463.85</v>
      </c>
      <c r="E163" s="206">
        <f>SUM(E153:E162)</f>
        <v>1292684.5</v>
      </c>
      <c r="F163" s="142">
        <f>(+D163-E163)/E163</f>
        <v>-0.24926472778160488</v>
      </c>
      <c r="G163" s="216">
        <f>D163/C163</f>
        <v>0.2507835436453269</v>
      </c>
      <c r="H163" s="122"/>
    </row>
    <row r="164" spans="1:8" ht="16.5" thickTop="1" thickBot="1" x14ac:dyDescent="0.25">
      <c r="A164" s="145"/>
      <c r="B164" s="138"/>
      <c r="C164" s="204"/>
      <c r="D164" s="204"/>
      <c r="E164" s="204"/>
      <c r="F164" s="139"/>
      <c r="G164" s="215"/>
      <c r="H164" s="122"/>
    </row>
    <row r="165" spans="1:8" ht="17.25" thickTop="1" thickBot="1" x14ac:dyDescent="0.3">
      <c r="A165" s="146" t="s">
        <v>38</v>
      </c>
      <c r="B165" s="120"/>
      <c r="C165" s="200">
        <f>C163+C151+C115+C91+C67+C43+C19+C55+C139+C31+C103+C127+C79</f>
        <v>997550606.61000001</v>
      </c>
      <c r="D165" s="200">
        <f>D163+D151+D115+D91+D67+D43+D19+D55+D139+D31+D103+D127+D79</f>
        <v>203779076.59999999</v>
      </c>
      <c r="E165" s="200">
        <f>E163+E151+E115+E91+E67+E43+E19+E55+E139+E31+E103+E127+E79</f>
        <v>202038198.17000002</v>
      </c>
      <c r="F165" s="136">
        <f>(+D165-E165)/E165</f>
        <v>8.6165806553825958E-3</v>
      </c>
      <c r="G165" s="211">
        <f>D165/C165</f>
        <v>0.20427943730344397</v>
      </c>
      <c r="H165" s="122"/>
    </row>
    <row r="166" spans="1:8" ht="17.25" thickTop="1" thickBot="1" x14ac:dyDescent="0.3">
      <c r="A166" s="146"/>
      <c r="B166" s="120"/>
      <c r="C166" s="200"/>
      <c r="D166" s="200"/>
      <c r="E166" s="200"/>
      <c r="F166" s="136"/>
      <c r="G166" s="211"/>
      <c r="H166" s="122"/>
    </row>
    <row r="167" spans="1:8" ht="17.25" thickTop="1" thickBot="1" x14ac:dyDescent="0.3">
      <c r="A167" s="264" t="s">
        <v>39</v>
      </c>
      <c r="B167" s="265"/>
      <c r="C167" s="205">
        <f>+C17+C29+C41+C53+C65+C77+C89+C101+C113+C125+C137+C149+C161</f>
        <v>118592674.09999999</v>
      </c>
      <c r="D167" s="205">
        <f>+D17+D29+D41+D53+D65+D77+D89+D101+D113+D125+D137+D149+D161</f>
        <v>21918244.290000003</v>
      </c>
      <c r="E167" s="205">
        <f>+E17+E29+E41+E53+E65+E77+E89+E101+E113+E125+E137+E149+E161</f>
        <v>24560948.98</v>
      </c>
      <c r="F167" s="267">
        <f>(+D167-E167)/E167</f>
        <v>-0.10759782499250961</v>
      </c>
      <c r="G167" s="216">
        <f>D167/C167</f>
        <v>0.18481954687620966</v>
      </c>
      <c r="H167" s="122"/>
    </row>
    <row r="168" spans="1:8" ht="16.5" thickTop="1" x14ac:dyDescent="0.25">
      <c r="A168" s="255"/>
      <c r="B168" s="257"/>
      <c r="C168" s="258"/>
      <c r="D168" s="258"/>
      <c r="E168" s="258"/>
      <c r="F168" s="259"/>
      <c r="G168" s="256"/>
      <c r="H168" s="256"/>
    </row>
    <row r="169" spans="1:8" ht="18.75" x14ac:dyDescent="0.3">
      <c r="A169" s="262" t="s">
        <v>40</v>
      </c>
      <c r="B169" s="116"/>
      <c r="C169" s="207"/>
      <c r="D169" s="207"/>
      <c r="E169" s="207"/>
      <c r="F169" s="147"/>
      <c r="G169" s="219"/>
    </row>
    <row r="170" spans="1:8" ht="15.75" x14ac:dyDescent="0.25">
      <c r="A170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3" manualBreakCount="3">
    <brk id="55" max="7" man="1"/>
    <brk id="103" max="7" man="1"/>
    <brk id="151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zoomScaleNormal="100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77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73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DATE(25,7,1)</f>
        <v>9314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x14ac:dyDescent="0.25">
      <c r="A11" s="163"/>
      <c r="B11" s="164">
        <f>DATE(25,8,1)</f>
        <v>9345</v>
      </c>
      <c r="C11" s="225">
        <v>0</v>
      </c>
      <c r="D11" s="225">
        <v>0</v>
      </c>
      <c r="E11" s="225">
        <v>0</v>
      </c>
      <c r="F11" s="165">
        <v>0</v>
      </c>
      <c r="G11" s="240">
        <v>0</v>
      </c>
      <c r="H11" s="288">
        <v>0</v>
      </c>
    </row>
    <row r="12" spans="1:8" ht="15.75" x14ac:dyDescent="0.25">
      <c r="A12" s="163"/>
      <c r="B12" s="164">
        <f>DATE(25,9,1)</f>
        <v>9376</v>
      </c>
      <c r="C12" s="225">
        <v>0</v>
      </c>
      <c r="D12" s="225">
        <v>0</v>
      </c>
      <c r="E12" s="225">
        <v>0</v>
      </c>
      <c r="F12" s="165">
        <v>0</v>
      </c>
      <c r="G12" s="240">
        <v>0</v>
      </c>
      <c r="H12" s="288">
        <v>0</v>
      </c>
    </row>
    <row r="13" spans="1:8" ht="15.75" x14ac:dyDescent="0.25">
      <c r="A13" s="163"/>
      <c r="B13" s="164">
        <f>DATE(25,10,1)</f>
        <v>9406</v>
      </c>
      <c r="C13" s="225">
        <v>0</v>
      </c>
      <c r="D13" s="225">
        <v>0</v>
      </c>
      <c r="E13" s="225">
        <v>0</v>
      </c>
      <c r="F13" s="165">
        <v>0</v>
      </c>
      <c r="G13" s="240">
        <v>0</v>
      </c>
      <c r="H13" s="288">
        <v>0</v>
      </c>
    </row>
    <row r="14" spans="1:8" ht="15.75" x14ac:dyDescent="0.25">
      <c r="A14" s="163"/>
      <c r="B14" s="164">
        <f>DATE(25,11,1)</f>
        <v>9437</v>
      </c>
      <c r="C14" s="225">
        <v>0</v>
      </c>
      <c r="D14" s="225">
        <v>0</v>
      </c>
      <c r="E14" s="225">
        <v>0</v>
      </c>
      <c r="F14" s="165">
        <v>0</v>
      </c>
      <c r="G14" s="240">
        <v>0</v>
      </c>
      <c r="H14" s="288">
        <v>0</v>
      </c>
    </row>
    <row r="15" spans="1:8" ht="15.75" x14ac:dyDescent="0.25">
      <c r="A15" s="163"/>
      <c r="B15" s="164">
        <f>DATE(25,12,1)</f>
        <v>9467</v>
      </c>
      <c r="C15" s="225">
        <v>0</v>
      </c>
      <c r="D15" s="225">
        <v>0</v>
      </c>
      <c r="E15" s="225">
        <v>0</v>
      </c>
      <c r="F15" s="165">
        <v>0</v>
      </c>
      <c r="G15" s="240">
        <v>0</v>
      </c>
      <c r="H15" s="288">
        <v>0</v>
      </c>
    </row>
    <row r="16" spans="1:8" ht="15.75" x14ac:dyDescent="0.25">
      <c r="A16" s="163"/>
      <c r="B16" s="164">
        <f>DATE(26,1,1)</f>
        <v>9498</v>
      </c>
      <c r="C16" s="225">
        <v>0</v>
      </c>
      <c r="D16" s="225">
        <v>0</v>
      </c>
      <c r="E16" s="225">
        <v>0</v>
      </c>
      <c r="F16" s="165">
        <v>0</v>
      </c>
      <c r="G16" s="240">
        <v>0</v>
      </c>
      <c r="H16" s="288">
        <v>0</v>
      </c>
    </row>
    <row r="17" spans="1:8" ht="15.75" x14ac:dyDescent="0.25">
      <c r="A17" s="163"/>
      <c r="B17" s="164">
        <f>DATE(26,2,1)</f>
        <v>9529</v>
      </c>
      <c r="C17" s="225">
        <v>0</v>
      </c>
      <c r="D17" s="225">
        <v>0</v>
      </c>
      <c r="E17" s="225">
        <v>0</v>
      </c>
      <c r="F17" s="165">
        <v>0</v>
      </c>
      <c r="G17" s="240">
        <v>0</v>
      </c>
      <c r="H17" s="288">
        <v>0</v>
      </c>
    </row>
    <row r="18" spans="1:8" ht="15.75" x14ac:dyDescent="0.25">
      <c r="A18" s="163"/>
      <c r="B18" s="164">
        <f>DATE(26,3,1)</f>
        <v>9557</v>
      </c>
      <c r="C18" s="225">
        <v>0</v>
      </c>
      <c r="D18" s="225">
        <v>0</v>
      </c>
      <c r="E18" s="225">
        <v>0</v>
      </c>
      <c r="F18" s="165">
        <v>0</v>
      </c>
      <c r="G18" s="240">
        <v>0</v>
      </c>
      <c r="H18" s="288">
        <v>0</v>
      </c>
    </row>
    <row r="19" spans="1:8" ht="15.75" thickBot="1" x14ac:dyDescent="0.25">
      <c r="A19" s="166"/>
      <c r="B19" s="167"/>
      <c r="C19" s="225"/>
      <c r="D19" s="225"/>
      <c r="E19" s="225"/>
      <c r="F19" s="165"/>
      <c r="G19" s="240"/>
      <c r="H19" s="241"/>
    </row>
    <row r="20" spans="1:8" ht="17.25" thickTop="1" thickBot="1" x14ac:dyDescent="0.3">
      <c r="A20" s="168" t="s">
        <v>14</v>
      </c>
      <c r="B20" s="154"/>
      <c r="C20" s="222">
        <f>SUM(C10:C19)</f>
        <v>0</v>
      </c>
      <c r="D20" s="222">
        <f>SUM(D10:D19)</f>
        <v>0</v>
      </c>
      <c r="E20" s="222">
        <f>SUM(E10:E19)</f>
        <v>0</v>
      </c>
      <c r="F20" s="175">
        <v>0</v>
      </c>
      <c r="G20" s="244">
        <v>0</v>
      </c>
      <c r="H20" s="245">
        <v>0</v>
      </c>
    </row>
    <row r="21" spans="1:8" ht="15.75" thickTop="1" x14ac:dyDescent="0.2">
      <c r="A21" s="170"/>
      <c r="B21" s="171"/>
      <c r="C21" s="226"/>
      <c r="D21" s="226"/>
      <c r="E21" s="226"/>
      <c r="F21" s="172"/>
      <c r="G21" s="242"/>
      <c r="H21" s="243"/>
    </row>
    <row r="22" spans="1:8" ht="15.75" x14ac:dyDescent="0.25">
      <c r="A22" s="19" t="s">
        <v>48</v>
      </c>
      <c r="B22" s="164">
        <f>DATE(25,7,1)</f>
        <v>9314</v>
      </c>
      <c r="C22" s="225">
        <v>0</v>
      </c>
      <c r="D22" s="225">
        <v>0</v>
      </c>
      <c r="E22" s="225">
        <v>0</v>
      </c>
      <c r="F22" s="165">
        <v>0</v>
      </c>
      <c r="G22" s="240">
        <v>0</v>
      </c>
      <c r="H22" s="241">
        <v>0</v>
      </c>
    </row>
    <row r="23" spans="1:8" ht="15.75" x14ac:dyDescent="0.25">
      <c r="A23" s="19"/>
      <c r="B23" s="164">
        <f>DATE(25,8,1)</f>
        <v>9345</v>
      </c>
      <c r="C23" s="225">
        <v>0</v>
      </c>
      <c r="D23" s="225">
        <v>0</v>
      </c>
      <c r="E23" s="225">
        <v>0</v>
      </c>
      <c r="F23" s="165">
        <v>0</v>
      </c>
      <c r="G23" s="240">
        <v>0</v>
      </c>
      <c r="H23" s="288">
        <v>0</v>
      </c>
    </row>
    <row r="24" spans="1:8" ht="15.75" x14ac:dyDescent="0.25">
      <c r="A24" s="19"/>
      <c r="B24" s="164">
        <f>DATE(25,9,1)</f>
        <v>9376</v>
      </c>
      <c r="C24" s="225">
        <v>0</v>
      </c>
      <c r="D24" s="225">
        <v>0</v>
      </c>
      <c r="E24" s="225">
        <v>0</v>
      </c>
      <c r="F24" s="165">
        <v>0</v>
      </c>
      <c r="G24" s="240">
        <v>0</v>
      </c>
      <c r="H24" s="288">
        <v>0</v>
      </c>
    </row>
    <row r="25" spans="1:8" ht="15.75" x14ac:dyDescent="0.25">
      <c r="A25" s="19"/>
      <c r="B25" s="164">
        <f>DATE(25,10,1)</f>
        <v>9406</v>
      </c>
      <c r="C25" s="225">
        <v>0</v>
      </c>
      <c r="D25" s="225">
        <v>0</v>
      </c>
      <c r="E25" s="225">
        <v>0</v>
      </c>
      <c r="F25" s="165">
        <v>0</v>
      </c>
      <c r="G25" s="240">
        <v>0</v>
      </c>
      <c r="H25" s="288">
        <v>0</v>
      </c>
    </row>
    <row r="26" spans="1:8" ht="15.75" x14ac:dyDescent="0.25">
      <c r="A26" s="19"/>
      <c r="B26" s="164">
        <f>DATE(25,11,1)</f>
        <v>9437</v>
      </c>
      <c r="C26" s="225">
        <v>0</v>
      </c>
      <c r="D26" s="225">
        <v>0</v>
      </c>
      <c r="E26" s="225">
        <v>0</v>
      </c>
      <c r="F26" s="165">
        <v>0</v>
      </c>
      <c r="G26" s="240">
        <v>0</v>
      </c>
      <c r="H26" s="288">
        <v>0</v>
      </c>
    </row>
    <row r="27" spans="1:8" ht="15.75" x14ac:dyDescent="0.25">
      <c r="A27" s="19"/>
      <c r="B27" s="164">
        <f>DATE(25,12,1)</f>
        <v>9467</v>
      </c>
      <c r="C27" s="225">
        <v>0</v>
      </c>
      <c r="D27" s="225">
        <v>0</v>
      </c>
      <c r="E27" s="225">
        <v>0</v>
      </c>
      <c r="F27" s="165">
        <v>0</v>
      </c>
      <c r="G27" s="240">
        <v>0</v>
      </c>
      <c r="H27" s="288">
        <v>0</v>
      </c>
    </row>
    <row r="28" spans="1:8" ht="15.75" x14ac:dyDescent="0.25">
      <c r="A28" s="19"/>
      <c r="B28" s="164">
        <f>DATE(26,1,1)</f>
        <v>9498</v>
      </c>
      <c r="C28" s="225">
        <v>0</v>
      </c>
      <c r="D28" s="225">
        <v>0</v>
      </c>
      <c r="E28" s="225">
        <v>0</v>
      </c>
      <c r="F28" s="165">
        <v>0</v>
      </c>
      <c r="G28" s="240">
        <v>0</v>
      </c>
      <c r="H28" s="288">
        <v>0</v>
      </c>
    </row>
    <row r="29" spans="1:8" ht="15.75" x14ac:dyDescent="0.25">
      <c r="A29" s="19"/>
      <c r="B29" s="164">
        <f>DATE(26,2,1)</f>
        <v>9529</v>
      </c>
      <c r="C29" s="225">
        <v>0</v>
      </c>
      <c r="D29" s="225">
        <v>0</v>
      </c>
      <c r="E29" s="225">
        <v>0</v>
      </c>
      <c r="F29" s="165">
        <v>0</v>
      </c>
      <c r="G29" s="240">
        <v>0</v>
      </c>
      <c r="H29" s="288">
        <v>0</v>
      </c>
    </row>
    <row r="30" spans="1:8" ht="15.75" x14ac:dyDescent="0.25">
      <c r="A30" s="19"/>
      <c r="B30" s="164">
        <f>DATE(26,3,1)</f>
        <v>9557</v>
      </c>
      <c r="C30" s="225">
        <v>0</v>
      </c>
      <c r="D30" s="225">
        <v>0</v>
      </c>
      <c r="E30" s="225">
        <v>0</v>
      </c>
      <c r="F30" s="165">
        <v>0</v>
      </c>
      <c r="G30" s="240">
        <v>0</v>
      </c>
      <c r="H30" s="288">
        <v>0</v>
      </c>
    </row>
    <row r="31" spans="1:8" ht="15.75" thickBot="1" x14ac:dyDescent="0.25">
      <c r="A31" s="166"/>
      <c r="B31" s="164"/>
      <c r="C31" s="225"/>
      <c r="D31" s="225"/>
      <c r="E31" s="225"/>
      <c r="F31" s="165"/>
      <c r="G31" s="240"/>
      <c r="H31" s="241"/>
    </row>
    <row r="32" spans="1:8" ht="17.25" thickTop="1" thickBot="1" x14ac:dyDescent="0.3">
      <c r="A32" s="168" t="s">
        <v>14</v>
      </c>
      <c r="B32" s="154"/>
      <c r="C32" s="222">
        <f>SUM(C22:C31)</f>
        <v>0</v>
      </c>
      <c r="D32" s="222">
        <f>SUM(D22:D31)</f>
        <v>0</v>
      </c>
      <c r="E32" s="222">
        <f>SUM(E22:E31)</f>
        <v>0</v>
      </c>
      <c r="F32" s="169">
        <v>0</v>
      </c>
      <c r="G32" s="235">
        <v>0</v>
      </c>
      <c r="H32" s="236">
        <v>0</v>
      </c>
    </row>
    <row r="33" spans="1:8" ht="15.75" thickTop="1" x14ac:dyDescent="0.2">
      <c r="A33" s="170"/>
      <c r="B33" s="171"/>
      <c r="C33" s="226"/>
      <c r="D33" s="226"/>
      <c r="E33" s="226"/>
      <c r="F33" s="172"/>
      <c r="G33" s="242"/>
      <c r="H33" s="243"/>
    </row>
    <row r="34" spans="1:8" ht="15.75" x14ac:dyDescent="0.25">
      <c r="A34" s="19" t="s">
        <v>62</v>
      </c>
      <c r="B34" s="164">
        <f>DATE(25,7,1)</f>
        <v>9314</v>
      </c>
      <c r="C34" s="225">
        <v>0</v>
      </c>
      <c r="D34" s="225">
        <v>0</v>
      </c>
      <c r="E34" s="225">
        <v>0</v>
      </c>
      <c r="F34" s="165">
        <v>0</v>
      </c>
      <c r="G34" s="240">
        <v>0</v>
      </c>
      <c r="H34" s="241">
        <v>0</v>
      </c>
    </row>
    <row r="35" spans="1:8" ht="15.75" x14ac:dyDescent="0.25">
      <c r="A35" s="19"/>
      <c r="B35" s="164">
        <f>DATE(25,8,1)</f>
        <v>9345</v>
      </c>
      <c r="C35" s="225">
        <v>0</v>
      </c>
      <c r="D35" s="225">
        <v>0</v>
      </c>
      <c r="E35" s="225">
        <v>0</v>
      </c>
      <c r="F35" s="165">
        <v>0</v>
      </c>
      <c r="G35" s="240">
        <v>0</v>
      </c>
      <c r="H35" s="288">
        <v>0</v>
      </c>
    </row>
    <row r="36" spans="1:8" ht="15.75" x14ac:dyDescent="0.25">
      <c r="A36" s="19"/>
      <c r="B36" s="164">
        <f>DATE(25,9,1)</f>
        <v>9376</v>
      </c>
      <c r="C36" s="225">
        <v>0</v>
      </c>
      <c r="D36" s="225">
        <v>0</v>
      </c>
      <c r="E36" s="225">
        <v>0</v>
      </c>
      <c r="F36" s="165">
        <v>0</v>
      </c>
      <c r="G36" s="240">
        <v>0</v>
      </c>
      <c r="H36" s="288">
        <v>0</v>
      </c>
    </row>
    <row r="37" spans="1:8" ht="15.75" x14ac:dyDescent="0.25">
      <c r="A37" s="19"/>
      <c r="B37" s="164">
        <f>DATE(25,10,1)</f>
        <v>9406</v>
      </c>
      <c r="C37" s="225">
        <v>0</v>
      </c>
      <c r="D37" s="225">
        <v>0</v>
      </c>
      <c r="E37" s="225">
        <v>0</v>
      </c>
      <c r="F37" s="165">
        <v>0</v>
      </c>
      <c r="G37" s="240">
        <v>0</v>
      </c>
      <c r="H37" s="288">
        <v>0</v>
      </c>
    </row>
    <row r="38" spans="1:8" ht="15.75" x14ac:dyDescent="0.25">
      <c r="A38" s="19"/>
      <c r="B38" s="164">
        <f>DATE(25,11,1)</f>
        <v>9437</v>
      </c>
      <c r="C38" s="225">
        <v>0</v>
      </c>
      <c r="D38" s="225">
        <v>0</v>
      </c>
      <c r="E38" s="225">
        <v>0</v>
      </c>
      <c r="F38" s="165">
        <v>0</v>
      </c>
      <c r="G38" s="240">
        <v>0</v>
      </c>
      <c r="H38" s="288">
        <v>0</v>
      </c>
    </row>
    <row r="39" spans="1:8" ht="15.75" x14ac:dyDescent="0.25">
      <c r="A39" s="19"/>
      <c r="B39" s="164">
        <f>DATE(25,12,1)</f>
        <v>9467</v>
      </c>
      <c r="C39" s="225">
        <v>0</v>
      </c>
      <c r="D39" s="225">
        <v>0</v>
      </c>
      <c r="E39" s="225">
        <v>0</v>
      </c>
      <c r="F39" s="165">
        <v>0</v>
      </c>
      <c r="G39" s="240">
        <v>0</v>
      </c>
      <c r="H39" s="288">
        <v>0</v>
      </c>
    </row>
    <row r="40" spans="1:8" ht="15.75" x14ac:dyDescent="0.25">
      <c r="A40" s="19"/>
      <c r="B40" s="164">
        <f>DATE(26,1,1)</f>
        <v>9498</v>
      </c>
      <c r="C40" s="225">
        <v>0</v>
      </c>
      <c r="D40" s="225">
        <v>0</v>
      </c>
      <c r="E40" s="225">
        <v>0</v>
      </c>
      <c r="F40" s="165">
        <v>0</v>
      </c>
      <c r="G40" s="240">
        <v>0</v>
      </c>
      <c r="H40" s="288">
        <v>0</v>
      </c>
    </row>
    <row r="41" spans="1:8" ht="15.75" x14ac:dyDescent="0.25">
      <c r="A41" s="19"/>
      <c r="B41" s="164">
        <f>DATE(26,2,1)</f>
        <v>9529</v>
      </c>
      <c r="C41" s="225">
        <v>0</v>
      </c>
      <c r="D41" s="225">
        <v>0</v>
      </c>
      <c r="E41" s="225">
        <v>0</v>
      </c>
      <c r="F41" s="165">
        <v>0</v>
      </c>
      <c r="G41" s="240">
        <v>0</v>
      </c>
      <c r="H41" s="288">
        <v>0</v>
      </c>
    </row>
    <row r="42" spans="1:8" ht="15.75" x14ac:dyDescent="0.25">
      <c r="A42" s="19"/>
      <c r="B42" s="164">
        <f>DATE(26,3,1)</f>
        <v>9557</v>
      </c>
      <c r="C42" s="225">
        <v>0</v>
      </c>
      <c r="D42" s="225">
        <v>0</v>
      </c>
      <c r="E42" s="225">
        <v>0</v>
      </c>
      <c r="F42" s="165">
        <v>0</v>
      </c>
      <c r="G42" s="240">
        <v>0</v>
      </c>
      <c r="H42" s="288">
        <v>0</v>
      </c>
    </row>
    <row r="43" spans="1:8" ht="15.75" thickBot="1" x14ac:dyDescent="0.25">
      <c r="A43" s="166"/>
      <c r="B43" s="164"/>
      <c r="C43" s="225"/>
      <c r="D43" s="225"/>
      <c r="E43" s="225"/>
      <c r="F43" s="165"/>
      <c r="G43" s="240"/>
      <c r="H43" s="241"/>
    </row>
    <row r="44" spans="1:8" ht="17.25" thickTop="1" thickBot="1" x14ac:dyDescent="0.3">
      <c r="A44" s="173" t="s">
        <v>14</v>
      </c>
      <c r="B44" s="174"/>
      <c r="C44" s="227">
        <f>SUM(C34:C43)</f>
        <v>0</v>
      </c>
      <c r="D44" s="227">
        <f>SUM(D34:D43)</f>
        <v>0</v>
      </c>
      <c r="E44" s="227">
        <f>SUM(E34:E43)</f>
        <v>0</v>
      </c>
      <c r="F44" s="175">
        <v>0</v>
      </c>
      <c r="G44" s="244">
        <v>0</v>
      </c>
      <c r="H44" s="245">
        <v>0</v>
      </c>
    </row>
    <row r="45" spans="1:8" ht="15.75" thickTop="1" x14ac:dyDescent="0.2">
      <c r="A45" s="166"/>
      <c r="B45" s="167"/>
      <c r="C45" s="225"/>
      <c r="D45" s="225"/>
      <c r="E45" s="225"/>
      <c r="F45" s="165"/>
      <c r="G45" s="240"/>
      <c r="H45" s="241"/>
    </row>
    <row r="46" spans="1:8" ht="15.75" x14ac:dyDescent="0.25">
      <c r="A46" s="176" t="s">
        <v>58</v>
      </c>
      <c r="B46" s="164">
        <f>DATE(25,7,1)</f>
        <v>9314</v>
      </c>
      <c r="C46" s="225">
        <v>0</v>
      </c>
      <c r="D46" s="225">
        <v>0</v>
      </c>
      <c r="E46" s="225">
        <v>0</v>
      </c>
      <c r="F46" s="165">
        <v>0</v>
      </c>
      <c r="G46" s="240">
        <v>0</v>
      </c>
      <c r="H46" s="288">
        <v>0</v>
      </c>
    </row>
    <row r="47" spans="1:8" ht="15.75" x14ac:dyDescent="0.25">
      <c r="A47" s="176"/>
      <c r="B47" s="164">
        <f>DATE(25,8,1)</f>
        <v>9345</v>
      </c>
      <c r="C47" s="225">
        <v>0</v>
      </c>
      <c r="D47" s="225">
        <v>0</v>
      </c>
      <c r="E47" s="225">
        <v>0</v>
      </c>
      <c r="F47" s="165">
        <v>0</v>
      </c>
      <c r="G47" s="240">
        <v>0</v>
      </c>
      <c r="H47" s="288">
        <v>0</v>
      </c>
    </row>
    <row r="48" spans="1:8" ht="15.75" x14ac:dyDescent="0.25">
      <c r="A48" s="176"/>
      <c r="B48" s="164">
        <f>DATE(25,9,1)</f>
        <v>9376</v>
      </c>
      <c r="C48" s="225">
        <v>0</v>
      </c>
      <c r="D48" s="225">
        <v>0</v>
      </c>
      <c r="E48" s="225">
        <v>0</v>
      </c>
      <c r="F48" s="165">
        <v>0</v>
      </c>
      <c r="G48" s="240">
        <v>0</v>
      </c>
      <c r="H48" s="288">
        <v>0</v>
      </c>
    </row>
    <row r="49" spans="1:8" ht="15.75" x14ac:dyDescent="0.25">
      <c r="A49" s="176"/>
      <c r="B49" s="164">
        <f>DATE(25,10,1)</f>
        <v>9406</v>
      </c>
      <c r="C49" s="225">
        <v>0</v>
      </c>
      <c r="D49" s="225">
        <v>0</v>
      </c>
      <c r="E49" s="225">
        <v>0</v>
      </c>
      <c r="F49" s="165">
        <v>0</v>
      </c>
      <c r="G49" s="240">
        <v>0</v>
      </c>
      <c r="H49" s="288">
        <v>0</v>
      </c>
    </row>
    <row r="50" spans="1:8" ht="15.75" x14ac:dyDescent="0.25">
      <c r="A50" s="176"/>
      <c r="B50" s="164">
        <f>DATE(25,11,1)</f>
        <v>9437</v>
      </c>
      <c r="C50" s="225">
        <v>0</v>
      </c>
      <c r="D50" s="225">
        <v>0</v>
      </c>
      <c r="E50" s="225">
        <v>0</v>
      </c>
      <c r="F50" s="165">
        <v>0</v>
      </c>
      <c r="G50" s="240">
        <v>0</v>
      </c>
      <c r="H50" s="288">
        <v>0</v>
      </c>
    </row>
    <row r="51" spans="1:8" ht="15.75" x14ac:dyDescent="0.25">
      <c r="A51" s="176"/>
      <c r="B51" s="164">
        <f>DATE(25,12,1)</f>
        <v>9467</v>
      </c>
      <c r="C51" s="225">
        <v>0</v>
      </c>
      <c r="D51" s="225">
        <v>0</v>
      </c>
      <c r="E51" s="225">
        <v>0</v>
      </c>
      <c r="F51" s="165">
        <v>0</v>
      </c>
      <c r="G51" s="240">
        <v>0</v>
      </c>
      <c r="H51" s="288">
        <v>0</v>
      </c>
    </row>
    <row r="52" spans="1:8" ht="15.75" x14ac:dyDescent="0.25">
      <c r="A52" s="176"/>
      <c r="B52" s="164">
        <f>DATE(26,1,1)</f>
        <v>9498</v>
      </c>
      <c r="C52" s="225">
        <v>0</v>
      </c>
      <c r="D52" s="225">
        <v>0</v>
      </c>
      <c r="E52" s="225">
        <v>0</v>
      </c>
      <c r="F52" s="165">
        <v>0</v>
      </c>
      <c r="G52" s="240">
        <v>0</v>
      </c>
      <c r="H52" s="288">
        <v>0</v>
      </c>
    </row>
    <row r="53" spans="1:8" ht="15.75" x14ac:dyDescent="0.25">
      <c r="A53" s="176"/>
      <c r="B53" s="164">
        <f>DATE(26,2,1)</f>
        <v>9529</v>
      </c>
      <c r="C53" s="225">
        <v>0</v>
      </c>
      <c r="D53" s="225">
        <v>0</v>
      </c>
      <c r="E53" s="225">
        <v>0</v>
      </c>
      <c r="F53" s="165">
        <v>0</v>
      </c>
      <c r="G53" s="240">
        <v>0</v>
      </c>
      <c r="H53" s="288">
        <v>0</v>
      </c>
    </row>
    <row r="54" spans="1:8" ht="15.75" x14ac:dyDescent="0.25">
      <c r="A54" s="176"/>
      <c r="B54" s="164">
        <f>DATE(26,3,1)</f>
        <v>9557</v>
      </c>
      <c r="C54" s="225">
        <v>0</v>
      </c>
      <c r="D54" s="225">
        <v>0</v>
      </c>
      <c r="E54" s="225">
        <v>0</v>
      </c>
      <c r="F54" s="165">
        <v>0</v>
      </c>
      <c r="G54" s="240">
        <v>0</v>
      </c>
      <c r="H54" s="288">
        <v>0</v>
      </c>
    </row>
    <row r="55" spans="1:8" ht="15.75" thickBot="1" x14ac:dyDescent="0.25">
      <c r="A55" s="166"/>
      <c r="B55" s="167"/>
      <c r="C55" s="225"/>
      <c r="D55" s="225"/>
      <c r="E55" s="225"/>
      <c r="F55" s="165"/>
      <c r="G55" s="240"/>
      <c r="H55" s="241"/>
    </row>
    <row r="56" spans="1:8" ht="17.25" thickTop="1" thickBot="1" x14ac:dyDescent="0.3">
      <c r="A56" s="173" t="s">
        <v>14</v>
      </c>
      <c r="B56" s="177"/>
      <c r="C56" s="227">
        <f>SUM(C46:C55)</f>
        <v>0</v>
      </c>
      <c r="D56" s="227">
        <f>SUM(D46:D55)</f>
        <v>0</v>
      </c>
      <c r="E56" s="227">
        <f>SUM(E46:E55)</f>
        <v>0</v>
      </c>
      <c r="F56" s="175">
        <v>0</v>
      </c>
      <c r="G56" s="244">
        <v>0</v>
      </c>
      <c r="H56" s="245">
        <v>0</v>
      </c>
    </row>
    <row r="57" spans="1:8" ht="15.75" thickTop="1" x14ac:dyDescent="0.2">
      <c r="A57" s="166"/>
      <c r="B57" s="167"/>
      <c r="C57" s="225"/>
      <c r="D57" s="225"/>
      <c r="E57" s="225"/>
      <c r="F57" s="165"/>
      <c r="G57" s="240"/>
      <c r="H57" s="241"/>
    </row>
    <row r="58" spans="1:8" ht="15.75" x14ac:dyDescent="0.25">
      <c r="A58" s="163" t="s">
        <v>60</v>
      </c>
      <c r="B58" s="164">
        <f>DATE(25,7,1)</f>
        <v>9314</v>
      </c>
      <c r="C58" s="225">
        <v>0</v>
      </c>
      <c r="D58" s="225">
        <v>0</v>
      </c>
      <c r="E58" s="225">
        <v>0</v>
      </c>
      <c r="F58" s="165">
        <v>0</v>
      </c>
      <c r="G58" s="240">
        <v>0</v>
      </c>
      <c r="H58" s="241">
        <v>0</v>
      </c>
    </row>
    <row r="59" spans="1:8" ht="15.75" x14ac:dyDescent="0.25">
      <c r="A59" s="163"/>
      <c r="B59" s="164">
        <f>DATE(25,8,1)</f>
        <v>9345</v>
      </c>
      <c r="C59" s="225">
        <v>0</v>
      </c>
      <c r="D59" s="225">
        <v>0</v>
      </c>
      <c r="E59" s="225">
        <v>0</v>
      </c>
      <c r="F59" s="165">
        <v>0</v>
      </c>
      <c r="G59" s="240">
        <v>0</v>
      </c>
      <c r="H59" s="288">
        <v>0</v>
      </c>
    </row>
    <row r="60" spans="1:8" ht="15.75" x14ac:dyDescent="0.25">
      <c r="A60" s="163"/>
      <c r="B60" s="164">
        <f>DATE(25,9,1)</f>
        <v>9376</v>
      </c>
      <c r="C60" s="225">
        <v>0</v>
      </c>
      <c r="D60" s="225">
        <v>0</v>
      </c>
      <c r="E60" s="225">
        <v>0</v>
      </c>
      <c r="F60" s="165">
        <v>0</v>
      </c>
      <c r="G60" s="240">
        <v>0</v>
      </c>
      <c r="H60" s="288">
        <v>0</v>
      </c>
    </row>
    <row r="61" spans="1:8" ht="15.75" x14ac:dyDescent="0.25">
      <c r="A61" s="163"/>
      <c r="B61" s="164">
        <f>DATE(25,10,1)</f>
        <v>9406</v>
      </c>
      <c r="C61" s="225">
        <v>0</v>
      </c>
      <c r="D61" s="225">
        <v>0</v>
      </c>
      <c r="E61" s="225">
        <v>0</v>
      </c>
      <c r="F61" s="165">
        <v>0</v>
      </c>
      <c r="G61" s="240">
        <v>0</v>
      </c>
      <c r="H61" s="288">
        <v>0</v>
      </c>
    </row>
    <row r="62" spans="1:8" ht="15.75" x14ac:dyDescent="0.25">
      <c r="A62" s="163"/>
      <c r="B62" s="164">
        <f>DATE(25,11,1)</f>
        <v>9437</v>
      </c>
      <c r="C62" s="225">
        <v>0</v>
      </c>
      <c r="D62" s="225">
        <v>0</v>
      </c>
      <c r="E62" s="225">
        <v>0</v>
      </c>
      <c r="F62" s="165">
        <v>0</v>
      </c>
      <c r="G62" s="240">
        <v>0</v>
      </c>
      <c r="H62" s="288">
        <v>0</v>
      </c>
    </row>
    <row r="63" spans="1:8" ht="15.75" x14ac:dyDescent="0.25">
      <c r="A63" s="163"/>
      <c r="B63" s="164">
        <f>DATE(25,12,1)</f>
        <v>9467</v>
      </c>
      <c r="C63" s="225">
        <v>0</v>
      </c>
      <c r="D63" s="225">
        <v>0</v>
      </c>
      <c r="E63" s="225">
        <v>0</v>
      </c>
      <c r="F63" s="165">
        <v>0</v>
      </c>
      <c r="G63" s="240">
        <v>0</v>
      </c>
      <c r="H63" s="288">
        <v>0</v>
      </c>
    </row>
    <row r="64" spans="1:8" ht="15.75" x14ac:dyDescent="0.25">
      <c r="A64" s="163"/>
      <c r="B64" s="164">
        <f>DATE(26,1,1)</f>
        <v>9498</v>
      </c>
      <c r="C64" s="225">
        <v>0</v>
      </c>
      <c r="D64" s="225">
        <v>0</v>
      </c>
      <c r="E64" s="225">
        <v>0</v>
      </c>
      <c r="F64" s="165">
        <v>0</v>
      </c>
      <c r="G64" s="240">
        <v>0</v>
      </c>
      <c r="H64" s="288">
        <v>0</v>
      </c>
    </row>
    <row r="65" spans="1:8" ht="15.75" x14ac:dyDescent="0.25">
      <c r="A65" s="163"/>
      <c r="B65" s="164">
        <f>DATE(26,2,1)</f>
        <v>9529</v>
      </c>
      <c r="C65" s="225">
        <v>0</v>
      </c>
      <c r="D65" s="225">
        <v>0</v>
      </c>
      <c r="E65" s="225">
        <v>0</v>
      </c>
      <c r="F65" s="165">
        <v>0</v>
      </c>
      <c r="G65" s="240">
        <v>0</v>
      </c>
      <c r="H65" s="288">
        <v>0</v>
      </c>
    </row>
    <row r="66" spans="1:8" ht="15.75" x14ac:dyDescent="0.25">
      <c r="A66" s="163"/>
      <c r="B66" s="164">
        <f>DATE(26,3,1)</f>
        <v>9557</v>
      </c>
      <c r="C66" s="225">
        <v>0</v>
      </c>
      <c r="D66" s="225">
        <v>0</v>
      </c>
      <c r="E66" s="225">
        <v>0</v>
      </c>
      <c r="F66" s="165">
        <v>0</v>
      </c>
      <c r="G66" s="240">
        <v>0</v>
      </c>
      <c r="H66" s="288">
        <v>0</v>
      </c>
    </row>
    <row r="67" spans="1:8" ht="15.75" thickBot="1" x14ac:dyDescent="0.25">
      <c r="A67" s="166"/>
      <c r="B67" s="164"/>
      <c r="C67" s="225"/>
      <c r="D67" s="225"/>
      <c r="E67" s="225"/>
      <c r="F67" s="165"/>
      <c r="G67" s="240"/>
      <c r="H67" s="241"/>
    </row>
    <row r="68" spans="1:8" ht="17.25" thickTop="1" thickBot="1" x14ac:dyDescent="0.3">
      <c r="A68" s="173" t="s">
        <v>14</v>
      </c>
      <c r="B68" s="174"/>
      <c r="C68" s="227">
        <f>SUM(C58:C67)</f>
        <v>0</v>
      </c>
      <c r="D68" s="229">
        <f>SUM(D58:D67)</f>
        <v>0</v>
      </c>
      <c r="E68" s="270">
        <f>SUM(E58:E67)</f>
        <v>0</v>
      </c>
      <c r="F68" s="175">
        <v>0</v>
      </c>
      <c r="G68" s="244">
        <v>0</v>
      </c>
      <c r="H68" s="245">
        <v>0</v>
      </c>
    </row>
    <row r="69" spans="1:8" ht="15.75" thickTop="1" x14ac:dyDescent="0.2">
      <c r="A69" s="166"/>
      <c r="B69" s="167"/>
      <c r="C69" s="225"/>
      <c r="D69" s="225"/>
      <c r="E69" s="225"/>
      <c r="F69" s="165"/>
      <c r="G69" s="240"/>
      <c r="H69" s="241"/>
    </row>
    <row r="70" spans="1:8" ht="15.75" x14ac:dyDescent="0.25">
      <c r="A70" s="163" t="s">
        <v>64</v>
      </c>
      <c r="B70" s="164">
        <f>DATE(25,7,1)</f>
        <v>9314</v>
      </c>
      <c r="C70" s="225">
        <v>0</v>
      </c>
      <c r="D70" s="225">
        <v>0</v>
      </c>
      <c r="E70" s="225">
        <v>0</v>
      </c>
      <c r="F70" s="165">
        <v>0</v>
      </c>
      <c r="G70" s="240">
        <v>0</v>
      </c>
      <c r="H70" s="241">
        <v>0</v>
      </c>
    </row>
    <row r="71" spans="1:8" ht="15.75" x14ac:dyDescent="0.25">
      <c r="A71" s="163"/>
      <c r="B71" s="164">
        <f>DATE(25,8,1)</f>
        <v>9345</v>
      </c>
      <c r="C71" s="225">
        <v>0</v>
      </c>
      <c r="D71" s="225">
        <v>0</v>
      </c>
      <c r="E71" s="225">
        <v>0</v>
      </c>
      <c r="F71" s="165">
        <v>0</v>
      </c>
      <c r="G71" s="240">
        <v>0</v>
      </c>
      <c r="H71" s="288">
        <v>0</v>
      </c>
    </row>
    <row r="72" spans="1:8" ht="15.75" x14ac:dyDescent="0.25">
      <c r="A72" s="163"/>
      <c r="B72" s="164">
        <f>DATE(25,9,1)</f>
        <v>9376</v>
      </c>
      <c r="C72" s="225">
        <v>0</v>
      </c>
      <c r="D72" s="225">
        <v>0</v>
      </c>
      <c r="E72" s="225">
        <v>0</v>
      </c>
      <c r="F72" s="165">
        <v>0</v>
      </c>
      <c r="G72" s="240">
        <v>0</v>
      </c>
      <c r="H72" s="288">
        <v>0</v>
      </c>
    </row>
    <row r="73" spans="1:8" ht="15.75" x14ac:dyDescent="0.25">
      <c r="A73" s="163"/>
      <c r="B73" s="164">
        <f>DATE(25,10,1)</f>
        <v>9406</v>
      </c>
      <c r="C73" s="225">
        <v>0</v>
      </c>
      <c r="D73" s="225">
        <v>0</v>
      </c>
      <c r="E73" s="225">
        <v>0</v>
      </c>
      <c r="F73" s="165">
        <v>0</v>
      </c>
      <c r="G73" s="240">
        <v>0</v>
      </c>
      <c r="H73" s="288">
        <v>0</v>
      </c>
    </row>
    <row r="74" spans="1:8" ht="15.75" x14ac:dyDescent="0.25">
      <c r="A74" s="163"/>
      <c r="B74" s="164">
        <f>DATE(25,11,1)</f>
        <v>9437</v>
      </c>
      <c r="C74" s="225">
        <v>0</v>
      </c>
      <c r="D74" s="225">
        <v>0</v>
      </c>
      <c r="E74" s="225">
        <v>0</v>
      </c>
      <c r="F74" s="165">
        <v>0</v>
      </c>
      <c r="G74" s="240">
        <v>0</v>
      </c>
      <c r="H74" s="288">
        <v>0</v>
      </c>
    </row>
    <row r="75" spans="1:8" ht="15.75" x14ac:dyDescent="0.25">
      <c r="A75" s="163"/>
      <c r="B75" s="164">
        <f>DATE(25,12,1)</f>
        <v>9467</v>
      </c>
      <c r="C75" s="225">
        <v>0</v>
      </c>
      <c r="D75" s="225">
        <v>0</v>
      </c>
      <c r="E75" s="225">
        <v>0</v>
      </c>
      <c r="F75" s="165">
        <v>0</v>
      </c>
      <c r="G75" s="240">
        <v>0</v>
      </c>
      <c r="H75" s="288">
        <v>0</v>
      </c>
    </row>
    <row r="76" spans="1:8" ht="15.75" x14ac:dyDescent="0.25">
      <c r="A76" s="163"/>
      <c r="B76" s="164">
        <f>DATE(26,1,1)</f>
        <v>9498</v>
      </c>
      <c r="C76" s="225">
        <v>0</v>
      </c>
      <c r="D76" s="225">
        <v>0</v>
      </c>
      <c r="E76" s="225">
        <v>0</v>
      </c>
      <c r="F76" s="165">
        <v>0</v>
      </c>
      <c r="G76" s="240">
        <v>0</v>
      </c>
      <c r="H76" s="288">
        <v>0</v>
      </c>
    </row>
    <row r="77" spans="1:8" ht="15.75" x14ac:dyDescent="0.25">
      <c r="A77" s="163"/>
      <c r="B77" s="164">
        <f>DATE(26,2,1)</f>
        <v>9529</v>
      </c>
      <c r="C77" s="225">
        <v>0</v>
      </c>
      <c r="D77" s="225">
        <v>0</v>
      </c>
      <c r="E77" s="225">
        <v>0</v>
      </c>
      <c r="F77" s="165">
        <v>0</v>
      </c>
      <c r="G77" s="240">
        <v>0</v>
      </c>
      <c r="H77" s="288">
        <v>0</v>
      </c>
    </row>
    <row r="78" spans="1:8" ht="15.75" x14ac:dyDescent="0.25">
      <c r="A78" s="163"/>
      <c r="B78" s="164">
        <f>DATE(26,3,1)</f>
        <v>9557</v>
      </c>
      <c r="C78" s="225">
        <v>0</v>
      </c>
      <c r="D78" s="225">
        <v>0</v>
      </c>
      <c r="E78" s="225">
        <v>0</v>
      </c>
      <c r="F78" s="165">
        <v>0</v>
      </c>
      <c r="G78" s="240">
        <v>0</v>
      </c>
      <c r="H78" s="288">
        <v>0</v>
      </c>
    </row>
    <row r="79" spans="1:8" ht="15.75" thickBot="1" x14ac:dyDescent="0.25">
      <c r="A79" s="166"/>
      <c r="B79" s="164"/>
      <c r="C79" s="225"/>
      <c r="D79" s="225"/>
      <c r="E79" s="225"/>
      <c r="F79" s="165"/>
      <c r="G79" s="240"/>
      <c r="H79" s="241"/>
    </row>
    <row r="80" spans="1:8" ht="17.25" thickTop="1" thickBot="1" x14ac:dyDescent="0.3">
      <c r="A80" s="173" t="s">
        <v>14</v>
      </c>
      <c r="B80" s="174"/>
      <c r="C80" s="227">
        <f>SUM(C70:C79)</f>
        <v>0</v>
      </c>
      <c r="D80" s="229">
        <f>SUM(D70:D79)</f>
        <v>0</v>
      </c>
      <c r="E80" s="270">
        <f>SUM(E70:E79)</f>
        <v>0</v>
      </c>
      <c r="F80" s="175">
        <v>0</v>
      </c>
      <c r="G80" s="244">
        <v>0</v>
      </c>
      <c r="H80" s="245">
        <v>0</v>
      </c>
    </row>
    <row r="81" spans="1:8" ht="15.75" thickTop="1" x14ac:dyDescent="0.2">
      <c r="A81" s="166"/>
      <c r="B81" s="167"/>
      <c r="C81" s="225"/>
      <c r="D81" s="225"/>
      <c r="E81" s="225"/>
      <c r="F81" s="165"/>
      <c r="G81" s="240"/>
      <c r="H81" s="241"/>
    </row>
    <row r="82" spans="1:8" ht="15.75" x14ac:dyDescent="0.25">
      <c r="A82" s="163" t="s">
        <v>67</v>
      </c>
      <c r="B82" s="164">
        <f>DATE(25,7,1)</f>
        <v>9314</v>
      </c>
      <c r="C82" s="225">
        <v>0</v>
      </c>
      <c r="D82" s="225">
        <v>0</v>
      </c>
      <c r="E82" s="225">
        <v>0</v>
      </c>
      <c r="F82" s="165">
        <v>0</v>
      </c>
      <c r="G82" s="240">
        <v>0</v>
      </c>
      <c r="H82" s="241">
        <v>0</v>
      </c>
    </row>
    <row r="83" spans="1:8" ht="15.75" x14ac:dyDescent="0.25">
      <c r="A83" s="163"/>
      <c r="B83" s="164">
        <f>DATE(25,8,1)</f>
        <v>9345</v>
      </c>
      <c r="C83" s="225">
        <v>0</v>
      </c>
      <c r="D83" s="225">
        <v>0</v>
      </c>
      <c r="E83" s="225">
        <v>0</v>
      </c>
      <c r="F83" s="165">
        <v>0</v>
      </c>
      <c r="G83" s="240">
        <v>0</v>
      </c>
      <c r="H83" s="288">
        <v>0</v>
      </c>
    </row>
    <row r="84" spans="1:8" ht="15.75" x14ac:dyDescent="0.25">
      <c r="A84" s="163"/>
      <c r="B84" s="164">
        <f>DATE(25,9,1)</f>
        <v>9376</v>
      </c>
      <c r="C84" s="225">
        <v>0</v>
      </c>
      <c r="D84" s="225">
        <v>0</v>
      </c>
      <c r="E84" s="225">
        <v>0</v>
      </c>
      <c r="F84" s="165">
        <v>0</v>
      </c>
      <c r="G84" s="240">
        <v>0</v>
      </c>
      <c r="H84" s="288">
        <v>0</v>
      </c>
    </row>
    <row r="85" spans="1:8" ht="15.75" x14ac:dyDescent="0.25">
      <c r="A85" s="163"/>
      <c r="B85" s="164">
        <f>DATE(25,10,1)</f>
        <v>9406</v>
      </c>
      <c r="C85" s="225">
        <v>0</v>
      </c>
      <c r="D85" s="225">
        <v>0</v>
      </c>
      <c r="E85" s="225">
        <v>0</v>
      </c>
      <c r="F85" s="165">
        <v>0</v>
      </c>
      <c r="G85" s="240">
        <v>0</v>
      </c>
      <c r="H85" s="288">
        <v>0</v>
      </c>
    </row>
    <row r="86" spans="1:8" ht="15.75" x14ac:dyDescent="0.25">
      <c r="A86" s="163"/>
      <c r="B86" s="164">
        <f>DATE(25,11,1)</f>
        <v>9437</v>
      </c>
      <c r="C86" s="225">
        <v>0</v>
      </c>
      <c r="D86" s="225">
        <v>0</v>
      </c>
      <c r="E86" s="225">
        <v>0</v>
      </c>
      <c r="F86" s="165">
        <v>0</v>
      </c>
      <c r="G86" s="240">
        <v>0</v>
      </c>
      <c r="H86" s="288">
        <v>0</v>
      </c>
    </row>
    <row r="87" spans="1:8" ht="15.75" x14ac:dyDescent="0.25">
      <c r="A87" s="163"/>
      <c r="B87" s="164">
        <f>DATE(25,12,1)</f>
        <v>9467</v>
      </c>
      <c r="C87" s="225">
        <v>0</v>
      </c>
      <c r="D87" s="225">
        <v>0</v>
      </c>
      <c r="E87" s="225">
        <v>0</v>
      </c>
      <c r="F87" s="165">
        <v>0</v>
      </c>
      <c r="G87" s="240">
        <v>0</v>
      </c>
      <c r="H87" s="288">
        <v>0</v>
      </c>
    </row>
    <row r="88" spans="1:8" ht="15.75" x14ac:dyDescent="0.25">
      <c r="A88" s="163"/>
      <c r="B88" s="164">
        <f>DATE(26,1,1)</f>
        <v>9498</v>
      </c>
      <c r="C88" s="225">
        <v>0</v>
      </c>
      <c r="D88" s="225">
        <v>0</v>
      </c>
      <c r="E88" s="225">
        <v>0</v>
      </c>
      <c r="F88" s="165">
        <v>0</v>
      </c>
      <c r="G88" s="240">
        <v>0</v>
      </c>
      <c r="H88" s="288">
        <v>0</v>
      </c>
    </row>
    <row r="89" spans="1:8" ht="15.75" x14ac:dyDescent="0.25">
      <c r="A89" s="163"/>
      <c r="B89" s="164">
        <f>DATE(26,2,1)</f>
        <v>9529</v>
      </c>
      <c r="C89" s="225">
        <v>0</v>
      </c>
      <c r="D89" s="225">
        <v>0</v>
      </c>
      <c r="E89" s="225">
        <v>0</v>
      </c>
      <c r="F89" s="165">
        <v>0</v>
      </c>
      <c r="G89" s="240">
        <v>0</v>
      </c>
      <c r="H89" s="288">
        <v>0</v>
      </c>
    </row>
    <row r="90" spans="1:8" ht="15.75" x14ac:dyDescent="0.25">
      <c r="A90" s="163"/>
      <c r="B90" s="164">
        <f>DATE(26,3,1)</f>
        <v>9557</v>
      </c>
      <c r="C90" s="225">
        <v>0</v>
      </c>
      <c r="D90" s="225">
        <v>0</v>
      </c>
      <c r="E90" s="225">
        <v>0</v>
      </c>
      <c r="F90" s="165">
        <v>0</v>
      </c>
      <c r="G90" s="240">
        <v>0</v>
      </c>
      <c r="H90" s="288">
        <v>0</v>
      </c>
    </row>
    <row r="91" spans="1:8" ht="15.75" thickBot="1" x14ac:dyDescent="0.25">
      <c r="A91" s="166"/>
      <c r="B91" s="164"/>
      <c r="C91" s="225"/>
      <c r="D91" s="225"/>
      <c r="E91" s="225"/>
      <c r="F91" s="165"/>
      <c r="G91" s="240"/>
      <c r="H91" s="241"/>
    </row>
    <row r="92" spans="1:8" ht="17.25" thickTop="1" thickBot="1" x14ac:dyDescent="0.3">
      <c r="A92" s="173" t="s">
        <v>14</v>
      </c>
      <c r="B92" s="174"/>
      <c r="C92" s="227">
        <f>SUM(C82:C91)</f>
        <v>0</v>
      </c>
      <c r="D92" s="229">
        <f>SUM(D82:D91)</f>
        <v>0</v>
      </c>
      <c r="E92" s="270">
        <f>SUM(E82:E91)</f>
        <v>0</v>
      </c>
      <c r="F92" s="175">
        <v>0</v>
      </c>
      <c r="G92" s="244">
        <v>0</v>
      </c>
      <c r="H92" s="245">
        <v>0</v>
      </c>
    </row>
    <row r="93" spans="1:8" ht="15.75" thickTop="1" x14ac:dyDescent="0.2">
      <c r="A93" s="166"/>
      <c r="B93" s="167"/>
      <c r="C93" s="225"/>
      <c r="D93" s="225"/>
      <c r="E93" s="225"/>
      <c r="F93" s="165"/>
      <c r="G93" s="240"/>
      <c r="H93" s="241"/>
    </row>
    <row r="94" spans="1:8" ht="15.75" x14ac:dyDescent="0.25">
      <c r="A94" s="163" t="s">
        <v>69</v>
      </c>
      <c r="B94" s="164">
        <f>DATE(25,7,1)</f>
        <v>9314</v>
      </c>
      <c r="C94" s="225">
        <v>0</v>
      </c>
      <c r="D94" s="225">
        <v>0</v>
      </c>
      <c r="E94" s="225">
        <v>0</v>
      </c>
      <c r="F94" s="165">
        <v>0</v>
      </c>
      <c r="G94" s="240">
        <v>0</v>
      </c>
      <c r="H94" s="241">
        <v>0</v>
      </c>
    </row>
    <row r="95" spans="1:8" ht="15.75" x14ac:dyDescent="0.25">
      <c r="A95" s="163"/>
      <c r="B95" s="164">
        <f>DATE(25,8,1)</f>
        <v>9345</v>
      </c>
      <c r="C95" s="225">
        <v>0</v>
      </c>
      <c r="D95" s="225">
        <v>0</v>
      </c>
      <c r="E95" s="225">
        <v>0</v>
      </c>
      <c r="F95" s="165">
        <v>0</v>
      </c>
      <c r="G95" s="240">
        <v>0</v>
      </c>
      <c r="H95" s="288">
        <v>0</v>
      </c>
    </row>
    <row r="96" spans="1:8" ht="15.75" x14ac:dyDescent="0.25">
      <c r="A96" s="163"/>
      <c r="B96" s="164">
        <f>DATE(25,9,1)</f>
        <v>9376</v>
      </c>
      <c r="C96" s="225">
        <v>0</v>
      </c>
      <c r="D96" s="225">
        <v>0</v>
      </c>
      <c r="E96" s="225">
        <v>0</v>
      </c>
      <c r="F96" s="165">
        <v>0</v>
      </c>
      <c r="G96" s="240">
        <v>0</v>
      </c>
      <c r="H96" s="288">
        <v>0</v>
      </c>
    </row>
    <row r="97" spans="1:8" ht="15.75" x14ac:dyDescent="0.25">
      <c r="A97" s="163"/>
      <c r="B97" s="164">
        <f>DATE(25,10,1)</f>
        <v>9406</v>
      </c>
      <c r="C97" s="225">
        <v>0</v>
      </c>
      <c r="D97" s="225">
        <v>0</v>
      </c>
      <c r="E97" s="225">
        <v>0</v>
      </c>
      <c r="F97" s="165">
        <v>0</v>
      </c>
      <c r="G97" s="240">
        <v>0</v>
      </c>
      <c r="H97" s="288">
        <v>0</v>
      </c>
    </row>
    <row r="98" spans="1:8" ht="15.75" x14ac:dyDescent="0.25">
      <c r="A98" s="163"/>
      <c r="B98" s="164">
        <f>DATE(25,11,1)</f>
        <v>9437</v>
      </c>
      <c r="C98" s="225">
        <v>0</v>
      </c>
      <c r="D98" s="225">
        <v>0</v>
      </c>
      <c r="E98" s="225">
        <v>0</v>
      </c>
      <c r="F98" s="165">
        <v>0</v>
      </c>
      <c r="G98" s="240">
        <v>0</v>
      </c>
      <c r="H98" s="288">
        <v>0</v>
      </c>
    </row>
    <row r="99" spans="1:8" ht="15.75" x14ac:dyDescent="0.25">
      <c r="A99" s="163"/>
      <c r="B99" s="164">
        <f>DATE(25,12,1)</f>
        <v>9467</v>
      </c>
      <c r="C99" s="225">
        <v>0</v>
      </c>
      <c r="D99" s="225">
        <v>0</v>
      </c>
      <c r="E99" s="225">
        <v>0</v>
      </c>
      <c r="F99" s="165">
        <v>0</v>
      </c>
      <c r="G99" s="240">
        <v>0</v>
      </c>
      <c r="H99" s="288">
        <v>0</v>
      </c>
    </row>
    <row r="100" spans="1:8" ht="15.75" x14ac:dyDescent="0.25">
      <c r="A100" s="163"/>
      <c r="B100" s="164">
        <f>DATE(26,1,1)</f>
        <v>9498</v>
      </c>
      <c r="C100" s="225">
        <v>0</v>
      </c>
      <c r="D100" s="225">
        <v>0</v>
      </c>
      <c r="E100" s="225">
        <v>0</v>
      </c>
      <c r="F100" s="165">
        <v>0</v>
      </c>
      <c r="G100" s="240">
        <v>0</v>
      </c>
      <c r="H100" s="288">
        <v>0</v>
      </c>
    </row>
    <row r="101" spans="1:8" ht="15.75" x14ac:dyDescent="0.25">
      <c r="A101" s="163"/>
      <c r="B101" s="164">
        <f>DATE(26,2,1)</f>
        <v>9529</v>
      </c>
      <c r="C101" s="225">
        <v>0</v>
      </c>
      <c r="D101" s="225">
        <v>0</v>
      </c>
      <c r="E101" s="225">
        <v>0</v>
      </c>
      <c r="F101" s="165">
        <v>0</v>
      </c>
      <c r="G101" s="240">
        <v>0</v>
      </c>
      <c r="H101" s="288">
        <v>0</v>
      </c>
    </row>
    <row r="102" spans="1:8" ht="15.75" x14ac:dyDescent="0.25">
      <c r="A102" s="163"/>
      <c r="B102" s="164">
        <f>DATE(26,3,1)</f>
        <v>9557</v>
      </c>
      <c r="C102" s="225">
        <v>0</v>
      </c>
      <c r="D102" s="225">
        <v>0</v>
      </c>
      <c r="E102" s="225">
        <v>0</v>
      </c>
      <c r="F102" s="165">
        <v>0</v>
      </c>
      <c r="G102" s="240">
        <v>0</v>
      </c>
      <c r="H102" s="288">
        <v>0</v>
      </c>
    </row>
    <row r="103" spans="1:8" ht="15.75" thickBot="1" x14ac:dyDescent="0.25">
      <c r="A103" s="166"/>
      <c r="B103" s="164"/>
      <c r="C103" s="225"/>
      <c r="D103" s="225"/>
      <c r="E103" s="225"/>
      <c r="F103" s="165"/>
      <c r="G103" s="240"/>
      <c r="H103" s="241"/>
    </row>
    <row r="104" spans="1:8" ht="17.25" thickTop="1" thickBot="1" x14ac:dyDescent="0.3">
      <c r="A104" s="173" t="s">
        <v>14</v>
      </c>
      <c r="B104" s="174"/>
      <c r="C104" s="227">
        <f>SUM(C94:C103)</f>
        <v>0</v>
      </c>
      <c r="D104" s="229">
        <f>SUM(D94:D103)</f>
        <v>0</v>
      </c>
      <c r="E104" s="270">
        <f>SUM(E94:E103)</f>
        <v>0</v>
      </c>
      <c r="F104" s="175">
        <v>0</v>
      </c>
      <c r="G104" s="248">
        <v>0</v>
      </c>
      <c r="H104" s="269">
        <v>0</v>
      </c>
    </row>
    <row r="105" spans="1:8" ht="15.75" thickTop="1" x14ac:dyDescent="0.2">
      <c r="A105" s="166"/>
      <c r="B105" s="178"/>
      <c r="C105" s="228"/>
      <c r="D105" s="228"/>
      <c r="E105" s="228"/>
      <c r="F105" s="179"/>
      <c r="G105" s="246"/>
      <c r="H105" s="247"/>
    </row>
    <row r="106" spans="1:8" ht="15.75" x14ac:dyDescent="0.25">
      <c r="A106" s="163" t="s">
        <v>16</v>
      </c>
      <c r="B106" s="164">
        <f>DATE(25,7,1)</f>
        <v>9314</v>
      </c>
      <c r="C106" s="225">
        <v>0</v>
      </c>
      <c r="D106" s="225">
        <v>0</v>
      </c>
      <c r="E106" s="225">
        <v>0</v>
      </c>
      <c r="F106" s="165">
        <v>0</v>
      </c>
      <c r="G106" s="240">
        <v>0</v>
      </c>
      <c r="H106" s="241">
        <v>0</v>
      </c>
    </row>
    <row r="107" spans="1:8" ht="15.75" x14ac:dyDescent="0.25">
      <c r="A107" s="163"/>
      <c r="B107" s="164">
        <f>DATE(25,8,1)</f>
        <v>9345</v>
      </c>
      <c r="C107" s="225">
        <v>0</v>
      </c>
      <c r="D107" s="225">
        <v>0</v>
      </c>
      <c r="E107" s="225">
        <v>0</v>
      </c>
      <c r="F107" s="165">
        <v>0</v>
      </c>
      <c r="G107" s="240">
        <v>0</v>
      </c>
      <c r="H107" s="288">
        <v>0</v>
      </c>
    </row>
    <row r="108" spans="1:8" ht="15.75" x14ac:dyDescent="0.25">
      <c r="A108" s="163"/>
      <c r="B108" s="164">
        <f>DATE(25,9,1)</f>
        <v>9376</v>
      </c>
      <c r="C108" s="225">
        <v>0</v>
      </c>
      <c r="D108" s="225">
        <v>0</v>
      </c>
      <c r="E108" s="225">
        <v>0</v>
      </c>
      <c r="F108" s="165">
        <v>0</v>
      </c>
      <c r="G108" s="240">
        <v>0</v>
      </c>
      <c r="H108" s="288">
        <v>0</v>
      </c>
    </row>
    <row r="109" spans="1:8" ht="15.75" x14ac:dyDescent="0.25">
      <c r="A109" s="163"/>
      <c r="B109" s="164">
        <f>DATE(25,10,1)</f>
        <v>9406</v>
      </c>
      <c r="C109" s="225">
        <v>0</v>
      </c>
      <c r="D109" s="225">
        <v>0</v>
      </c>
      <c r="E109" s="225">
        <v>0</v>
      </c>
      <c r="F109" s="165">
        <v>0</v>
      </c>
      <c r="G109" s="240">
        <v>0</v>
      </c>
      <c r="H109" s="288">
        <v>0</v>
      </c>
    </row>
    <row r="110" spans="1:8" ht="15.75" x14ac:dyDescent="0.25">
      <c r="A110" s="163"/>
      <c r="B110" s="164">
        <f>DATE(25,11,1)</f>
        <v>9437</v>
      </c>
      <c r="C110" s="225">
        <v>0</v>
      </c>
      <c r="D110" s="225">
        <v>0</v>
      </c>
      <c r="E110" s="225">
        <v>0</v>
      </c>
      <c r="F110" s="165">
        <v>0</v>
      </c>
      <c r="G110" s="240">
        <v>0</v>
      </c>
      <c r="H110" s="288">
        <v>0</v>
      </c>
    </row>
    <row r="111" spans="1:8" ht="15.75" x14ac:dyDescent="0.25">
      <c r="A111" s="163"/>
      <c r="B111" s="164">
        <f>DATE(25,12,1)</f>
        <v>9467</v>
      </c>
      <c r="C111" s="225">
        <v>0</v>
      </c>
      <c r="D111" s="225">
        <v>0</v>
      </c>
      <c r="E111" s="225">
        <v>0</v>
      </c>
      <c r="F111" s="165">
        <v>0</v>
      </c>
      <c r="G111" s="240">
        <v>0</v>
      </c>
      <c r="H111" s="288">
        <v>0</v>
      </c>
    </row>
    <row r="112" spans="1:8" ht="15.75" x14ac:dyDescent="0.25">
      <c r="A112" s="163"/>
      <c r="B112" s="164">
        <f>DATE(26,1,1)</f>
        <v>9498</v>
      </c>
      <c r="C112" s="225">
        <v>0</v>
      </c>
      <c r="D112" s="225">
        <v>0</v>
      </c>
      <c r="E112" s="225">
        <v>0</v>
      </c>
      <c r="F112" s="165">
        <v>0</v>
      </c>
      <c r="G112" s="240">
        <v>0</v>
      </c>
      <c r="H112" s="288">
        <v>0</v>
      </c>
    </row>
    <row r="113" spans="1:8" ht="15.75" x14ac:dyDescent="0.25">
      <c r="A113" s="163"/>
      <c r="B113" s="164">
        <f>DATE(26,2,1)</f>
        <v>9529</v>
      </c>
      <c r="C113" s="225">
        <v>0</v>
      </c>
      <c r="D113" s="225">
        <v>0</v>
      </c>
      <c r="E113" s="225">
        <v>0</v>
      </c>
      <c r="F113" s="165">
        <v>0</v>
      </c>
      <c r="G113" s="240">
        <v>0</v>
      </c>
      <c r="H113" s="288">
        <v>0</v>
      </c>
    </row>
    <row r="114" spans="1:8" ht="15.75" x14ac:dyDescent="0.25">
      <c r="A114" s="163"/>
      <c r="B114" s="164">
        <f>DATE(26,3,1)</f>
        <v>9557</v>
      </c>
      <c r="C114" s="225">
        <v>0</v>
      </c>
      <c r="D114" s="225">
        <v>0</v>
      </c>
      <c r="E114" s="225">
        <v>0</v>
      </c>
      <c r="F114" s="165">
        <v>0</v>
      </c>
      <c r="G114" s="240">
        <v>0</v>
      </c>
      <c r="H114" s="288">
        <v>0</v>
      </c>
    </row>
    <row r="115" spans="1:8" ht="16.5" thickBot="1" x14ac:dyDescent="0.3">
      <c r="A115" s="163"/>
      <c r="B115" s="164"/>
      <c r="C115" s="225"/>
      <c r="D115" s="225"/>
      <c r="E115" s="225"/>
      <c r="F115" s="165"/>
      <c r="G115" s="240"/>
      <c r="H115" s="241"/>
    </row>
    <row r="116" spans="1:8" ht="17.25" thickTop="1" thickBot="1" x14ac:dyDescent="0.3">
      <c r="A116" s="173" t="s">
        <v>14</v>
      </c>
      <c r="B116" s="180"/>
      <c r="C116" s="227">
        <f>SUM(C106:C115)</f>
        <v>0</v>
      </c>
      <c r="D116" s="227">
        <f>SUM(D106:D115)</f>
        <v>0</v>
      </c>
      <c r="E116" s="227">
        <f>SUM(E106:E115)</f>
        <v>0</v>
      </c>
      <c r="F116" s="175">
        <v>0</v>
      </c>
      <c r="G116" s="244">
        <v>0</v>
      </c>
      <c r="H116" s="245">
        <v>0</v>
      </c>
    </row>
    <row r="117" spans="1:8" ht="15.75" thickTop="1" x14ac:dyDescent="0.2">
      <c r="A117" s="170"/>
      <c r="B117" s="171"/>
      <c r="C117" s="226"/>
      <c r="D117" s="226"/>
      <c r="E117" s="226"/>
      <c r="F117" s="172"/>
      <c r="G117" s="242"/>
      <c r="H117" s="243"/>
    </row>
    <row r="118" spans="1:8" ht="15.75" x14ac:dyDescent="0.25">
      <c r="A118" s="163" t="s">
        <v>53</v>
      </c>
      <c r="B118" s="164">
        <f>DATE(25,7,1)</f>
        <v>9314</v>
      </c>
      <c r="C118" s="225">
        <v>0</v>
      </c>
      <c r="D118" s="225">
        <v>0</v>
      </c>
      <c r="E118" s="225">
        <v>68164.28</v>
      </c>
      <c r="F118" s="165">
        <v>-1</v>
      </c>
      <c r="G118" s="240">
        <v>0</v>
      </c>
      <c r="H118" s="288">
        <v>0</v>
      </c>
    </row>
    <row r="119" spans="1:8" ht="15.75" x14ac:dyDescent="0.25">
      <c r="A119" s="163"/>
      <c r="B119" s="164">
        <f>DATE(25,8,1)</f>
        <v>9345</v>
      </c>
      <c r="C119" s="225">
        <v>0</v>
      </c>
      <c r="D119" s="225">
        <v>0</v>
      </c>
      <c r="E119" s="225">
        <v>71751.61</v>
      </c>
      <c r="F119" s="165">
        <v>-1</v>
      </c>
      <c r="G119" s="240">
        <v>0</v>
      </c>
      <c r="H119" s="288">
        <v>0</v>
      </c>
    </row>
    <row r="120" spans="1:8" ht="15.75" x14ac:dyDescent="0.25">
      <c r="A120" s="163"/>
      <c r="B120" s="164">
        <f>DATE(25,9,1)</f>
        <v>9376</v>
      </c>
      <c r="C120" s="225">
        <v>0</v>
      </c>
      <c r="D120" s="225">
        <v>0</v>
      </c>
      <c r="E120" s="225">
        <v>43866.52</v>
      </c>
      <c r="F120" s="165">
        <v>-1</v>
      </c>
      <c r="G120" s="240">
        <v>0</v>
      </c>
      <c r="H120" s="288">
        <v>0</v>
      </c>
    </row>
    <row r="121" spans="1:8" ht="15.75" x14ac:dyDescent="0.25">
      <c r="A121" s="163"/>
      <c r="B121" s="164">
        <f>DATE(25,10,1)</f>
        <v>9406</v>
      </c>
      <c r="C121" s="225">
        <v>0</v>
      </c>
      <c r="D121" s="225">
        <v>0</v>
      </c>
      <c r="E121" s="225">
        <v>65540.570000000007</v>
      </c>
      <c r="F121" s="165">
        <v>-1</v>
      </c>
      <c r="G121" s="240">
        <v>0</v>
      </c>
      <c r="H121" s="288">
        <v>0</v>
      </c>
    </row>
    <row r="122" spans="1:8" ht="15.75" x14ac:dyDescent="0.25">
      <c r="A122" s="163"/>
      <c r="B122" s="164">
        <f>DATE(25,11,1)</f>
        <v>9437</v>
      </c>
      <c r="C122" s="225">
        <v>0</v>
      </c>
      <c r="D122" s="225">
        <v>0</v>
      </c>
      <c r="E122" s="225">
        <v>95014</v>
      </c>
      <c r="F122" s="165">
        <v>-1</v>
      </c>
      <c r="G122" s="240">
        <v>0</v>
      </c>
      <c r="H122" s="288">
        <v>0</v>
      </c>
    </row>
    <row r="123" spans="1:8" ht="15.75" x14ac:dyDescent="0.25">
      <c r="A123" s="163"/>
      <c r="B123" s="164">
        <f>DATE(25,12,1)</f>
        <v>9467</v>
      </c>
      <c r="C123" s="225">
        <v>0</v>
      </c>
      <c r="D123" s="225">
        <v>0</v>
      </c>
      <c r="E123" s="225">
        <v>68607.25</v>
      </c>
      <c r="F123" s="165">
        <v>-1</v>
      </c>
      <c r="G123" s="240">
        <v>0</v>
      </c>
      <c r="H123" s="288">
        <v>0</v>
      </c>
    </row>
    <row r="124" spans="1:8" ht="15.75" x14ac:dyDescent="0.25">
      <c r="A124" s="163"/>
      <c r="B124" s="164">
        <f>DATE(26,1,1)</f>
        <v>9498</v>
      </c>
      <c r="C124" s="225">
        <v>0</v>
      </c>
      <c r="D124" s="225">
        <v>0</v>
      </c>
      <c r="E124" s="225">
        <v>4066.07</v>
      </c>
      <c r="F124" s="165">
        <v>-1</v>
      </c>
      <c r="G124" s="240">
        <v>0</v>
      </c>
      <c r="H124" s="288">
        <v>0</v>
      </c>
    </row>
    <row r="125" spans="1:8" ht="15.75" x14ac:dyDescent="0.25">
      <c r="A125" s="163"/>
      <c r="B125" s="164">
        <f>DATE(26,2,1)</f>
        <v>9529</v>
      </c>
      <c r="C125" s="225">
        <v>0</v>
      </c>
      <c r="D125" s="225">
        <v>0</v>
      </c>
      <c r="E125" s="225">
        <v>0</v>
      </c>
      <c r="F125" s="165">
        <v>0</v>
      </c>
      <c r="G125" s="240">
        <v>0</v>
      </c>
      <c r="H125" s="288">
        <v>0</v>
      </c>
    </row>
    <row r="126" spans="1:8" ht="15.75" x14ac:dyDescent="0.25">
      <c r="A126" s="163"/>
      <c r="B126" s="164">
        <f>DATE(26,3,1)</f>
        <v>9557</v>
      </c>
      <c r="C126" s="225">
        <v>0</v>
      </c>
      <c r="D126" s="225">
        <v>0</v>
      </c>
      <c r="E126" s="225">
        <v>0</v>
      </c>
      <c r="F126" s="165">
        <v>0</v>
      </c>
      <c r="G126" s="240">
        <v>0</v>
      </c>
      <c r="H126" s="288">
        <v>0</v>
      </c>
    </row>
    <row r="127" spans="1:8" ht="15.75" thickBot="1" x14ac:dyDescent="0.25">
      <c r="A127" s="166"/>
      <c r="B127" s="167"/>
      <c r="C127" s="225"/>
      <c r="D127" s="225"/>
      <c r="E127" s="225"/>
      <c r="F127" s="165"/>
      <c r="G127" s="240"/>
      <c r="H127" s="241"/>
    </row>
    <row r="128" spans="1:8" ht="17.25" thickTop="1" thickBot="1" x14ac:dyDescent="0.3">
      <c r="A128" s="173" t="s">
        <v>14</v>
      </c>
      <c r="B128" s="174"/>
      <c r="C128" s="227">
        <f>SUM(C118:C127)</f>
        <v>0</v>
      </c>
      <c r="D128" s="227">
        <f>SUM(D118:D127)</f>
        <v>0</v>
      </c>
      <c r="E128" s="227">
        <f>SUM(E118:E127)</f>
        <v>417010.3</v>
      </c>
      <c r="F128" s="175">
        <v>-1</v>
      </c>
      <c r="G128" s="290">
        <v>0</v>
      </c>
      <c r="H128" s="291">
        <v>0</v>
      </c>
    </row>
    <row r="129" spans="1:8" ht="15.75" thickTop="1" x14ac:dyDescent="0.2">
      <c r="A129" s="166"/>
      <c r="B129" s="167"/>
      <c r="C129" s="225"/>
      <c r="D129" s="225"/>
      <c r="E129" s="225"/>
      <c r="F129" s="165"/>
      <c r="G129" s="240"/>
      <c r="H129" s="241"/>
    </row>
    <row r="130" spans="1:8" ht="15.75" x14ac:dyDescent="0.25">
      <c r="A130" s="163" t="s">
        <v>54</v>
      </c>
      <c r="B130" s="164">
        <f>DATE(25,7,1)</f>
        <v>9314</v>
      </c>
      <c r="C130" s="225">
        <v>0</v>
      </c>
      <c r="D130" s="225">
        <v>0</v>
      </c>
      <c r="E130" s="225">
        <v>0</v>
      </c>
      <c r="F130" s="165">
        <v>0</v>
      </c>
      <c r="G130" s="240">
        <v>0</v>
      </c>
      <c r="H130" s="241">
        <v>0</v>
      </c>
    </row>
    <row r="131" spans="1:8" ht="15.75" x14ac:dyDescent="0.25">
      <c r="A131" s="163"/>
      <c r="B131" s="164">
        <f>DATE(25,8,1)</f>
        <v>9345</v>
      </c>
      <c r="C131" s="225">
        <v>0</v>
      </c>
      <c r="D131" s="225">
        <v>0</v>
      </c>
      <c r="E131" s="225">
        <v>0</v>
      </c>
      <c r="F131" s="165">
        <v>0</v>
      </c>
      <c r="G131" s="240">
        <v>0</v>
      </c>
      <c r="H131" s="288">
        <v>0</v>
      </c>
    </row>
    <row r="132" spans="1:8" ht="15.75" x14ac:dyDescent="0.25">
      <c r="A132" s="163"/>
      <c r="B132" s="164">
        <f>DATE(25,9,1)</f>
        <v>9376</v>
      </c>
      <c r="C132" s="225">
        <v>0</v>
      </c>
      <c r="D132" s="225">
        <v>0</v>
      </c>
      <c r="E132" s="225">
        <v>0</v>
      </c>
      <c r="F132" s="165">
        <v>0</v>
      </c>
      <c r="G132" s="240">
        <v>0</v>
      </c>
      <c r="H132" s="288">
        <v>0</v>
      </c>
    </row>
    <row r="133" spans="1:8" ht="15.75" x14ac:dyDescent="0.25">
      <c r="A133" s="163"/>
      <c r="B133" s="164">
        <f>DATE(25,10,1)</f>
        <v>9406</v>
      </c>
      <c r="C133" s="225">
        <v>0</v>
      </c>
      <c r="D133" s="225">
        <v>0</v>
      </c>
      <c r="E133" s="225">
        <v>0</v>
      </c>
      <c r="F133" s="165">
        <v>0</v>
      </c>
      <c r="G133" s="240">
        <v>0</v>
      </c>
      <c r="H133" s="288">
        <v>0</v>
      </c>
    </row>
    <row r="134" spans="1:8" ht="15.75" x14ac:dyDescent="0.25">
      <c r="A134" s="163"/>
      <c r="B134" s="164">
        <f>DATE(25,11,1)</f>
        <v>9437</v>
      </c>
      <c r="C134" s="225">
        <v>0</v>
      </c>
      <c r="D134" s="225">
        <v>0</v>
      </c>
      <c r="E134" s="225">
        <v>0</v>
      </c>
      <c r="F134" s="165">
        <v>0</v>
      </c>
      <c r="G134" s="240">
        <v>0</v>
      </c>
      <c r="H134" s="288">
        <v>0</v>
      </c>
    </row>
    <row r="135" spans="1:8" ht="15.75" x14ac:dyDescent="0.25">
      <c r="A135" s="163"/>
      <c r="B135" s="164">
        <f>DATE(25,12,1)</f>
        <v>9467</v>
      </c>
      <c r="C135" s="225">
        <v>0</v>
      </c>
      <c r="D135" s="225">
        <v>0</v>
      </c>
      <c r="E135" s="225">
        <v>0</v>
      </c>
      <c r="F135" s="165">
        <v>0</v>
      </c>
      <c r="G135" s="240">
        <v>0</v>
      </c>
      <c r="H135" s="288">
        <v>0</v>
      </c>
    </row>
    <row r="136" spans="1:8" ht="15.75" x14ac:dyDescent="0.25">
      <c r="A136" s="163"/>
      <c r="B136" s="164">
        <f>DATE(26,1,1)</f>
        <v>9498</v>
      </c>
      <c r="C136" s="225">
        <v>0</v>
      </c>
      <c r="D136" s="225">
        <v>0</v>
      </c>
      <c r="E136" s="225">
        <v>0</v>
      </c>
      <c r="F136" s="165">
        <v>0</v>
      </c>
      <c r="G136" s="240">
        <v>0</v>
      </c>
      <c r="H136" s="288">
        <v>0</v>
      </c>
    </row>
    <row r="137" spans="1:8" ht="15.75" x14ac:dyDescent="0.25">
      <c r="A137" s="163"/>
      <c r="B137" s="164">
        <f>DATE(26,2,1)</f>
        <v>9529</v>
      </c>
      <c r="C137" s="225">
        <v>0</v>
      </c>
      <c r="D137" s="225">
        <v>0</v>
      </c>
      <c r="E137" s="225">
        <v>0</v>
      </c>
      <c r="F137" s="165">
        <v>0</v>
      </c>
      <c r="G137" s="240">
        <v>0</v>
      </c>
      <c r="H137" s="288">
        <v>0</v>
      </c>
    </row>
    <row r="138" spans="1:8" ht="15.75" x14ac:dyDescent="0.25">
      <c r="A138" s="163"/>
      <c r="B138" s="164">
        <f>DATE(26,3,1)</f>
        <v>9557</v>
      </c>
      <c r="C138" s="225">
        <v>0</v>
      </c>
      <c r="D138" s="225">
        <v>0</v>
      </c>
      <c r="E138" s="225">
        <v>0</v>
      </c>
      <c r="F138" s="165">
        <v>0</v>
      </c>
      <c r="G138" s="240">
        <v>0</v>
      </c>
      <c r="H138" s="288">
        <v>0</v>
      </c>
    </row>
    <row r="139" spans="1:8" ht="15.75" thickBot="1" x14ac:dyDescent="0.25">
      <c r="A139" s="166"/>
      <c r="B139" s="167"/>
      <c r="C139" s="225"/>
      <c r="D139" s="225"/>
      <c r="E139" s="225"/>
      <c r="F139" s="165"/>
      <c r="G139" s="240"/>
      <c r="H139" s="241"/>
    </row>
    <row r="140" spans="1:8" ht="17.25" thickTop="1" thickBot="1" x14ac:dyDescent="0.3">
      <c r="A140" s="181" t="s">
        <v>14</v>
      </c>
      <c r="B140" s="182"/>
      <c r="C140" s="229">
        <f>SUM(C130:C139)</f>
        <v>0</v>
      </c>
      <c r="D140" s="229">
        <f>SUM(D130:D139)</f>
        <v>0</v>
      </c>
      <c r="E140" s="229">
        <f>SUM(E130:E139)</f>
        <v>0</v>
      </c>
      <c r="F140" s="175">
        <v>0</v>
      </c>
      <c r="G140" s="244">
        <v>0</v>
      </c>
      <c r="H140" s="245">
        <v>0</v>
      </c>
    </row>
    <row r="141" spans="1:8" ht="15.75" thickTop="1" x14ac:dyDescent="0.2">
      <c r="A141" s="166"/>
      <c r="B141" s="167"/>
      <c r="C141" s="225"/>
      <c r="D141" s="225"/>
      <c r="E141" s="225"/>
      <c r="F141" s="165"/>
      <c r="G141" s="240"/>
      <c r="H141" s="241"/>
    </row>
    <row r="142" spans="1:8" ht="15.75" x14ac:dyDescent="0.25">
      <c r="A142" s="163" t="s">
        <v>37</v>
      </c>
      <c r="B142" s="164">
        <f>DATE(25,7,1)</f>
        <v>9314</v>
      </c>
      <c r="C142" s="225">
        <v>0</v>
      </c>
      <c r="D142" s="225">
        <v>0</v>
      </c>
      <c r="E142" s="225">
        <v>0</v>
      </c>
      <c r="F142" s="165">
        <v>0</v>
      </c>
      <c r="G142" s="240">
        <v>0</v>
      </c>
      <c r="H142" s="288">
        <v>0</v>
      </c>
    </row>
    <row r="143" spans="1:8" ht="15.75" x14ac:dyDescent="0.25">
      <c r="A143" s="163"/>
      <c r="B143" s="164">
        <f>DATE(25,8,1)</f>
        <v>9345</v>
      </c>
      <c r="C143" s="225">
        <v>0</v>
      </c>
      <c r="D143" s="225">
        <v>0</v>
      </c>
      <c r="E143" s="225">
        <v>0</v>
      </c>
      <c r="F143" s="165">
        <v>0</v>
      </c>
      <c r="G143" s="240">
        <v>0</v>
      </c>
      <c r="H143" s="288">
        <v>0</v>
      </c>
    </row>
    <row r="144" spans="1:8" ht="15.75" x14ac:dyDescent="0.25">
      <c r="A144" s="163"/>
      <c r="B144" s="164">
        <f>DATE(25,9,1)</f>
        <v>9376</v>
      </c>
      <c r="C144" s="225">
        <v>0</v>
      </c>
      <c r="D144" s="225">
        <v>0</v>
      </c>
      <c r="E144" s="225">
        <v>0</v>
      </c>
      <c r="F144" s="165">
        <v>0</v>
      </c>
      <c r="G144" s="240">
        <v>0</v>
      </c>
      <c r="H144" s="288">
        <v>0</v>
      </c>
    </row>
    <row r="145" spans="1:8" ht="15.75" x14ac:dyDescent="0.25">
      <c r="A145" s="163"/>
      <c r="B145" s="164">
        <f>DATE(25,10,1)</f>
        <v>9406</v>
      </c>
      <c r="C145" s="225">
        <v>0</v>
      </c>
      <c r="D145" s="225">
        <v>0</v>
      </c>
      <c r="E145" s="225">
        <v>0</v>
      </c>
      <c r="F145" s="165">
        <v>0</v>
      </c>
      <c r="G145" s="240">
        <v>0</v>
      </c>
      <c r="H145" s="288">
        <v>0</v>
      </c>
    </row>
    <row r="146" spans="1:8" ht="15.75" x14ac:dyDescent="0.25">
      <c r="A146" s="163"/>
      <c r="B146" s="164">
        <f>DATE(25,11,1)</f>
        <v>9437</v>
      </c>
      <c r="C146" s="225">
        <v>0</v>
      </c>
      <c r="D146" s="225">
        <v>0</v>
      </c>
      <c r="E146" s="225">
        <v>0</v>
      </c>
      <c r="F146" s="165">
        <v>0</v>
      </c>
      <c r="G146" s="240">
        <v>0</v>
      </c>
      <c r="H146" s="288">
        <v>0</v>
      </c>
    </row>
    <row r="147" spans="1:8" ht="15.75" x14ac:dyDescent="0.25">
      <c r="A147" s="163"/>
      <c r="B147" s="164">
        <f>DATE(25,12,1)</f>
        <v>9467</v>
      </c>
      <c r="C147" s="225">
        <v>0</v>
      </c>
      <c r="D147" s="225">
        <v>0</v>
      </c>
      <c r="E147" s="225">
        <v>0</v>
      </c>
      <c r="F147" s="165">
        <v>0</v>
      </c>
      <c r="G147" s="240">
        <v>0</v>
      </c>
      <c r="H147" s="288">
        <v>0</v>
      </c>
    </row>
    <row r="148" spans="1:8" ht="15.75" x14ac:dyDescent="0.25">
      <c r="A148" s="163"/>
      <c r="B148" s="164">
        <f>DATE(26,1,1)</f>
        <v>9498</v>
      </c>
      <c r="C148" s="225">
        <v>0</v>
      </c>
      <c r="D148" s="225">
        <v>0</v>
      </c>
      <c r="E148" s="225">
        <v>0</v>
      </c>
      <c r="F148" s="165">
        <v>0</v>
      </c>
      <c r="G148" s="240">
        <v>0</v>
      </c>
      <c r="H148" s="288">
        <v>0</v>
      </c>
    </row>
    <row r="149" spans="1:8" ht="15.75" x14ac:dyDescent="0.25">
      <c r="A149" s="163"/>
      <c r="B149" s="164">
        <f>DATE(26,2,1)</f>
        <v>9529</v>
      </c>
      <c r="C149" s="225">
        <v>0</v>
      </c>
      <c r="D149" s="225">
        <v>0</v>
      </c>
      <c r="E149" s="225">
        <v>0</v>
      </c>
      <c r="F149" s="165">
        <v>0</v>
      </c>
      <c r="G149" s="240">
        <v>0</v>
      </c>
      <c r="H149" s="288">
        <v>0</v>
      </c>
    </row>
    <row r="150" spans="1:8" ht="15.75" x14ac:dyDescent="0.25">
      <c r="A150" s="163"/>
      <c r="B150" s="164">
        <f>DATE(26,3,1)</f>
        <v>9557</v>
      </c>
      <c r="C150" s="225">
        <v>0</v>
      </c>
      <c r="D150" s="225">
        <v>0</v>
      </c>
      <c r="E150" s="225">
        <v>0</v>
      </c>
      <c r="F150" s="165">
        <v>0</v>
      </c>
      <c r="G150" s="240">
        <v>0</v>
      </c>
      <c r="H150" s="288">
        <v>0</v>
      </c>
    </row>
    <row r="151" spans="1:8" ht="15.75" thickBot="1" x14ac:dyDescent="0.25">
      <c r="A151" s="166"/>
      <c r="B151" s="167"/>
      <c r="C151" s="225"/>
      <c r="D151" s="225"/>
      <c r="E151" s="225"/>
      <c r="F151" s="165"/>
      <c r="G151" s="240"/>
      <c r="H151" s="241"/>
    </row>
    <row r="152" spans="1:8" ht="17.25" thickTop="1" thickBot="1" x14ac:dyDescent="0.3">
      <c r="A152" s="173" t="s">
        <v>14</v>
      </c>
      <c r="B152" s="174"/>
      <c r="C152" s="227">
        <f>SUM(C142:C151)</f>
        <v>0</v>
      </c>
      <c r="D152" s="227">
        <f>SUM(D142:D151)</f>
        <v>0</v>
      </c>
      <c r="E152" s="227">
        <f>SUM(E142:E151)</f>
        <v>0</v>
      </c>
      <c r="F152" s="175">
        <v>0</v>
      </c>
      <c r="G152" s="244">
        <v>0</v>
      </c>
      <c r="H152" s="245">
        <v>0</v>
      </c>
    </row>
    <row r="153" spans="1:8" ht="15.75" thickTop="1" x14ac:dyDescent="0.2">
      <c r="A153" s="166"/>
      <c r="B153" s="167"/>
      <c r="C153" s="225"/>
      <c r="D153" s="225"/>
      <c r="E153" s="225"/>
      <c r="F153" s="165"/>
      <c r="G153" s="240"/>
      <c r="H153" s="288"/>
    </row>
    <row r="154" spans="1:8" ht="15.75" x14ac:dyDescent="0.25">
      <c r="A154" s="163" t="s">
        <v>57</v>
      </c>
      <c r="B154" s="164">
        <f>DATE(25,7,1)</f>
        <v>9314</v>
      </c>
      <c r="C154" s="225">
        <v>747329</v>
      </c>
      <c r="D154" s="225">
        <v>40772.980000000003</v>
      </c>
      <c r="E154" s="225">
        <v>0</v>
      </c>
      <c r="F154" s="165">
        <v>1</v>
      </c>
      <c r="G154" s="240">
        <f t="shared" ref="G154:G162" si="0">+D154/C154</f>
        <v>5.4558273531470081E-2</v>
      </c>
      <c r="H154" s="288">
        <f t="shared" ref="H154:H162" si="1">1-G154</f>
        <v>0.94544172646852997</v>
      </c>
    </row>
    <row r="155" spans="1:8" ht="15.75" x14ac:dyDescent="0.25">
      <c r="A155" s="163"/>
      <c r="B155" s="164">
        <f>DATE(25,8,1)</f>
        <v>9345</v>
      </c>
      <c r="C155" s="225">
        <v>591513</v>
      </c>
      <c r="D155" s="225">
        <v>30682.93</v>
      </c>
      <c r="E155" s="225">
        <v>0</v>
      </c>
      <c r="F155" s="165">
        <v>1</v>
      </c>
      <c r="G155" s="240">
        <f t="shared" si="0"/>
        <v>5.1871945333407721E-2</v>
      </c>
      <c r="H155" s="288">
        <f t="shared" si="1"/>
        <v>0.94812805466659222</v>
      </c>
    </row>
    <row r="156" spans="1:8" ht="15.75" x14ac:dyDescent="0.25">
      <c r="A156" s="163"/>
      <c r="B156" s="164">
        <f>DATE(25,9,1)</f>
        <v>9376</v>
      </c>
      <c r="C156" s="225">
        <v>640949</v>
      </c>
      <c r="D156" s="225">
        <v>32931.440000000002</v>
      </c>
      <c r="E156" s="225">
        <v>0</v>
      </c>
      <c r="F156" s="165">
        <v>1</v>
      </c>
      <c r="G156" s="240">
        <f t="shared" si="0"/>
        <v>5.1379189295872221E-2</v>
      </c>
      <c r="H156" s="288">
        <f t="shared" si="1"/>
        <v>0.94862081070412774</v>
      </c>
    </row>
    <row r="157" spans="1:8" ht="15.75" x14ac:dyDescent="0.25">
      <c r="A157" s="163"/>
      <c r="B157" s="164">
        <f>DATE(25,10,1)</f>
        <v>9406</v>
      </c>
      <c r="C157" s="225">
        <v>484836</v>
      </c>
      <c r="D157" s="225">
        <v>17011.36</v>
      </c>
      <c r="E157" s="225">
        <v>9398.39</v>
      </c>
      <c r="F157" s="165">
        <f t="shared" ref="F157:F162" si="2">+(D157-E157)/E157</f>
        <v>0.81002916456967644</v>
      </c>
      <c r="G157" s="240">
        <f t="shared" si="0"/>
        <v>3.5086833485962261E-2</v>
      </c>
      <c r="H157" s="288">
        <f t="shared" si="1"/>
        <v>0.96491316651403769</v>
      </c>
    </row>
    <row r="158" spans="1:8" ht="15.75" x14ac:dyDescent="0.25">
      <c r="A158" s="163"/>
      <c r="B158" s="164">
        <f>DATE(25,11,1)</f>
        <v>9437</v>
      </c>
      <c r="C158" s="225">
        <v>362276</v>
      </c>
      <c r="D158" s="225">
        <v>6051.92</v>
      </c>
      <c r="E158" s="225">
        <v>46941.19</v>
      </c>
      <c r="F158" s="165">
        <f t="shared" si="2"/>
        <v>-0.87107442312391314</v>
      </c>
      <c r="G158" s="240">
        <f t="shared" si="0"/>
        <v>1.6705274431648799E-2</v>
      </c>
      <c r="H158" s="288">
        <f t="shared" si="1"/>
        <v>0.98329472556835118</v>
      </c>
    </row>
    <row r="159" spans="1:8" ht="15.75" x14ac:dyDescent="0.25">
      <c r="A159" s="163"/>
      <c r="B159" s="164">
        <f>DATE(25,12,1)</f>
        <v>9467</v>
      </c>
      <c r="C159" s="225">
        <v>308244.44</v>
      </c>
      <c r="D159" s="225">
        <v>19183.29</v>
      </c>
      <c r="E159" s="225">
        <v>46730.38</v>
      </c>
      <c r="F159" s="165">
        <f t="shared" si="2"/>
        <v>-0.58948996348842009</v>
      </c>
      <c r="G159" s="240">
        <f t="shared" si="0"/>
        <v>6.2234017911239538E-2</v>
      </c>
      <c r="H159" s="288">
        <f t="shared" si="1"/>
        <v>0.9377659820887605</v>
      </c>
    </row>
    <row r="160" spans="1:8" ht="15.75" x14ac:dyDescent="0.25">
      <c r="A160" s="163"/>
      <c r="B160" s="164">
        <f>DATE(26,1,1)</f>
        <v>9498</v>
      </c>
      <c r="C160" s="225">
        <v>251069.9</v>
      </c>
      <c r="D160" s="225">
        <v>21129.59</v>
      </c>
      <c r="E160" s="225">
        <v>29065.08</v>
      </c>
      <c r="F160" s="165">
        <f t="shared" si="2"/>
        <v>-0.2730248807159657</v>
      </c>
      <c r="G160" s="240">
        <f t="shared" si="0"/>
        <v>8.4158196581908068E-2</v>
      </c>
      <c r="H160" s="288">
        <f t="shared" si="1"/>
        <v>0.91584180341809196</v>
      </c>
    </row>
    <row r="161" spans="1:8" ht="15.75" x14ac:dyDescent="0.25">
      <c r="A161" s="163"/>
      <c r="B161" s="164">
        <f>DATE(26,2,1)</f>
        <v>9529</v>
      </c>
      <c r="C161" s="225">
        <v>167606.57</v>
      </c>
      <c r="D161" s="225">
        <v>12569.36</v>
      </c>
      <c r="E161" s="225">
        <v>19120.439999999999</v>
      </c>
      <c r="F161" s="165">
        <f t="shared" si="2"/>
        <v>-0.34262182251036055</v>
      </c>
      <c r="G161" s="240">
        <f t="shared" si="0"/>
        <v>7.4993241613380668E-2</v>
      </c>
      <c r="H161" s="288">
        <f t="shared" si="1"/>
        <v>0.92500675838661928</v>
      </c>
    </row>
    <row r="162" spans="1:8" ht="15.75" x14ac:dyDescent="0.25">
      <c r="A162" s="163"/>
      <c r="B162" s="164">
        <f>DATE(26,3,1)</f>
        <v>9557</v>
      </c>
      <c r="C162" s="225">
        <v>88102.85</v>
      </c>
      <c r="D162" s="225">
        <v>7215.31</v>
      </c>
      <c r="E162" s="225">
        <v>52590.97</v>
      </c>
      <c r="F162" s="165">
        <f t="shared" si="2"/>
        <v>-0.86280325310599904</v>
      </c>
      <c r="G162" s="240">
        <f t="shared" si="0"/>
        <v>8.1896442623592761E-2</v>
      </c>
      <c r="H162" s="288">
        <f t="shared" si="1"/>
        <v>0.91810355737640725</v>
      </c>
    </row>
    <row r="163" spans="1:8" ht="15.75" thickBot="1" x14ac:dyDescent="0.25">
      <c r="A163" s="166"/>
      <c r="B163" s="167"/>
      <c r="C163" s="225"/>
      <c r="D163" s="225"/>
      <c r="E163" s="225"/>
      <c r="F163" s="165"/>
      <c r="G163" s="240"/>
      <c r="H163" s="241"/>
    </row>
    <row r="164" spans="1:8" ht="17.25" thickTop="1" thickBot="1" x14ac:dyDescent="0.3">
      <c r="A164" s="168" t="s">
        <v>14</v>
      </c>
      <c r="B164" s="154"/>
      <c r="C164" s="222">
        <f>SUM(C154:C163)</f>
        <v>3641926.76</v>
      </c>
      <c r="D164" s="222">
        <f>SUM(D154:D163)</f>
        <v>187548.18</v>
      </c>
      <c r="E164" s="222">
        <f>SUM(E154:E163)</f>
        <v>203846.44999999998</v>
      </c>
      <c r="F164" s="175">
        <f>+(D164-E164)/E164</f>
        <v>-7.9953661199397841E-2</v>
      </c>
      <c r="G164" s="244">
        <f>+D164/C164</f>
        <v>5.1496966402476474E-2</v>
      </c>
      <c r="H164" s="245">
        <f>1-G164</f>
        <v>0.94850303359752353</v>
      </c>
    </row>
    <row r="165" spans="1:8" ht="16.5" thickTop="1" thickBot="1" x14ac:dyDescent="0.25">
      <c r="A165" s="170"/>
      <c r="B165" s="171"/>
      <c r="C165" s="226"/>
      <c r="D165" s="226"/>
      <c r="E165" s="226"/>
      <c r="F165" s="172"/>
      <c r="G165" s="242"/>
      <c r="H165" s="243"/>
    </row>
    <row r="166" spans="1:8" ht="17.25" thickTop="1" thickBot="1" x14ac:dyDescent="0.3">
      <c r="A166" s="183" t="s">
        <v>38</v>
      </c>
      <c r="B166" s="154"/>
      <c r="C166" s="222">
        <f>C164+C152+C116+C92+C68+C44+C20+C56+C140+C32+C104+C128+C80</f>
        <v>3641926.76</v>
      </c>
      <c r="D166" s="222">
        <f>D164+D152+D116+D92+D68+D44+D20+D56+D140+D32+D104+D128+D80</f>
        <v>187548.18</v>
      </c>
      <c r="E166" s="222">
        <f>E164+E152+E116+E92+E68+E44+E20+E56+E140+E32+E104+E128+E80</f>
        <v>620856.75</v>
      </c>
      <c r="F166" s="175">
        <f>+(D166-E166)/E166</f>
        <v>-0.69792036568822036</v>
      </c>
      <c r="G166" s="235">
        <f>D166/C166</f>
        <v>5.1496966402476474E-2</v>
      </c>
      <c r="H166" s="236">
        <f>1-G166</f>
        <v>0.94850303359752353</v>
      </c>
    </row>
    <row r="167" spans="1:8" ht="17.25" thickTop="1" thickBot="1" x14ac:dyDescent="0.3">
      <c r="A167" s="183"/>
      <c r="B167" s="154"/>
      <c r="C167" s="222"/>
      <c r="D167" s="222"/>
      <c r="E167" s="222"/>
      <c r="F167" s="169"/>
      <c r="G167" s="235"/>
      <c r="H167" s="236"/>
    </row>
    <row r="168" spans="1:8" ht="17.25" thickTop="1" thickBot="1" x14ac:dyDescent="0.3">
      <c r="A168" s="183" t="s">
        <v>39</v>
      </c>
      <c r="B168" s="154"/>
      <c r="C168" s="222">
        <f>+C18+C30+C42+C54+C66+C78+C90+C102+C114+C126+C138+C150+C162</f>
        <v>88102.85</v>
      </c>
      <c r="D168" s="222">
        <f>+D18+D30+D42+D54+D66+D78+D90+D102+D114+D126+D138+D150+D162</f>
        <v>7215.31</v>
      </c>
      <c r="E168" s="222">
        <f>+E18+E30+E42+E54+E66+E78+E90+E102+E114+E126+E138+E150+E162</f>
        <v>52590.97</v>
      </c>
      <c r="F168" s="175">
        <f>+(D168-E168)/E168</f>
        <v>-0.86280325310599904</v>
      </c>
      <c r="G168" s="235">
        <f>D168/C168</f>
        <v>8.1896442623592761E-2</v>
      </c>
      <c r="H168" s="245">
        <f>1-G168</f>
        <v>0.91810355737640725</v>
      </c>
    </row>
    <row r="169" spans="1:8" ht="16.5" thickTop="1" x14ac:dyDescent="0.25">
      <c r="A169" s="184"/>
      <c r="B169" s="185"/>
      <c r="C169" s="230"/>
      <c r="D169" s="230"/>
      <c r="E169" s="230"/>
      <c r="F169" s="186"/>
      <c r="G169" s="249"/>
      <c r="H169" s="249"/>
    </row>
    <row r="170" spans="1:8" ht="18.75" x14ac:dyDescent="0.3">
      <c r="A170" s="187" t="s">
        <v>49</v>
      </c>
      <c r="B170" s="188"/>
      <c r="C170" s="231"/>
      <c r="D170" s="231"/>
      <c r="E170" s="231"/>
      <c r="F170" s="189"/>
      <c r="G170" s="250"/>
      <c r="H170" s="250"/>
    </row>
    <row r="171" spans="1:8" ht="15.75" x14ac:dyDescent="0.25">
      <c r="A171" s="190"/>
      <c r="B171" s="188"/>
      <c r="C171" s="231"/>
      <c r="D171" s="231"/>
      <c r="E171" s="231"/>
      <c r="F171" s="189"/>
      <c r="G171" s="256"/>
      <c r="H171" s="256"/>
    </row>
  </sheetData>
  <printOptions horizontalCentered="1"/>
  <pageMargins left="0.7" right="0.45" top="0.25" bottom="0.25" header="0.3" footer="0.3"/>
  <pageSetup scale="64" orientation="landscape" r:id="rId1"/>
  <rowBreaks count="3" manualBreakCount="3">
    <brk id="56" max="16383" man="1"/>
    <brk id="104" max="16383" man="1"/>
    <brk id="1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2"/>
  <sheetViews>
    <sheetView showOutlineSymbols="0" zoomScaleNormal="100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78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73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DATE(25,7,1)</f>
        <v>9314</v>
      </c>
      <c r="C10" s="225">
        <v>118765145.81999999</v>
      </c>
      <c r="D10" s="225">
        <v>11189124.52</v>
      </c>
      <c r="E10" s="225">
        <v>11227961.560000001</v>
      </c>
      <c r="F10" s="165">
        <f t="shared" ref="F10:F18" si="0">(+D10-E10)/E10</f>
        <v>-3.4589573354400554E-3</v>
      </c>
      <c r="G10" s="240">
        <f t="shared" ref="G10:G18" si="1">D10/C10</f>
        <v>9.4212190308410812E-2</v>
      </c>
      <c r="H10" s="241">
        <f t="shared" ref="H10:H18" si="2">1-G10</f>
        <v>0.90578780969158923</v>
      </c>
      <c r="I10" s="156"/>
    </row>
    <row r="11" spans="1:9" ht="15.75" x14ac:dyDescent="0.25">
      <c r="A11" s="163"/>
      <c r="B11" s="164">
        <f>DATE(25,8,1)</f>
        <v>9345</v>
      </c>
      <c r="C11" s="225">
        <v>123114683.18000001</v>
      </c>
      <c r="D11" s="225">
        <v>12025915.57</v>
      </c>
      <c r="E11" s="225">
        <v>11755000.6</v>
      </c>
      <c r="F11" s="165">
        <f t="shared" si="0"/>
        <v>2.304678487213354E-2</v>
      </c>
      <c r="G11" s="240">
        <f t="shared" si="1"/>
        <v>9.7680595517737653E-2</v>
      </c>
      <c r="H11" s="241">
        <f t="shared" si="2"/>
        <v>0.90231940448226233</v>
      </c>
      <c r="I11" s="156"/>
    </row>
    <row r="12" spans="1:9" ht="15.75" x14ac:dyDescent="0.25">
      <c r="A12" s="163"/>
      <c r="B12" s="164">
        <f>DATE(25,9,1)</f>
        <v>9376</v>
      </c>
      <c r="C12" s="225">
        <v>109442512</v>
      </c>
      <c r="D12" s="225">
        <v>9660904.2300000004</v>
      </c>
      <c r="E12" s="225">
        <v>10612528.25</v>
      </c>
      <c r="F12" s="165">
        <f t="shared" si="0"/>
        <v>-8.9669869194458879E-2</v>
      </c>
      <c r="G12" s="240">
        <f t="shared" si="1"/>
        <v>8.8273780028002291E-2</v>
      </c>
      <c r="H12" s="241">
        <f t="shared" si="2"/>
        <v>0.91172621997199776</v>
      </c>
      <c r="I12" s="156"/>
    </row>
    <row r="13" spans="1:9" ht="15.75" x14ac:dyDescent="0.25">
      <c r="A13" s="163"/>
      <c r="B13" s="164">
        <f>DATE(25,10,1)</f>
        <v>9406</v>
      </c>
      <c r="C13" s="225">
        <v>117030493.84</v>
      </c>
      <c r="D13" s="225">
        <v>11102343.91</v>
      </c>
      <c r="E13" s="225">
        <v>10410698.33</v>
      </c>
      <c r="F13" s="165">
        <f t="shared" si="0"/>
        <v>6.6436040895250889E-2</v>
      </c>
      <c r="G13" s="240">
        <f t="shared" si="1"/>
        <v>9.4867102972142764E-2</v>
      </c>
      <c r="H13" s="241">
        <f t="shared" si="2"/>
        <v>0.90513289702785726</v>
      </c>
      <c r="I13" s="156"/>
    </row>
    <row r="14" spans="1:9" ht="15.75" x14ac:dyDescent="0.25">
      <c r="A14" s="163"/>
      <c r="B14" s="164">
        <f>DATE(25,11,1)</f>
        <v>9437</v>
      </c>
      <c r="C14" s="225">
        <v>113223158.08</v>
      </c>
      <c r="D14" s="225">
        <v>10890685.060000001</v>
      </c>
      <c r="E14" s="225">
        <v>11351688.85</v>
      </c>
      <c r="F14" s="165">
        <f t="shared" si="0"/>
        <v>-4.0611031194710656E-2</v>
      </c>
      <c r="G14" s="240">
        <f t="shared" si="1"/>
        <v>9.618778741628968E-2</v>
      </c>
      <c r="H14" s="241">
        <f t="shared" si="2"/>
        <v>0.90381221258371036</v>
      </c>
      <c r="I14" s="156"/>
    </row>
    <row r="15" spans="1:9" ht="15.75" x14ac:dyDescent="0.25">
      <c r="A15" s="163"/>
      <c r="B15" s="164">
        <f>DATE(25,12,1)</f>
        <v>9467</v>
      </c>
      <c r="C15" s="225">
        <v>126936104.84</v>
      </c>
      <c r="D15" s="225">
        <v>11824774.84</v>
      </c>
      <c r="E15" s="225">
        <v>11726074.779999999</v>
      </c>
      <c r="F15" s="165">
        <f t="shared" si="0"/>
        <v>8.4171440018737907E-3</v>
      </c>
      <c r="G15" s="240">
        <f t="shared" si="1"/>
        <v>9.3155330824944191E-2</v>
      </c>
      <c r="H15" s="241">
        <f t="shared" si="2"/>
        <v>0.9068446691750558</v>
      </c>
      <c r="I15" s="156"/>
    </row>
    <row r="16" spans="1:9" ht="15.75" x14ac:dyDescent="0.25">
      <c r="A16" s="163"/>
      <c r="B16" s="164">
        <f>DATE(26,1,1)</f>
        <v>9498</v>
      </c>
      <c r="C16" s="225">
        <v>118033412.72</v>
      </c>
      <c r="D16" s="225">
        <v>11222923.140000001</v>
      </c>
      <c r="E16" s="225">
        <v>10395293.800000001</v>
      </c>
      <c r="F16" s="165">
        <f t="shared" si="0"/>
        <v>7.961577189862587E-2</v>
      </c>
      <c r="G16" s="240">
        <f t="shared" si="1"/>
        <v>9.5082594677010038E-2</v>
      </c>
      <c r="H16" s="241">
        <f t="shared" si="2"/>
        <v>0.90491740532298992</v>
      </c>
      <c r="I16" s="156"/>
    </row>
    <row r="17" spans="1:9" ht="15.75" x14ac:dyDescent="0.25">
      <c r="A17" s="163"/>
      <c r="B17" s="164">
        <f>DATE(26,2,1)</f>
        <v>9529</v>
      </c>
      <c r="C17" s="225">
        <v>119152910.79000001</v>
      </c>
      <c r="D17" s="225">
        <v>11204739.039999999</v>
      </c>
      <c r="E17" s="225">
        <v>10016127.76</v>
      </c>
      <c r="F17" s="165">
        <f t="shared" si="0"/>
        <v>0.11866974029093248</v>
      </c>
      <c r="G17" s="240">
        <f t="shared" si="1"/>
        <v>9.4036637172445522E-2</v>
      </c>
      <c r="H17" s="241">
        <f t="shared" si="2"/>
        <v>0.90596336282755452</v>
      </c>
      <c r="I17" s="156"/>
    </row>
    <row r="18" spans="1:9" ht="15.75" x14ac:dyDescent="0.25">
      <c r="A18" s="163"/>
      <c r="B18" s="164">
        <f>DATE(26,3,1)</f>
        <v>9557</v>
      </c>
      <c r="C18" s="225">
        <v>131493667.78</v>
      </c>
      <c r="D18" s="225">
        <v>12380200.9</v>
      </c>
      <c r="E18" s="225">
        <v>12142053.119999999</v>
      </c>
      <c r="F18" s="165">
        <f t="shared" si="0"/>
        <v>1.961346879694768E-2</v>
      </c>
      <c r="G18" s="240">
        <f t="shared" si="1"/>
        <v>9.4150548151969729E-2</v>
      </c>
      <c r="H18" s="241">
        <f t="shared" si="2"/>
        <v>0.90584945184803023</v>
      </c>
      <c r="I18" s="156"/>
    </row>
    <row r="19" spans="1:9" ht="15.75" thickBot="1" x14ac:dyDescent="0.25">
      <c r="A19" s="166"/>
      <c r="B19" s="167"/>
      <c r="C19" s="225"/>
      <c r="D19" s="225"/>
      <c r="E19" s="225"/>
      <c r="F19" s="165"/>
      <c r="G19" s="240"/>
      <c r="H19" s="241"/>
      <c r="I19" s="156"/>
    </row>
    <row r="20" spans="1:9" ht="17.25" thickTop="1" thickBot="1" x14ac:dyDescent="0.3">
      <c r="A20" s="168" t="s">
        <v>14</v>
      </c>
      <c r="B20" s="154"/>
      <c r="C20" s="222">
        <f>SUM(C10:C19)</f>
        <v>1077192089.0500002</v>
      </c>
      <c r="D20" s="222">
        <f>SUM(D10:D19)</f>
        <v>101501611.21000001</v>
      </c>
      <c r="E20" s="222">
        <f>SUM(E10:E19)</f>
        <v>99637427.050000012</v>
      </c>
      <c r="F20" s="169">
        <f>(+D20-E20)/E20</f>
        <v>1.870967783084676E-2</v>
      </c>
      <c r="G20" s="235">
        <f>D20/C20</f>
        <v>9.4227958264636494E-2</v>
      </c>
      <c r="H20" s="236">
        <f>1-G20</f>
        <v>0.90577204173536352</v>
      </c>
      <c r="I20" s="156"/>
    </row>
    <row r="21" spans="1:9" ht="15.75" thickTop="1" x14ac:dyDescent="0.2">
      <c r="A21" s="170"/>
      <c r="B21" s="171"/>
      <c r="C21" s="226"/>
      <c r="D21" s="226"/>
      <c r="E21" s="226"/>
      <c r="F21" s="172"/>
      <c r="G21" s="242"/>
      <c r="H21" s="243"/>
      <c r="I21" s="156"/>
    </row>
    <row r="22" spans="1:9" ht="15.75" x14ac:dyDescent="0.25">
      <c r="A22" s="19" t="s">
        <v>48</v>
      </c>
      <c r="B22" s="164">
        <f>DATE(25,7,1)</f>
        <v>9314</v>
      </c>
      <c r="C22" s="225">
        <v>75801887.219999999</v>
      </c>
      <c r="D22" s="225">
        <v>7699908.8200000003</v>
      </c>
      <c r="E22" s="225">
        <v>6199829.7599999998</v>
      </c>
      <c r="F22" s="165">
        <f t="shared" ref="F22:F30" si="3">(+D22-E22)/E22</f>
        <v>0.24195487909655128</v>
      </c>
      <c r="G22" s="240">
        <f t="shared" ref="G22:G30" si="4">D22/C22</f>
        <v>0.10157938149550995</v>
      </c>
      <c r="H22" s="241">
        <f t="shared" ref="H22:H30" si="5">1-G22</f>
        <v>0.89842061850449006</v>
      </c>
      <c r="I22" s="156"/>
    </row>
    <row r="23" spans="1:9" ht="15.75" x14ac:dyDescent="0.25">
      <c r="A23" s="19"/>
      <c r="B23" s="164">
        <f>DATE(25,8,1)</f>
        <v>9345</v>
      </c>
      <c r="C23" s="225">
        <v>76875873.920000002</v>
      </c>
      <c r="D23" s="225">
        <v>7656381.6799999997</v>
      </c>
      <c r="E23" s="225">
        <v>6511097.2999999998</v>
      </c>
      <c r="F23" s="165">
        <f t="shared" si="3"/>
        <v>0.17589729153640507</v>
      </c>
      <c r="G23" s="240">
        <f t="shared" si="4"/>
        <v>9.9594076653587382E-2</v>
      </c>
      <c r="H23" s="241">
        <f t="shared" si="5"/>
        <v>0.90040592334641256</v>
      </c>
      <c r="I23" s="156"/>
    </row>
    <row r="24" spans="1:9" ht="15.75" x14ac:dyDescent="0.25">
      <c r="A24" s="19"/>
      <c r="B24" s="164">
        <f>DATE(25,9,1)</f>
        <v>9376</v>
      </c>
      <c r="C24" s="225">
        <v>72882283.359999999</v>
      </c>
      <c r="D24" s="225">
        <v>7340776.8799999999</v>
      </c>
      <c r="E24" s="225">
        <v>6272930.8499999996</v>
      </c>
      <c r="F24" s="165">
        <f t="shared" si="3"/>
        <v>0.17023079889363046</v>
      </c>
      <c r="G24" s="240">
        <f t="shared" si="4"/>
        <v>0.1007210057311245</v>
      </c>
      <c r="H24" s="241">
        <f t="shared" si="5"/>
        <v>0.89927899426887548</v>
      </c>
      <c r="I24" s="156"/>
    </row>
    <row r="25" spans="1:9" ht="15.75" x14ac:dyDescent="0.25">
      <c r="A25" s="19"/>
      <c r="B25" s="164">
        <f>DATE(25,10,1)</f>
        <v>9406</v>
      </c>
      <c r="C25" s="225">
        <v>75796379.829999998</v>
      </c>
      <c r="D25" s="225">
        <v>7167736.2999999998</v>
      </c>
      <c r="E25" s="225">
        <v>6043389.6600000001</v>
      </c>
      <c r="F25" s="165">
        <f t="shared" si="3"/>
        <v>0.18604569674562399</v>
      </c>
      <c r="G25" s="240">
        <f t="shared" si="4"/>
        <v>9.456568131718382E-2</v>
      </c>
      <c r="H25" s="241">
        <f t="shared" si="5"/>
        <v>0.90543431868281621</v>
      </c>
      <c r="I25" s="156"/>
    </row>
    <row r="26" spans="1:9" ht="15.75" x14ac:dyDescent="0.25">
      <c r="A26" s="19"/>
      <c r="B26" s="164">
        <f>DATE(25,11,1)</f>
        <v>9437</v>
      </c>
      <c r="C26" s="225">
        <v>71183214.349999994</v>
      </c>
      <c r="D26" s="225">
        <v>6793356.0700000003</v>
      </c>
      <c r="E26" s="225">
        <v>6494509.6699999999</v>
      </c>
      <c r="F26" s="165">
        <f t="shared" si="3"/>
        <v>4.6015236743808002E-2</v>
      </c>
      <c r="G26" s="240">
        <f t="shared" si="4"/>
        <v>9.5434803443938621E-2</v>
      </c>
      <c r="H26" s="241">
        <f t="shared" si="5"/>
        <v>0.90456519655606138</v>
      </c>
      <c r="I26" s="156"/>
    </row>
    <row r="27" spans="1:9" ht="15.75" x14ac:dyDescent="0.25">
      <c r="A27" s="19"/>
      <c r="B27" s="164">
        <f>DATE(25,12,1)</f>
        <v>9467</v>
      </c>
      <c r="C27" s="225">
        <v>71596448.079999998</v>
      </c>
      <c r="D27" s="225">
        <v>6977951.0300000003</v>
      </c>
      <c r="E27" s="225">
        <v>6626155.0700000003</v>
      </c>
      <c r="F27" s="165">
        <f t="shared" si="3"/>
        <v>5.3092020377361909E-2</v>
      </c>
      <c r="G27" s="240">
        <f t="shared" si="4"/>
        <v>9.7462251510061229E-2</v>
      </c>
      <c r="H27" s="241">
        <f t="shared" si="5"/>
        <v>0.90253774848993873</v>
      </c>
      <c r="I27" s="156"/>
    </row>
    <row r="28" spans="1:9" ht="15.75" x14ac:dyDescent="0.25">
      <c r="A28" s="19"/>
      <c r="B28" s="164">
        <f>DATE(26,1,1)</f>
        <v>9498</v>
      </c>
      <c r="C28" s="225">
        <v>63871635.759999998</v>
      </c>
      <c r="D28" s="225">
        <v>6391663.5099999998</v>
      </c>
      <c r="E28" s="225">
        <v>5440214.75</v>
      </c>
      <c r="F28" s="165">
        <f t="shared" si="3"/>
        <v>0.17489176507232546</v>
      </c>
      <c r="G28" s="240">
        <f t="shared" si="4"/>
        <v>0.10007045277526488</v>
      </c>
      <c r="H28" s="241">
        <f t="shared" si="5"/>
        <v>0.89992954722473506</v>
      </c>
      <c r="I28" s="156"/>
    </row>
    <row r="29" spans="1:9" ht="15.75" x14ac:dyDescent="0.25">
      <c r="A29" s="19"/>
      <c r="B29" s="164">
        <f>DATE(26,2,1)</f>
        <v>9529</v>
      </c>
      <c r="C29" s="225">
        <v>73540129.959999993</v>
      </c>
      <c r="D29" s="225">
        <v>7165630.8399999999</v>
      </c>
      <c r="E29" s="225">
        <v>6063044.0700000003</v>
      </c>
      <c r="F29" s="165">
        <f t="shared" si="3"/>
        <v>0.18185366249531476</v>
      </c>
      <c r="G29" s="240">
        <f t="shared" si="4"/>
        <v>9.7438376079802089E-2</v>
      </c>
      <c r="H29" s="241">
        <f t="shared" si="5"/>
        <v>0.9025616239201979</v>
      </c>
      <c r="I29" s="156"/>
    </row>
    <row r="30" spans="1:9" ht="15.75" x14ac:dyDescent="0.25">
      <c r="A30" s="19"/>
      <c r="B30" s="164">
        <f>DATE(26,3,1)</f>
        <v>9557</v>
      </c>
      <c r="C30" s="225">
        <v>74315145.290000007</v>
      </c>
      <c r="D30" s="225">
        <v>7888482.5300000003</v>
      </c>
      <c r="E30" s="225">
        <v>7323124.7699999996</v>
      </c>
      <c r="F30" s="165">
        <f t="shared" si="3"/>
        <v>7.7201710711805982E-2</v>
      </c>
      <c r="G30" s="240">
        <f t="shared" si="4"/>
        <v>0.10614905614752919</v>
      </c>
      <c r="H30" s="241">
        <f t="shared" si="5"/>
        <v>0.89385094385247077</v>
      </c>
      <c r="I30" s="156"/>
    </row>
    <row r="31" spans="1:9" ht="15.75" thickBot="1" x14ac:dyDescent="0.25">
      <c r="A31" s="166"/>
      <c r="B31" s="164"/>
      <c r="C31" s="225"/>
      <c r="D31" s="225"/>
      <c r="E31" s="225"/>
      <c r="F31" s="165"/>
      <c r="G31" s="240"/>
      <c r="H31" s="241"/>
      <c r="I31" s="156"/>
    </row>
    <row r="32" spans="1:9" ht="17.25" thickTop="1" thickBot="1" x14ac:dyDescent="0.3">
      <c r="A32" s="168" t="s">
        <v>14</v>
      </c>
      <c r="B32" s="154"/>
      <c r="C32" s="222">
        <f>SUM(C22:C31)</f>
        <v>655862997.76999986</v>
      </c>
      <c r="D32" s="222">
        <f>SUM(D22:D31)</f>
        <v>65081887.659999996</v>
      </c>
      <c r="E32" s="222">
        <f>SUM(E22:E31)</f>
        <v>56974295.899999991</v>
      </c>
      <c r="F32" s="169">
        <f>(+D32-E32)/E32</f>
        <v>0.14230262317291764</v>
      </c>
      <c r="G32" s="235">
        <f>D32/C32</f>
        <v>9.9230918471212681E-2</v>
      </c>
      <c r="H32" s="236">
        <f>1-G32</f>
        <v>0.90076908152878732</v>
      </c>
      <c r="I32" s="156"/>
    </row>
    <row r="33" spans="1:9" ht="15.75" thickTop="1" x14ac:dyDescent="0.2">
      <c r="A33" s="170"/>
      <c r="B33" s="171"/>
      <c r="C33" s="226"/>
      <c r="D33" s="226"/>
      <c r="E33" s="226"/>
      <c r="F33" s="172"/>
      <c r="G33" s="242"/>
      <c r="H33" s="243"/>
      <c r="I33" s="156"/>
    </row>
    <row r="34" spans="1:9" ht="15.75" x14ac:dyDescent="0.25">
      <c r="A34" s="19" t="s">
        <v>62</v>
      </c>
      <c r="B34" s="164">
        <f>DATE(25,7,1)</f>
        <v>9314</v>
      </c>
      <c r="C34" s="225">
        <v>46035567.140000001</v>
      </c>
      <c r="D34" s="225">
        <v>4754649.79</v>
      </c>
      <c r="E34" s="225">
        <v>3585663.09</v>
      </c>
      <c r="F34" s="165">
        <f t="shared" ref="F34:F42" si="6">(+D34-E34)/E34</f>
        <v>0.32601688185936067</v>
      </c>
      <c r="G34" s="240">
        <f t="shared" ref="G34:G42" si="7">D34/C34</f>
        <v>0.10328209437586609</v>
      </c>
      <c r="H34" s="241">
        <f t="shared" ref="H34:H42" si="8">1-G34</f>
        <v>0.89671790562413389</v>
      </c>
      <c r="I34" s="156"/>
    </row>
    <row r="35" spans="1:9" ht="15.75" x14ac:dyDescent="0.25">
      <c r="A35" s="19"/>
      <c r="B35" s="164">
        <f>DATE(25,8,1)</f>
        <v>9345</v>
      </c>
      <c r="C35" s="225">
        <v>46774169.189999998</v>
      </c>
      <c r="D35" s="225">
        <v>5030748.01</v>
      </c>
      <c r="E35" s="225">
        <v>3620973.03</v>
      </c>
      <c r="F35" s="165">
        <f t="shared" si="6"/>
        <v>0.38933595150251643</v>
      </c>
      <c r="G35" s="240">
        <f t="shared" si="7"/>
        <v>0.10755397898281729</v>
      </c>
      <c r="H35" s="241">
        <f t="shared" si="8"/>
        <v>0.89244602101718273</v>
      </c>
      <c r="I35" s="156"/>
    </row>
    <row r="36" spans="1:9" ht="15.75" x14ac:dyDescent="0.25">
      <c r="A36" s="19"/>
      <c r="B36" s="164">
        <f>DATE(25,9,1)</f>
        <v>9376</v>
      </c>
      <c r="C36" s="225">
        <v>41389122.100000001</v>
      </c>
      <c r="D36" s="225">
        <v>4397839.1500000004</v>
      </c>
      <c r="E36" s="225">
        <v>3548518.78</v>
      </c>
      <c r="F36" s="165">
        <f t="shared" si="6"/>
        <v>0.2393450401860352</v>
      </c>
      <c r="G36" s="240">
        <f t="shared" si="7"/>
        <v>0.10625591766296488</v>
      </c>
      <c r="H36" s="241">
        <f t="shared" si="8"/>
        <v>0.89374408233703506</v>
      </c>
      <c r="I36" s="156"/>
    </row>
    <row r="37" spans="1:9" ht="15.75" x14ac:dyDescent="0.25">
      <c r="A37" s="19"/>
      <c r="B37" s="164">
        <f>DATE(25,10,1)</f>
        <v>9406</v>
      </c>
      <c r="C37" s="225">
        <v>44199870.649999999</v>
      </c>
      <c r="D37" s="225">
        <v>4594857.83</v>
      </c>
      <c r="E37" s="225">
        <v>2824673.89</v>
      </c>
      <c r="F37" s="165">
        <f t="shared" si="6"/>
        <v>0.62668612694260428</v>
      </c>
      <c r="G37" s="240">
        <f t="shared" si="7"/>
        <v>0.10395636372750336</v>
      </c>
      <c r="H37" s="241">
        <f t="shared" si="8"/>
        <v>0.89604363627249661</v>
      </c>
      <c r="I37" s="156"/>
    </row>
    <row r="38" spans="1:9" ht="15.75" x14ac:dyDescent="0.25">
      <c r="A38" s="19"/>
      <c r="B38" s="164">
        <f>DATE(25,11,1)</f>
        <v>9437</v>
      </c>
      <c r="C38" s="225">
        <v>45307590.049999997</v>
      </c>
      <c r="D38" s="225">
        <v>4696105.45</v>
      </c>
      <c r="E38" s="225">
        <v>4839169.95</v>
      </c>
      <c r="F38" s="165">
        <f t="shared" si="6"/>
        <v>-2.9563851131122188E-2</v>
      </c>
      <c r="G38" s="240">
        <f t="shared" si="7"/>
        <v>0.1036494204352412</v>
      </c>
      <c r="H38" s="241">
        <f t="shared" si="8"/>
        <v>0.89635057956475883</v>
      </c>
      <c r="I38" s="156"/>
    </row>
    <row r="39" spans="1:9" ht="15.75" x14ac:dyDescent="0.25">
      <c r="A39" s="19"/>
      <c r="B39" s="164">
        <f>DATE(25,12,1)</f>
        <v>9467</v>
      </c>
      <c r="C39" s="225">
        <v>47384245.5</v>
      </c>
      <c r="D39" s="225">
        <v>4948826.92</v>
      </c>
      <c r="E39" s="225">
        <v>4407875.1500000004</v>
      </c>
      <c r="F39" s="165">
        <f t="shared" si="6"/>
        <v>0.12272393196073159</v>
      </c>
      <c r="G39" s="240">
        <f t="shared" si="7"/>
        <v>0.10444034441785087</v>
      </c>
      <c r="H39" s="241">
        <f t="shared" si="8"/>
        <v>0.89555965558214912</v>
      </c>
      <c r="I39" s="156"/>
    </row>
    <row r="40" spans="1:9" ht="15.75" x14ac:dyDescent="0.25">
      <c r="A40" s="19"/>
      <c r="B40" s="164">
        <f>DATE(26,1,1)</f>
        <v>9498</v>
      </c>
      <c r="C40" s="225">
        <v>40348555.130000003</v>
      </c>
      <c r="D40" s="225">
        <v>3991234.53</v>
      </c>
      <c r="E40" s="225">
        <v>3956816.13</v>
      </c>
      <c r="F40" s="165">
        <f t="shared" si="6"/>
        <v>8.6985088185029986E-3</v>
      </c>
      <c r="G40" s="240">
        <f t="shared" si="7"/>
        <v>9.8918896033341044E-2</v>
      </c>
      <c r="H40" s="241">
        <f t="shared" si="8"/>
        <v>0.90108110396665897</v>
      </c>
      <c r="I40" s="156"/>
    </row>
    <row r="41" spans="1:9" ht="15.75" x14ac:dyDescent="0.25">
      <c r="A41" s="19"/>
      <c r="B41" s="164">
        <f>DATE(26,2,1)</f>
        <v>9529</v>
      </c>
      <c r="C41" s="225">
        <v>47732036.840000004</v>
      </c>
      <c r="D41" s="225">
        <v>4926273.41</v>
      </c>
      <c r="E41" s="225">
        <v>4213869.49</v>
      </c>
      <c r="F41" s="165">
        <f t="shared" si="6"/>
        <v>0.16906169535877105</v>
      </c>
      <c r="G41" s="240">
        <f t="shared" si="7"/>
        <v>0.10320685510474017</v>
      </c>
      <c r="H41" s="241">
        <f t="shared" si="8"/>
        <v>0.89679314489525985</v>
      </c>
      <c r="I41" s="156"/>
    </row>
    <row r="42" spans="1:9" ht="15.75" x14ac:dyDescent="0.25">
      <c r="A42" s="19"/>
      <c r="B42" s="164">
        <f>DATE(26,3,1)</f>
        <v>9557</v>
      </c>
      <c r="C42" s="225">
        <v>50210685.729999997</v>
      </c>
      <c r="D42" s="225">
        <v>5193909.1900000004</v>
      </c>
      <c r="E42" s="225">
        <v>5100990.55</v>
      </c>
      <c r="F42" s="165">
        <f t="shared" si="6"/>
        <v>1.8215803203164255E-2</v>
      </c>
      <c r="G42" s="240">
        <f t="shared" si="7"/>
        <v>0.10344230743888709</v>
      </c>
      <c r="H42" s="241">
        <f t="shared" si="8"/>
        <v>0.89655769256111295</v>
      </c>
      <c r="I42" s="156"/>
    </row>
    <row r="43" spans="1:9" ht="15.75" thickBot="1" x14ac:dyDescent="0.25">
      <c r="A43" s="166"/>
      <c r="B43" s="164"/>
      <c r="C43" s="225"/>
      <c r="D43" s="225"/>
      <c r="E43" s="225"/>
      <c r="F43" s="165"/>
      <c r="G43" s="240"/>
      <c r="H43" s="241"/>
      <c r="I43" s="156"/>
    </row>
    <row r="44" spans="1:9" ht="17.25" thickTop="1" thickBot="1" x14ac:dyDescent="0.3">
      <c r="A44" s="173" t="s">
        <v>14</v>
      </c>
      <c r="B44" s="174"/>
      <c r="C44" s="227">
        <f>SUM(C34:C43)</f>
        <v>409381842.33000004</v>
      </c>
      <c r="D44" s="227">
        <f>SUM(D34:D43)</f>
        <v>42534444.280000001</v>
      </c>
      <c r="E44" s="227">
        <f>SUM(E34:E43)</f>
        <v>36098550.059999995</v>
      </c>
      <c r="F44" s="175">
        <f>(+D44-E44)/E44</f>
        <v>0.17828677908954238</v>
      </c>
      <c r="G44" s="244">
        <f>D44/C44</f>
        <v>0.10389919601200402</v>
      </c>
      <c r="H44" s="245">
        <f>1-G44</f>
        <v>0.89610080398799596</v>
      </c>
      <c r="I44" s="156"/>
    </row>
    <row r="45" spans="1:9" ht="15.75" thickTop="1" x14ac:dyDescent="0.2">
      <c r="A45" s="166"/>
      <c r="B45" s="167"/>
      <c r="C45" s="225"/>
      <c r="D45" s="225"/>
      <c r="E45" s="225"/>
      <c r="F45" s="165"/>
      <c r="G45" s="240"/>
      <c r="H45" s="241"/>
      <c r="I45" s="156"/>
    </row>
    <row r="46" spans="1:9" ht="15.75" x14ac:dyDescent="0.25">
      <c r="A46" s="176" t="s">
        <v>58</v>
      </c>
      <c r="B46" s="164">
        <f>DATE(25,7,1)</f>
        <v>9314</v>
      </c>
      <c r="C46" s="225">
        <v>204045408.94</v>
      </c>
      <c r="D46" s="225">
        <v>19065951.129999999</v>
      </c>
      <c r="E46" s="225">
        <v>17635163.969999999</v>
      </c>
      <c r="F46" s="165">
        <f t="shared" ref="F46:F54" si="9">(+D46-E46)/E46</f>
        <v>8.1132625839713146E-2</v>
      </c>
      <c r="G46" s="240">
        <f t="shared" ref="G46:G54" si="10">D46/C46</f>
        <v>9.3439745736236507E-2</v>
      </c>
      <c r="H46" s="241">
        <f t="shared" ref="H46:H54" si="11">1-G46</f>
        <v>0.90656025426376352</v>
      </c>
      <c r="I46" s="156"/>
    </row>
    <row r="47" spans="1:9" ht="15.75" x14ac:dyDescent="0.25">
      <c r="A47" s="176"/>
      <c r="B47" s="164">
        <f>DATE(25,8,1)</f>
        <v>9345</v>
      </c>
      <c r="C47" s="225">
        <v>213666938.12</v>
      </c>
      <c r="D47" s="225">
        <v>19625709.969999999</v>
      </c>
      <c r="E47" s="225">
        <v>18755463.760000002</v>
      </c>
      <c r="F47" s="165">
        <f t="shared" si="9"/>
        <v>4.6399610328803575E-2</v>
      </c>
      <c r="G47" s="240">
        <f t="shared" si="10"/>
        <v>9.1851880046026457E-2</v>
      </c>
      <c r="H47" s="241">
        <f t="shared" si="11"/>
        <v>0.9081481199539736</v>
      </c>
      <c r="I47" s="156"/>
    </row>
    <row r="48" spans="1:9" ht="15.75" x14ac:dyDescent="0.25">
      <c r="A48" s="176"/>
      <c r="B48" s="164">
        <f>DATE(25,9,1)</f>
        <v>9376</v>
      </c>
      <c r="C48" s="225">
        <v>188184296.90000001</v>
      </c>
      <c r="D48" s="225">
        <v>17435872.420000002</v>
      </c>
      <c r="E48" s="225">
        <v>17095090.23</v>
      </c>
      <c r="F48" s="165">
        <f t="shared" si="9"/>
        <v>1.9934506657470933E-2</v>
      </c>
      <c r="G48" s="240">
        <f t="shared" si="10"/>
        <v>9.2653174081072862E-2</v>
      </c>
      <c r="H48" s="241">
        <f t="shared" si="11"/>
        <v>0.90734682591892712</v>
      </c>
      <c r="I48" s="156"/>
    </row>
    <row r="49" spans="1:9" ht="15.75" x14ac:dyDescent="0.25">
      <c r="A49" s="176"/>
      <c r="B49" s="164">
        <f>DATE(25,10,1)</f>
        <v>9406</v>
      </c>
      <c r="C49" s="225">
        <v>212140186.43000001</v>
      </c>
      <c r="D49" s="225">
        <v>19759923.719999999</v>
      </c>
      <c r="E49" s="225">
        <v>18243581.699999999</v>
      </c>
      <c r="F49" s="165">
        <f t="shared" si="9"/>
        <v>8.3116465008622714E-2</v>
      </c>
      <c r="G49" s="240">
        <f t="shared" si="10"/>
        <v>9.3145594206028429E-2</v>
      </c>
      <c r="H49" s="241">
        <f t="shared" si="11"/>
        <v>0.90685440579397159</v>
      </c>
      <c r="I49" s="156"/>
    </row>
    <row r="50" spans="1:9" ht="15.75" x14ac:dyDescent="0.25">
      <c r="A50" s="176"/>
      <c r="B50" s="164">
        <f>DATE(25,11,1)</f>
        <v>9437</v>
      </c>
      <c r="C50" s="225">
        <v>193879605.52000001</v>
      </c>
      <c r="D50" s="225">
        <v>17891627</v>
      </c>
      <c r="E50" s="225">
        <v>16765785.65</v>
      </c>
      <c r="F50" s="165">
        <f t="shared" si="9"/>
        <v>6.7151123931970327E-2</v>
      </c>
      <c r="G50" s="240">
        <f t="shared" si="10"/>
        <v>9.2282150832797907E-2</v>
      </c>
      <c r="H50" s="241">
        <f t="shared" si="11"/>
        <v>0.90771784916720211</v>
      </c>
      <c r="I50" s="156"/>
    </row>
    <row r="51" spans="1:9" ht="15.75" x14ac:dyDescent="0.25">
      <c r="A51" s="176"/>
      <c r="B51" s="164">
        <f>DATE(25,12,1)</f>
        <v>9467</v>
      </c>
      <c r="C51" s="225">
        <v>201203199.47999999</v>
      </c>
      <c r="D51" s="225">
        <v>18798760.43</v>
      </c>
      <c r="E51" s="225">
        <v>18263258.199999999</v>
      </c>
      <c r="F51" s="165">
        <f t="shared" si="9"/>
        <v>2.9321286713232825E-2</v>
      </c>
      <c r="G51" s="240">
        <f t="shared" si="10"/>
        <v>9.3431717182353435E-2</v>
      </c>
      <c r="H51" s="241">
        <f t="shared" si="11"/>
        <v>0.90656828281764656</v>
      </c>
      <c r="I51" s="156"/>
    </row>
    <row r="52" spans="1:9" ht="15.75" x14ac:dyDescent="0.25">
      <c r="A52" s="176"/>
      <c r="B52" s="164">
        <f>DATE(26,1,1)</f>
        <v>9498</v>
      </c>
      <c r="C52" s="225">
        <v>193482077.75</v>
      </c>
      <c r="D52" s="225">
        <v>18040499.640000001</v>
      </c>
      <c r="E52" s="225">
        <v>15748977.17</v>
      </c>
      <c r="F52" s="165">
        <f t="shared" si="9"/>
        <v>0.14550293935056868</v>
      </c>
      <c r="G52" s="240">
        <f t="shared" si="10"/>
        <v>9.3241192413233739E-2</v>
      </c>
      <c r="H52" s="241">
        <f t="shared" si="11"/>
        <v>0.9067588075867663</v>
      </c>
      <c r="I52" s="156"/>
    </row>
    <row r="53" spans="1:9" ht="15.75" x14ac:dyDescent="0.25">
      <c r="A53" s="176"/>
      <c r="B53" s="164">
        <f>DATE(26,2,1)</f>
        <v>9529</v>
      </c>
      <c r="C53" s="225">
        <v>196829885.46000001</v>
      </c>
      <c r="D53" s="225">
        <v>17309048.530000001</v>
      </c>
      <c r="E53" s="225">
        <v>15895327.640000001</v>
      </c>
      <c r="F53" s="165">
        <f t="shared" si="9"/>
        <v>8.8939399175542916E-2</v>
      </c>
      <c r="G53" s="240">
        <f t="shared" si="10"/>
        <v>8.7939128194623503E-2</v>
      </c>
      <c r="H53" s="241">
        <f t="shared" si="11"/>
        <v>0.91206087180537654</v>
      </c>
      <c r="I53" s="156"/>
    </row>
    <row r="54" spans="1:9" ht="15.75" x14ac:dyDescent="0.25">
      <c r="A54" s="176"/>
      <c r="B54" s="164">
        <f>DATE(26,3,1)</f>
        <v>9557</v>
      </c>
      <c r="C54" s="225">
        <v>210462890.31999999</v>
      </c>
      <c r="D54" s="225">
        <v>19726160.73</v>
      </c>
      <c r="E54" s="225">
        <v>19662082.75</v>
      </c>
      <c r="F54" s="165">
        <f t="shared" si="9"/>
        <v>3.2589619733952371E-3</v>
      </c>
      <c r="G54" s="240">
        <f t="shared" si="10"/>
        <v>9.3727500843532083E-2</v>
      </c>
      <c r="H54" s="241">
        <f t="shared" si="11"/>
        <v>0.9062724991564679</v>
      </c>
      <c r="I54" s="156"/>
    </row>
    <row r="55" spans="1:9" ht="15.75" thickBot="1" x14ac:dyDescent="0.25">
      <c r="A55" s="166"/>
      <c r="B55" s="167"/>
      <c r="C55" s="225"/>
      <c r="D55" s="225"/>
      <c r="E55" s="225"/>
      <c r="F55" s="165"/>
      <c r="G55" s="240"/>
      <c r="H55" s="241"/>
      <c r="I55" s="156"/>
    </row>
    <row r="56" spans="1:9" ht="17.25" thickTop="1" thickBot="1" x14ac:dyDescent="0.3">
      <c r="A56" s="173" t="s">
        <v>14</v>
      </c>
      <c r="B56" s="177"/>
      <c r="C56" s="227">
        <f>SUM(C46:C55)</f>
        <v>1813894488.9200001</v>
      </c>
      <c r="D56" s="227">
        <f>SUM(D46:D55)</f>
        <v>167653553.56999996</v>
      </c>
      <c r="E56" s="227">
        <f>SUM(E46:E55)</f>
        <v>158064731.07000002</v>
      </c>
      <c r="F56" s="175">
        <f>(+D56-E56)/E56</f>
        <v>6.0663896589008628E-2</v>
      </c>
      <c r="G56" s="244">
        <f>D56/C56</f>
        <v>9.2427401149347749E-2</v>
      </c>
      <c r="H56" s="245">
        <f>1-G56</f>
        <v>0.90757259885065222</v>
      </c>
      <c r="I56" s="156"/>
    </row>
    <row r="57" spans="1:9" ht="15.75" thickTop="1" x14ac:dyDescent="0.2">
      <c r="A57" s="166"/>
      <c r="B57" s="167"/>
      <c r="C57" s="225"/>
      <c r="D57" s="225"/>
      <c r="E57" s="225"/>
      <c r="F57" s="165"/>
      <c r="G57" s="240"/>
      <c r="H57" s="241"/>
      <c r="I57" s="156"/>
    </row>
    <row r="58" spans="1:9" ht="15.75" x14ac:dyDescent="0.25">
      <c r="A58" s="163" t="s">
        <v>60</v>
      </c>
      <c r="B58" s="164">
        <f>DATE(25,7,1)</f>
        <v>9314</v>
      </c>
      <c r="C58" s="225">
        <v>114584386.17</v>
      </c>
      <c r="D58" s="225">
        <v>11284269.119999999</v>
      </c>
      <c r="E58" s="225">
        <v>9741383.2799999993</v>
      </c>
      <c r="F58" s="165">
        <f t="shared" ref="F58:F66" si="12">(+D58-E58)/E58</f>
        <v>0.15838467655488861</v>
      </c>
      <c r="G58" s="240">
        <f t="shared" ref="G58:G66" si="13">D58/C58</f>
        <v>9.8479989265364665E-2</v>
      </c>
      <c r="H58" s="241">
        <f t="shared" ref="H58:H66" si="14">1-G58</f>
        <v>0.90152001073463528</v>
      </c>
      <c r="I58" s="156"/>
    </row>
    <row r="59" spans="1:9" ht="15.75" x14ac:dyDescent="0.25">
      <c r="A59" s="163"/>
      <c r="B59" s="164">
        <f>DATE(25,8,1)</f>
        <v>9345</v>
      </c>
      <c r="C59" s="225">
        <v>124984419.62</v>
      </c>
      <c r="D59" s="225">
        <v>12207537.15</v>
      </c>
      <c r="E59" s="225">
        <v>10213981.68</v>
      </c>
      <c r="F59" s="165">
        <f t="shared" si="12"/>
        <v>0.19517907241830892</v>
      </c>
      <c r="G59" s="240">
        <f t="shared" si="13"/>
        <v>9.7672471393758828E-2</v>
      </c>
      <c r="H59" s="241">
        <f t="shared" si="14"/>
        <v>0.90232752860624121</v>
      </c>
      <c r="I59" s="156"/>
    </row>
    <row r="60" spans="1:9" ht="15.75" x14ac:dyDescent="0.25">
      <c r="A60" s="163"/>
      <c r="B60" s="164">
        <f>DATE(25,9,1)</f>
        <v>9376</v>
      </c>
      <c r="C60" s="225">
        <v>114317853.92</v>
      </c>
      <c r="D60" s="225">
        <v>10848927.15</v>
      </c>
      <c r="E60" s="225">
        <v>9094034.0600000005</v>
      </c>
      <c r="F60" s="165">
        <f t="shared" si="12"/>
        <v>0.19297190646325771</v>
      </c>
      <c r="G60" s="240">
        <f t="shared" si="13"/>
        <v>9.490142421316021E-2</v>
      </c>
      <c r="H60" s="241">
        <f t="shared" si="14"/>
        <v>0.90509857578683983</v>
      </c>
      <c r="I60" s="156"/>
    </row>
    <row r="61" spans="1:9" ht="15.75" x14ac:dyDescent="0.25">
      <c r="A61" s="163"/>
      <c r="B61" s="164">
        <f>DATE(25,10,1)</f>
        <v>9406</v>
      </c>
      <c r="C61" s="225">
        <v>116558155.48999999</v>
      </c>
      <c r="D61" s="225">
        <v>11596520.18</v>
      </c>
      <c r="E61" s="225">
        <v>9949775.4600000009</v>
      </c>
      <c r="F61" s="165">
        <f t="shared" si="12"/>
        <v>0.16550571684961407</v>
      </c>
      <c r="G61" s="240">
        <f t="shared" si="13"/>
        <v>9.949128082242957E-2</v>
      </c>
      <c r="H61" s="241">
        <f t="shared" si="14"/>
        <v>0.90050871917757047</v>
      </c>
      <c r="I61" s="156"/>
    </row>
    <row r="62" spans="1:9" ht="15.75" x14ac:dyDescent="0.25">
      <c r="A62" s="163"/>
      <c r="B62" s="164">
        <f>DATE(25,11,1)</f>
        <v>9437</v>
      </c>
      <c r="C62" s="225">
        <v>116601107.65000001</v>
      </c>
      <c r="D62" s="225">
        <v>11036495.890000001</v>
      </c>
      <c r="E62" s="225">
        <v>9979085.8399999999</v>
      </c>
      <c r="F62" s="165">
        <f t="shared" si="12"/>
        <v>0.10596261691241257</v>
      </c>
      <c r="G62" s="240">
        <f t="shared" si="13"/>
        <v>9.4651724262586792E-2</v>
      </c>
      <c r="H62" s="241">
        <f t="shared" si="14"/>
        <v>0.90534827573741317</v>
      </c>
      <c r="I62" s="156"/>
    </row>
    <row r="63" spans="1:9" ht="15.75" x14ac:dyDescent="0.25">
      <c r="A63" s="163"/>
      <c r="B63" s="164">
        <f>DATE(25,12,1)</f>
        <v>9467</v>
      </c>
      <c r="C63" s="225">
        <v>130601366.98</v>
      </c>
      <c r="D63" s="225">
        <v>12894093.449999999</v>
      </c>
      <c r="E63" s="225">
        <v>10902773.140000001</v>
      </c>
      <c r="F63" s="165">
        <f t="shared" si="12"/>
        <v>0.18264346918255683</v>
      </c>
      <c r="G63" s="240">
        <f t="shared" si="13"/>
        <v>9.872862549727042E-2</v>
      </c>
      <c r="H63" s="241">
        <f t="shared" si="14"/>
        <v>0.90127137450272954</v>
      </c>
      <c r="I63" s="156"/>
    </row>
    <row r="64" spans="1:9" ht="15.75" x14ac:dyDescent="0.25">
      <c r="A64" s="163"/>
      <c r="B64" s="164">
        <f>DATE(26,1,1)</f>
        <v>9498</v>
      </c>
      <c r="C64" s="225">
        <v>113326720.70999999</v>
      </c>
      <c r="D64" s="225">
        <v>11437609.619999999</v>
      </c>
      <c r="E64" s="225">
        <v>9509561.3300000001</v>
      </c>
      <c r="F64" s="165">
        <f t="shared" si="12"/>
        <v>0.20274839428371394</v>
      </c>
      <c r="G64" s="240">
        <f t="shared" si="13"/>
        <v>0.10092597357748075</v>
      </c>
      <c r="H64" s="241">
        <f t="shared" si="14"/>
        <v>0.89907402642251921</v>
      </c>
      <c r="I64" s="156"/>
    </row>
    <row r="65" spans="1:9" ht="15.75" x14ac:dyDescent="0.25">
      <c r="A65" s="163"/>
      <c r="B65" s="164">
        <f>DATE(26,2,1)</f>
        <v>9529</v>
      </c>
      <c r="C65" s="225">
        <v>116325492.83</v>
      </c>
      <c r="D65" s="225">
        <v>11370988.49</v>
      </c>
      <c r="E65" s="225">
        <v>9681980.4499999993</v>
      </c>
      <c r="F65" s="165">
        <f t="shared" si="12"/>
        <v>0.17444861087278907</v>
      </c>
      <c r="G65" s="240">
        <f t="shared" si="13"/>
        <v>9.7751474877632805E-2</v>
      </c>
      <c r="H65" s="241">
        <f t="shared" si="14"/>
        <v>0.9022485251223672</v>
      </c>
      <c r="I65" s="156"/>
    </row>
    <row r="66" spans="1:9" ht="15.75" x14ac:dyDescent="0.25">
      <c r="A66" s="163"/>
      <c r="B66" s="164">
        <f>DATE(26,3,1)</f>
        <v>9557</v>
      </c>
      <c r="C66" s="225">
        <v>130154930.42</v>
      </c>
      <c r="D66" s="225">
        <v>12963076.039999999</v>
      </c>
      <c r="E66" s="225">
        <v>12304931.91</v>
      </c>
      <c r="F66" s="165">
        <f t="shared" si="12"/>
        <v>5.3486206572596867E-2</v>
      </c>
      <c r="G66" s="240">
        <f t="shared" si="13"/>
        <v>9.9597272252147068E-2</v>
      </c>
      <c r="H66" s="241">
        <f t="shared" si="14"/>
        <v>0.9004027277478529</v>
      </c>
      <c r="I66" s="156"/>
    </row>
    <row r="67" spans="1:9" ht="15.75" thickBot="1" x14ac:dyDescent="0.25">
      <c r="A67" s="166"/>
      <c r="B67" s="164"/>
      <c r="C67" s="225"/>
      <c r="D67" s="225"/>
      <c r="E67" s="225"/>
      <c r="F67" s="165"/>
      <c r="G67" s="240"/>
      <c r="H67" s="241"/>
      <c r="I67" s="156"/>
    </row>
    <row r="68" spans="1:9" ht="17.25" thickTop="1" thickBot="1" x14ac:dyDescent="0.3">
      <c r="A68" s="173" t="s">
        <v>14</v>
      </c>
      <c r="B68" s="174"/>
      <c r="C68" s="227">
        <f>SUM(C58:C67)</f>
        <v>1077454433.7900002</v>
      </c>
      <c r="D68" s="229">
        <f>SUM(D58:D67)</f>
        <v>105639517.09</v>
      </c>
      <c r="E68" s="270">
        <f>SUM(E58:E67)</f>
        <v>91377507.150000006</v>
      </c>
      <c r="F68" s="271">
        <f>(+D68-E68)/E68</f>
        <v>0.1560779056555823</v>
      </c>
      <c r="G68" s="248">
        <f>D68/C68</f>
        <v>9.8045461392188699E-2</v>
      </c>
      <c r="H68" s="269">
        <f>1-G68</f>
        <v>0.90195453860781127</v>
      </c>
      <c r="I68" s="156"/>
    </row>
    <row r="69" spans="1:9" ht="15.75" thickTop="1" x14ac:dyDescent="0.2">
      <c r="A69" s="166"/>
      <c r="B69" s="167"/>
      <c r="C69" s="225"/>
      <c r="D69" s="225"/>
      <c r="E69" s="225"/>
      <c r="F69" s="165"/>
      <c r="G69" s="240"/>
      <c r="H69" s="241"/>
      <c r="I69" s="156"/>
    </row>
    <row r="70" spans="1:9" ht="15.75" x14ac:dyDescent="0.25">
      <c r="A70" s="163" t="s">
        <v>64</v>
      </c>
      <c r="B70" s="164">
        <f>DATE(25,7,1)</f>
        <v>9314</v>
      </c>
      <c r="C70" s="225">
        <v>50473686.939999998</v>
      </c>
      <c r="D70" s="225">
        <v>5133575.21</v>
      </c>
      <c r="E70" s="225">
        <v>5096504.7300000004</v>
      </c>
      <c r="F70" s="165">
        <f t="shared" ref="F70:F78" si="15">(+D70-E70)/E70</f>
        <v>7.2737065820401023E-3</v>
      </c>
      <c r="G70" s="240">
        <f t="shared" ref="G70:G78" si="16">D70/C70</f>
        <v>0.10170794965112173</v>
      </c>
      <c r="H70" s="241">
        <f t="shared" ref="H70:H78" si="17">1-G70</f>
        <v>0.89829205034887827</v>
      </c>
      <c r="I70" s="156"/>
    </row>
    <row r="71" spans="1:9" ht="15.75" x14ac:dyDescent="0.25">
      <c r="A71" s="163"/>
      <c r="B71" s="164">
        <f>DATE(25,8,1)</f>
        <v>9345</v>
      </c>
      <c r="C71" s="225">
        <v>54290001.18</v>
      </c>
      <c r="D71" s="225">
        <v>5461912.4800000004</v>
      </c>
      <c r="E71" s="225">
        <v>5390961.3799999999</v>
      </c>
      <c r="F71" s="165">
        <f t="shared" si="15"/>
        <v>1.3161121922190539E-2</v>
      </c>
      <c r="G71" s="240">
        <f t="shared" si="16"/>
        <v>0.10060623247899514</v>
      </c>
      <c r="H71" s="241">
        <f t="shared" si="17"/>
        <v>0.89939376752100486</v>
      </c>
      <c r="I71" s="156"/>
    </row>
    <row r="72" spans="1:9" ht="15.75" x14ac:dyDescent="0.25">
      <c r="A72" s="163"/>
      <c r="B72" s="164">
        <f>DATE(25,9,1)</f>
        <v>9376</v>
      </c>
      <c r="C72" s="225">
        <v>46674338.479999997</v>
      </c>
      <c r="D72" s="225">
        <v>4772050.28</v>
      </c>
      <c r="E72" s="225">
        <v>4962842.88</v>
      </c>
      <c r="F72" s="165">
        <f t="shared" si="15"/>
        <v>-3.8444215263973784E-2</v>
      </c>
      <c r="G72" s="240">
        <f t="shared" si="16"/>
        <v>0.1022414122065132</v>
      </c>
      <c r="H72" s="241">
        <f t="shared" si="17"/>
        <v>0.89775858779348683</v>
      </c>
      <c r="I72" s="156"/>
    </row>
    <row r="73" spans="1:9" ht="15.75" x14ac:dyDescent="0.25">
      <c r="A73" s="163"/>
      <c r="B73" s="164">
        <f>DATE(25,10,1)</f>
        <v>9406</v>
      </c>
      <c r="C73" s="225">
        <v>46929853.640000001</v>
      </c>
      <c r="D73" s="225">
        <v>4758336.2699999996</v>
      </c>
      <c r="E73" s="225">
        <v>4961723.2699999996</v>
      </c>
      <c r="F73" s="165">
        <f t="shared" si="15"/>
        <v>-4.0991201832987358E-2</v>
      </c>
      <c r="G73" s="240">
        <f t="shared" si="16"/>
        <v>0.1013925231154844</v>
      </c>
      <c r="H73" s="241">
        <f t="shared" si="17"/>
        <v>0.89860747688451559</v>
      </c>
      <c r="I73" s="156"/>
    </row>
    <row r="74" spans="1:9" ht="15.75" x14ac:dyDescent="0.25">
      <c r="A74" s="163"/>
      <c r="B74" s="164">
        <f>DATE(25,11,1)</f>
        <v>9437</v>
      </c>
      <c r="C74" s="225">
        <v>50524189.310000002</v>
      </c>
      <c r="D74" s="225">
        <v>5142404.0199999996</v>
      </c>
      <c r="E74" s="225">
        <v>5565441.5499999998</v>
      </c>
      <c r="F74" s="165">
        <f t="shared" si="15"/>
        <v>-7.6011494541704472E-2</v>
      </c>
      <c r="G74" s="240">
        <f t="shared" si="16"/>
        <v>0.10178102984390071</v>
      </c>
      <c r="H74" s="241">
        <f t="shared" si="17"/>
        <v>0.89821897015609931</v>
      </c>
      <c r="I74" s="156"/>
    </row>
    <row r="75" spans="1:9" ht="15.75" x14ac:dyDescent="0.25">
      <c r="A75" s="163"/>
      <c r="B75" s="164">
        <f>DATE(25,12,1)</f>
        <v>9467</v>
      </c>
      <c r="C75" s="225">
        <v>53253263.899999999</v>
      </c>
      <c r="D75" s="225">
        <v>5234807.32</v>
      </c>
      <c r="E75" s="225">
        <v>5321819.12</v>
      </c>
      <c r="F75" s="165">
        <f t="shared" si="15"/>
        <v>-1.635001078353069E-2</v>
      </c>
      <c r="G75" s="240">
        <f t="shared" si="16"/>
        <v>9.8300215547915001E-2</v>
      </c>
      <c r="H75" s="241">
        <f t="shared" si="17"/>
        <v>0.90169978445208498</v>
      </c>
      <c r="I75" s="156"/>
    </row>
    <row r="76" spans="1:9" ht="15.75" x14ac:dyDescent="0.25">
      <c r="A76" s="163"/>
      <c r="B76" s="164">
        <f>DATE(26,1,1)</f>
        <v>9498</v>
      </c>
      <c r="C76" s="225">
        <v>47232550.490000002</v>
      </c>
      <c r="D76" s="225">
        <v>4764770.3899999997</v>
      </c>
      <c r="E76" s="225">
        <v>4347024.5</v>
      </c>
      <c r="F76" s="165">
        <f t="shared" si="15"/>
        <v>9.6099272042290004E-2</v>
      </c>
      <c r="G76" s="240">
        <f t="shared" si="16"/>
        <v>0.10087895615564502</v>
      </c>
      <c r="H76" s="241">
        <f t="shared" si="17"/>
        <v>0.89912104384435498</v>
      </c>
      <c r="I76" s="156"/>
    </row>
    <row r="77" spans="1:9" ht="15.75" x14ac:dyDescent="0.25">
      <c r="A77" s="163"/>
      <c r="B77" s="164">
        <f>DATE(26,2,1)</f>
        <v>9529</v>
      </c>
      <c r="C77" s="225">
        <v>52237034.609999999</v>
      </c>
      <c r="D77" s="225">
        <v>5412686.8799999999</v>
      </c>
      <c r="E77" s="225">
        <v>5036764.01</v>
      </c>
      <c r="F77" s="165">
        <f t="shared" si="15"/>
        <v>7.4635791800775703E-2</v>
      </c>
      <c r="G77" s="240">
        <f t="shared" si="16"/>
        <v>0.10361780526806209</v>
      </c>
      <c r="H77" s="241">
        <f t="shared" si="17"/>
        <v>0.89638219473193792</v>
      </c>
      <c r="I77" s="156"/>
    </row>
    <row r="78" spans="1:9" ht="15.75" x14ac:dyDescent="0.25">
      <c r="A78" s="163"/>
      <c r="B78" s="164">
        <f>DATE(26,3,1)</f>
        <v>9557</v>
      </c>
      <c r="C78" s="225">
        <v>54543340.490000002</v>
      </c>
      <c r="D78" s="225">
        <v>5750229.3300000001</v>
      </c>
      <c r="E78" s="225">
        <v>5549743.5499999998</v>
      </c>
      <c r="F78" s="165">
        <f t="shared" si="15"/>
        <v>3.612523321010036E-2</v>
      </c>
      <c r="G78" s="240">
        <f t="shared" si="16"/>
        <v>0.10542495707710182</v>
      </c>
      <c r="H78" s="241">
        <f t="shared" si="17"/>
        <v>0.89457504292289813</v>
      </c>
      <c r="I78" s="156"/>
    </row>
    <row r="79" spans="1:9" ht="15.75" thickBot="1" x14ac:dyDescent="0.25">
      <c r="A79" s="166"/>
      <c r="B79" s="164"/>
      <c r="C79" s="225"/>
      <c r="D79" s="225"/>
      <c r="E79" s="225"/>
      <c r="F79" s="165"/>
      <c r="G79" s="240"/>
      <c r="H79" s="241"/>
      <c r="I79" s="156"/>
    </row>
    <row r="80" spans="1:9" ht="17.25" thickTop="1" thickBot="1" x14ac:dyDescent="0.3">
      <c r="A80" s="173" t="s">
        <v>14</v>
      </c>
      <c r="B80" s="174"/>
      <c r="C80" s="227">
        <f>SUM(C70:C79)</f>
        <v>456158259.04000002</v>
      </c>
      <c r="D80" s="229">
        <f>SUM(D70:D79)</f>
        <v>46430772.18</v>
      </c>
      <c r="E80" s="270">
        <f>SUM(E70:E79)</f>
        <v>46232824.989999995</v>
      </c>
      <c r="F80" s="271">
        <f>(+D80-E80)/E80</f>
        <v>4.2815291958218076E-3</v>
      </c>
      <c r="G80" s="248">
        <f>D80/C80</f>
        <v>0.10178654284965721</v>
      </c>
      <c r="H80" s="269">
        <f>1-G80</f>
        <v>0.89821345715034284</v>
      </c>
      <c r="I80" s="156"/>
    </row>
    <row r="81" spans="1:9" ht="15.75" thickTop="1" x14ac:dyDescent="0.2">
      <c r="A81" s="166"/>
      <c r="B81" s="167"/>
      <c r="C81" s="225"/>
      <c r="D81" s="225"/>
      <c r="E81" s="225"/>
      <c r="F81" s="165"/>
      <c r="G81" s="240"/>
      <c r="H81" s="241"/>
      <c r="I81" s="156"/>
    </row>
    <row r="82" spans="1:9" ht="15.75" x14ac:dyDescent="0.25">
      <c r="A82" s="289" t="s">
        <v>67</v>
      </c>
      <c r="B82" s="164">
        <f>DATE(25,7,1)</f>
        <v>9314</v>
      </c>
      <c r="C82" s="225">
        <v>93836015.939999998</v>
      </c>
      <c r="D82" s="225">
        <v>10415438.859999999</v>
      </c>
      <c r="E82" s="225">
        <v>10638892.560000001</v>
      </c>
      <c r="F82" s="165">
        <f t="shared" ref="F82:F90" si="18">(+D82-E82)/E82</f>
        <v>-2.1003473692378476E-2</v>
      </c>
      <c r="G82" s="240">
        <f t="shared" ref="G82:G90" si="19">D82/C82</f>
        <v>0.11099617514302579</v>
      </c>
      <c r="H82" s="241">
        <f t="shared" ref="H82:H90" si="20">1-G82</f>
        <v>0.88900382485697427</v>
      </c>
      <c r="I82" s="156"/>
    </row>
    <row r="83" spans="1:9" ht="15.75" x14ac:dyDescent="0.25">
      <c r="A83" s="289"/>
      <c r="B83" s="164">
        <f>DATE(25,8,1)</f>
        <v>9345</v>
      </c>
      <c r="C83" s="225">
        <v>96419544.269999996</v>
      </c>
      <c r="D83" s="225">
        <v>10567774.789999999</v>
      </c>
      <c r="E83" s="225">
        <v>11116423.300000001</v>
      </c>
      <c r="F83" s="165">
        <f t="shared" si="18"/>
        <v>-4.9354769532750843E-2</v>
      </c>
      <c r="G83" s="240">
        <f t="shared" si="19"/>
        <v>0.10960199895165922</v>
      </c>
      <c r="H83" s="241">
        <f t="shared" si="20"/>
        <v>0.89039800104834077</v>
      </c>
      <c r="I83" s="156"/>
    </row>
    <row r="84" spans="1:9" ht="15.75" x14ac:dyDescent="0.25">
      <c r="A84" s="289"/>
      <c r="B84" s="164">
        <f>DATE(25,9,1)</f>
        <v>9376</v>
      </c>
      <c r="C84" s="225">
        <v>89806945.900000006</v>
      </c>
      <c r="D84" s="225">
        <v>9523944.1500000004</v>
      </c>
      <c r="E84" s="225">
        <v>10219644.369999999</v>
      </c>
      <c r="F84" s="165">
        <f t="shared" si="18"/>
        <v>-6.8074797401193612E-2</v>
      </c>
      <c r="G84" s="240">
        <f t="shared" si="19"/>
        <v>0.10604908177820575</v>
      </c>
      <c r="H84" s="241">
        <f t="shared" si="20"/>
        <v>0.89395091822179429</v>
      </c>
      <c r="I84" s="156"/>
    </row>
    <row r="85" spans="1:9" ht="15.75" x14ac:dyDescent="0.25">
      <c r="A85" s="289"/>
      <c r="B85" s="164">
        <f>DATE(25,10,1)</f>
        <v>9406</v>
      </c>
      <c r="C85" s="225">
        <v>101024821.36</v>
      </c>
      <c r="D85" s="225">
        <v>11127480.560000001</v>
      </c>
      <c r="E85" s="225">
        <v>10771197.369999999</v>
      </c>
      <c r="F85" s="165">
        <f t="shared" si="18"/>
        <v>3.3077398710780595E-2</v>
      </c>
      <c r="G85" s="240">
        <f t="shared" si="19"/>
        <v>0.11014600580532025</v>
      </c>
      <c r="H85" s="241">
        <f t="shared" si="20"/>
        <v>0.8898539941946797</v>
      </c>
      <c r="I85" s="156"/>
    </row>
    <row r="86" spans="1:9" ht="15.75" x14ac:dyDescent="0.25">
      <c r="A86" s="289"/>
      <c r="B86" s="164">
        <f>DATE(25,11,1)</f>
        <v>9437</v>
      </c>
      <c r="C86" s="225">
        <v>93711488.209999993</v>
      </c>
      <c r="D86" s="225">
        <v>10118381.810000001</v>
      </c>
      <c r="E86" s="225">
        <v>9849647.8100000005</v>
      </c>
      <c r="F86" s="165">
        <f t="shared" si="18"/>
        <v>2.728361512856976E-2</v>
      </c>
      <c r="G86" s="240">
        <f t="shared" si="19"/>
        <v>0.10797376077653907</v>
      </c>
      <c r="H86" s="241">
        <f t="shared" si="20"/>
        <v>0.89202623922346092</v>
      </c>
      <c r="I86" s="156"/>
    </row>
    <row r="87" spans="1:9" ht="15.75" x14ac:dyDescent="0.25">
      <c r="A87" s="289"/>
      <c r="B87" s="164">
        <f>DATE(25,12,1)</f>
        <v>9467</v>
      </c>
      <c r="C87" s="225">
        <v>92529247.540000007</v>
      </c>
      <c r="D87" s="225">
        <v>9982993.6799999997</v>
      </c>
      <c r="E87" s="225">
        <v>9955704.7599999998</v>
      </c>
      <c r="F87" s="165">
        <f t="shared" si="18"/>
        <v>2.7410334735559119E-3</v>
      </c>
      <c r="G87" s="240">
        <f t="shared" si="19"/>
        <v>0.10789014225674312</v>
      </c>
      <c r="H87" s="241">
        <f t="shared" si="20"/>
        <v>0.89210985774325691</v>
      </c>
      <c r="I87" s="156"/>
    </row>
    <row r="88" spans="1:9" ht="15.75" x14ac:dyDescent="0.25">
      <c r="A88" s="289"/>
      <c r="B88" s="164">
        <f>DATE(26,1,1)</f>
        <v>9498</v>
      </c>
      <c r="C88" s="225">
        <v>84533229.620000005</v>
      </c>
      <c r="D88" s="225">
        <v>9309010.5600000005</v>
      </c>
      <c r="E88" s="225">
        <v>8356220.0700000003</v>
      </c>
      <c r="F88" s="165">
        <f t="shared" si="18"/>
        <v>0.11402170862165914</v>
      </c>
      <c r="G88" s="240">
        <f t="shared" si="19"/>
        <v>0.11012249977726569</v>
      </c>
      <c r="H88" s="241">
        <f t="shared" si="20"/>
        <v>0.88987750022273426</v>
      </c>
      <c r="I88" s="156"/>
    </row>
    <row r="89" spans="1:9" ht="15.75" x14ac:dyDescent="0.25">
      <c r="A89" s="289"/>
      <c r="B89" s="164">
        <f>DATE(26,2,1)</f>
        <v>9529</v>
      </c>
      <c r="C89" s="225">
        <v>87302833.659999996</v>
      </c>
      <c r="D89" s="225">
        <v>9527176.5099999998</v>
      </c>
      <c r="E89" s="225">
        <v>9040094.6699999999</v>
      </c>
      <c r="F89" s="165">
        <f t="shared" si="18"/>
        <v>5.3880170261535527E-2</v>
      </c>
      <c r="G89" s="240">
        <f t="shared" si="19"/>
        <v>0.10912791842591836</v>
      </c>
      <c r="H89" s="241">
        <f t="shared" si="20"/>
        <v>0.8908720815740816</v>
      </c>
      <c r="I89" s="156"/>
    </row>
    <row r="90" spans="1:9" ht="15.75" x14ac:dyDescent="0.25">
      <c r="A90" s="289"/>
      <c r="B90" s="164">
        <f>DATE(26,3,1)</f>
        <v>9557</v>
      </c>
      <c r="C90" s="225">
        <v>95976400.340000004</v>
      </c>
      <c r="D90" s="225">
        <v>10432342.779999999</v>
      </c>
      <c r="E90" s="225">
        <v>11234294.58</v>
      </c>
      <c r="F90" s="165">
        <f t="shared" si="18"/>
        <v>-7.1384259535768796E-2</v>
      </c>
      <c r="G90" s="240">
        <f t="shared" si="19"/>
        <v>0.10869695824226615</v>
      </c>
      <c r="H90" s="241">
        <f t="shared" si="20"/>
        <v>0.89130304175773389</v>
      </c>
      <c r="I90" s="156"/>
    </row>
    <row r="91" spans="1:9" ht="15.75" thickBot="1" x14ac:dyDescent="0.25">
      <c r="A91" s="166"/>
      <c r="B91" s="164"/>
      <c r="C91" s="225"/>
      <c r="D91" s="225"/>
      <c r="E91" s="225"/>
      <c r="F91" s="165"/>
      <c r="G91" s="240"/>
      <c r="H91" s="241"/>
      <c r="I91" s="156"/>
    </row>
    <row r="92" spans="1:9" ht="17.25" thickTop="1" thickBot="1" x14ac:dyDescent="0.3">
      <c r="A92" s="173" t="s">
        <v>14</v>
      </c>
      <c r="B92" s="174"/>
      <c r="C92" s="227">
        <f>SUM(C82:C91)</f>
        <v>835140526.84000003</v>
      </c>
      <c r="D92" s="229">
        <f>SUM(D82:D91)</f>
        <v>91004543.700000003</v>
      </c>
      <c r="E92" s="270">
        <f>SUM(E82:E91)</f>
        <v>91182119.489999995</v>
      </c>
      <c r="F92" s="271">
        <f>(+D92-E92)/E92</f>
        <v>-1.9474847809330261E-3</v>
      </c>
      <c r="G92" s="248">
        <f>D92/C92</f>
        <v>0.10896913845666487</v>
      </c>
      <c r="H92" s="269">
        <f>1-G92</f>
        <v>0.89103086154333511</v>
      </c>
      <c r="I92" s="156"/>
    </row>
    <row r="93" spans="1:9" ht="15.75" thickTop="1" x14ac:dyDescent="0.2">
      <c r="A93" s="166"/>
      <c r="B93" s="167"/>
      <c r="C93" s="225"/>
      <c r="D93" s="225"/>
      <c r="E93" s="225"/>
      <c r="F93" s="165"/>
      <c r="G93" s="240"/>
      <c r="H93" s="241"/>
      <c r="I93" s="156"/>
    </row>
    <row r="94" spans="1:9" ht="15.75" x14ac:dyDescent="0.25">
      <c r="A94" s="163" t="s">
        <v>69</v>
      </c>
      <c r="B94" s="164">
        <f>DATE(25,7,1)</f>
        <v>9314</v>
      </c>
      <c r="C94" s="225">
        <v>127697612.23</v>
      </c>
      <c r="D94" s="225">
        <v>12769442.74</v>
      </c>
      <c r="E94" s="225">
        <v>10449496.5</v>
      </c>
      <c r="F94" s="165">
        <f t="shared" ref="F94:F102" si="21">(+D94-E94)/E94</f>
        <v>0.2220151219726233</v>
      </c>
      <c r="G94" s="240">
        <f t="shared" ref="G94:G102" si="22">D94/C94</f>
        <v>9.9997505959630417E-2</v>
      </c>
      <c r="H94" s="241">
        <f t="shared" ref="H94:H102" si="23">1-G94</f>
        <v>0.90000249404036958</v>
      </c>
      <c r="I94" s="156"/>
    </row>
    <row r="95" spans="1:9" ht="15.75" x14ac:dyDescent="0.25">
      <c r="A95" s="163"/>
      <c r="B95" s="164">
        <f>DATE(25,8,1)</f>
        <v>9345</v>
      </c>
      <c r="C95" s="225">
        <v>130749611.66</v>
      </c>
      <c r="D95" s="225">
        <v>13134764.029999999</v>
      </c>
      <c r="E95" s="225">
        <v>10275632.210000001</v>
      </c>
      <c r="F95" s="165">
        <f t="shared" si="21"/>
        <v>0.27824388432446612</v>
      </c>
      <c r="G95" s="240">
        <f t="shared" si="22"/>
        <v>0.10045738463954686</v>
      </c>
      <c r="H95" s="241">
        <f t="shared" si="23"/>
        <v>0.8995426153604531</v>
      </c>
      <c r="I95" s="156"/>
    </row>
    <row r="96" spans="1:9" ht="15.75" x14ac:dyDescent="0.25">
      <c r="A96" s="163"/>
      <c r="B96" s="164">
        <f>DATE(25,9,1)</f>
        <v>9376</v>
      </c>
      <c r="C96" s="225">
        <v>111907637.18000001</v>
      </c>
      <c r="D96" s="225">
        <v>11494154.85</v>
      </c>
      <c r="E96" s="225">
        <v>9114774.1799999997</v>
      </c>
      <c r="F96" s="165">
        <f t="shared" si="21"/>
        <v>0.26104658469991848</v>
      </c>
      <c r="G96" s="240">
        <f t="shared" si="22"/>
        <v>0.10271108513811264</v>
      </c>
      <c r="H96" s="241">
        <f t="shared" si="23"/>
        <v>0.89728891486188733</v>
      </c>
      <c r="I96" s="156"/>
    </row>
    <row r="97" spans="1:9" ht="15.75" x14ac:dyDescent="0.25">
      <c r="A97" s="163"/>
      <c r="B97" s="164">
        <f>DATE(25,10,1)</f>
        <v>9406</v>
      </c>
      <c r="C97" s="225">
        <v>113584160.47</v>
      </c>
      <c r="D97" s="225">
        <v>11479577.25</v>
      </c>
      <c r="E97" s="225">
        <v>9368778.4199999999</v>
      </c>
      <c r="F97" s="165">
        <f t="shared" si="21"/>
        <v>0.22530139313509351</v>
      </c>
      <c r="G97" s="240">
        <f t="shared" si="22"/>
        <v>0.10106670861939418</v>
      </c>
      <c r="H97" s="241">
        <f t="shared" si="23"/>
        <v>0.89893329138060585</v>
      </c>
      <c r="I97" s="156"/>
    </row>
    <row r="98" spans="1:9" ht="15.75" x14ac:dyDescent="0.25">
      <c r="A98" s="163"/>
      <c r="B98" s="164">
        <f>DATE(25,11,1)</f>
        <v>9437</v>
      </c>
      <c r="C98" s="225">
        <v>110159477</v>
      </c>
      <c r="D98" s="225">
        <v>10932278.65</v>
      </c>
      <c r="E98" s="225">
        <v>9909604.9700000007</v>
      </c>
      <c r="F98" s="165">
        <f t="shared" si="21"/>
        <v>0.10320024694183139</v>
      </c>
      <c r="G98" s="240">
        <f t="shared" si="22"/>
        <v>9.9240473427447379E-2</v>
      </c>
      <c r="H98" s="241">
        <f t="shared" si="23"/>
        <v>0.90075952657255265</v>
      </c>
      <c r="I98" s="156"/>
    </row>
    <row r="99" spans="1:9" ht="15.75" x14ac:dyDescent="0.25">
      <c r="A99" s="163"/>
      <c r="B99" s="164">
        <f>DATE(25,12,1)</f>
        <v>9467</v>
      </c>
      <c r="C99" s="225">
        <v>122812851.12</v>
      </c>
      <c r="D99" s="225">
        <v>12564588.699999999</v>
      </c>
      <c r="E99" s="225">
        <v>11021433.1</v>
      </c>
      <c r="F99" s="165">
        <f t="shared" si="21"/>
        <v>0.14001406042196088</v>
      </c>
      <c r="G99" s="240">
        <f t="shared" si="22"/>
        <v>0.10230679106800626</v>
      </c>
      <c r="H99" s="241">
        <f t="shared" si="23"/>
        <v>0.89769320893199378</v>
      </c>
      <c r="I99" s="156"/>
    </row>
    <row r="100" spans="1:9" ht="15.75" x14ac:dyDescent="0.25">
      <c r="A100" s="163"/>
      <c r="B100" s="164">
        <f>DATE(26,1,1)</f>
        <v>9498</v>
      </c>
      <c r="C100" s="225">
        <v>110675933.03</v>
      </c>
      <c r="D100" s="225">
        <v>11023310.15</v>
      </c>
      <c r="E100" s="225">
        <v>9200834.5999999996</v>
      </c>
      <c r="F100" s="165">
        <f t="shared" si="21"/>
        <v>0.19807719943145166</v>
      </c>
      <c r="G100" s="240">
        <f t="shared" si="22"/>
        <v>9.959988452965654E-2</v>
      </c>
      <c r="H100" s="241">
        <f t="shared" si="23"/>
        <v>0.90040011547034349</v>
      </c>
      <c r="I100" s="156"/>
    </row>
    <row r="101" spans="1:9" ht="15.75" x14ac:dyDescent="0.25">
      <c r="A101" s="163"/>
      <c r="B101" s="164">
        <f>DATE(26,2,1)</f>
        <v>9529</v>
      </c>
      <c r="C101" s="225">
        <v>110347060.98999999</v>
      </c>
      <c r="D101" s="225">
        <v>11515867.01</v>
      </c>
      <c r="E101" s="225">
        <v>10606038.84</v>
      </c>
      <c r="F101" s="165">
        <f t="shared" si="21"/>
        <v>8.5783974934038609E-2</v>
      </c>
      <c r="G101" s="240">
        <f t="shared" si="22"/>
        <v>0.10436043249981623</v>
      </c>
      <c r="H101" s="241">
        <f t="shared" si="23"/>
        <v>0.89563956750018381</v>
      </c>
      <c r="I101" s="156"/>
    </row>
    <row r="102" spans="1:9" ht="15.75" x14ac:dyDescent="0.25">
      <c r="A102" s="163"/>
      <c r="B102" s="164">
        <f>DATE(26,3,1)</f>
        <v>9557</v>
      </c>
      <c r="C102" s="225">
        <v>130319948.34</v>
      </c>
      <c r="D102" s="225">
        <v>13186509.5</v>
      </c>
      <c r="E102" s="225">
        <v>13141700.210000001</v>
      </c>
      <c r="F102" s="165">
        <f t="shared" si="21"/>
        <v>3.4097026475997435E-3</v>
      </c>
      <c r="G102" s="240">
        <f t="shared" si="22"/>
        <v>0.10118565628645644</v>
      </c>
      <c r="H102" s="241">
        <f t="shared" si="23"/>
        <v>0.89881434371354352</v>
      </c>
      <c r="I102" s="156"/>
    </row>
    <row r="103" spans="1:9" ht="15.75" thickBot="1" x14ac:dyDescent="0.25">
      <c r="A103" s="166"/>
      <c r="B103" s="164"/>
      <c r="C103" s="225"/>
      <c r="D103" s="225"/>
      <c r="E103" s="225"/>
      <c r="F103" s="165"/>
      <c r="G103" s="240"/>
      <c r="H103" s="241"/>
      <c r="I103" s="156"/>
    </row>
    <row r="104" spans="1:9" ht="17.25" thickTop="1" thickBot="1" x14ac:dyDescent="0.3">
      <c r="A104" s="173" t="s">
        <v>14</v>
      </c>
      <c r="B104" s="174"/>
      <c r="C104" s="227">
        <f>SUM(C94:C103)</f>
        <v>1068254292.02</v>
      </c>
      <c r="D104" s="229">
        <f>SUM(D94:D103)</f>
        <v>108100492.88000001</v>
      </c>
      <c r="E104" s="270">
        <f>SUM(E94:E103)</f>
        <v>93088293.030000001</v>
      </c>
      <c r="F104" s="175">
        <f>(+D104-E104)/E104</f>
        <v>0.16126839757564312</v>
      </c>
      <c r="G104" s="248">
        <f>D104/C104</f>
        <v>0.10119359565182645</v>
      </c>
      <c r="H104" s="269">
        <f>1-G104</f>
        <v>0.8988064043481736</v>
      </c>
      <c r="I104" s="156"/>
    </row>
    <row r="105" spans="1:9" ht="15.75" thickTop="1" x14ac:dyDescent="0.2">
      <c r="A105" s="166"/>
      <c r="B105" s="178"/>
      <c r="C105" s="228"/>
      <c r="D105" s="228"/>
      <c r="E105" s="228"/>
      <c r="F105" s="179"/>
      <c r="G105" s="246"/>
      <c r="H105" s="247"/>
      <c r="I105" s="156"/>
    </row>
    <row r="106" spans="1:9" ht="15.75" x14ac:dyDescent="0.25">
      <c r="A106" s="163" t="s">
        <v>16</v>
      </c>
      <c r="B106" s="164">
        <f>DATE(25,7,1)</f>
        <v>9314</v>
      </c>
      <c r="C106" s="225">
        <v>159207103.13999999</v>
      </c>
      <c r="D106" s="225">
        <v>15262289.550000001</v>
      </c>
      <c r="E106" s="225">
        <v>14744546.640000001</v>
      </c>
      <c r="F106" s="165">
        <f t="shared" ref="F106:F114" si="24">(+D106-E106)/E106</f>
        <v>3.5114196634261526E-2</v>
      </c>
      <c r="G106" s="240">
        <f t="shared" ref="G106:G114" si="25">D106/C106</f>
        <v>9.5864375703004837E-2</v>
      </c>
      <c r="H106" s="241">
        <f t="shared" ref="H106:H114" si="26">1-G106</f>
        <v>0.90413562429699512</v>
      </c>
      <c r="I106" s="156"/>
    </row>
    <row r="107" spans="1:9" ht="15.75" x14ac:dyDescent="0.25">
      <c r="A107" s="163"/>
      <c r="B107" s="164">
        <f>DATE(25,8,1)</f>
        <v>9345</v>
      </c>
      <c r="C107" s="225">
        <v>162847837.30000001</v>
      </c>
      <c r="D107" s="225">
        <v>15853868.039999999</v>
      </c>
      <c r="E107" s="225">
        <v>15706191.880000001</v>
      </c>
      <c r="F107" s="165">
        <f t="shared" si="24"/>
        <v>9.4024166474144903E-3</v>
      </c>
      <c r="G107" s="240">
        <f t="shared" si="25"/>
        <v>9.7353875266969842E-2</v>
      </c>
      <c r="H107" s="241">
        <f t="shared" si="26"/>
        <v>0.90264612473303019</v>
      </c>
      <c r="I107" s="156"/>
    </row>
    <row r="108" spans="1:9" ht="15.75" x14ac:dyDescent="0.25">
      <c r="A108" s="163"/>
      <c r="B108" s="164">
        <f>DATE(25,9,1)</f>
        <v>9376</v>
      </c>
      <c r="C108" s="225">
        <v>144730028.94999999</v>
      </c>
      <c r="D108" s="225">
        <v>13899128.800000001</v>
      </c>
      <c r="E108" s="225">
        <v>14330045.689999999</v>
      </c>
      <c r="F108" s="165">
        <f t="shared" si="24"/>
        <v>-3.0070866438388778E-2</v>
      </c>
      <c r="G108" s="240">
        <f t="shared" si="25"/>
        <v>9.6034865057629093E-2</v>
      </c>
      <c r="H108" s="241">
        <f t="shared" si="26"/>
        <v>0.90396513494237096</v>
      </c>
      <c r="I108" s="156"/>
    </row>
    <row r="109" spans="1:9" ht="15.75" x14ac:dyDescent="0.25">
      <c r="A109" s="163"/>
      <c r="B109" s="164">
        <f>DATE(25,10,1)</f>
        <v>9406</v>
      </c>
      <c r="C109" s="225">
        <v>152293476.97999999</v>
      </c>
      <c r="D109" s="225">
        <v>15025688.18</v>
      </c>
      <c r="E109" s="225">
        <v>13581004.15</v>
      </c>
      <c r="F109" s="165">
        <f t="shared" si="24"/>
        <v>0.10637534706886893</v>
      </c>
      <c r="G109" s="240">
        <f t="shared" si="25"/>
        <v>9.8662716735879993E-2</v>
      </c>
      <c r="H109" s="241">
        <f t="shared" si="26"/>
        <v>0.90133728326411999</v>
      </c>
      <c r="I109" s="156"/>
    </row>
    <row r="110" spans="1:9" ht="15.75" x14ac:dyDescent="0.25">
      <c r="A110" s="163"/>
      <c r="B110" s="164">
        <f>DATE(25,11,1)</f>
        <v>9437</v>
      </c>
      <c r="C110" s="225">
        <v>147716641.56</v>
      </c>
      <c r="D110" s="225">
        <v>14082731.050000001</v>
      </c>
      <c r="E110" s="225">
        <v>14427428.6</v>
      </c>
      <c r="F110" s="165">
        <f t="shared" si="24"/>
        <v>-2.3891821582121633E-2</v>
      </c>
      <c r="G110" s="240">
        <f t="shared" si="25"/>
        <v>9.5336117185414307E-2</v>
      </c>
      <c r="H110" s="241">
        <f t="shared" si="26"/>
        <v>0.90466388281458565</v>
      </c>
      <c r="I110" s="156"/>
    </row>
    <row r="111" spans="1:9" ht="15.75" x14ac:dyDescent="0.25">
      <c r="A111" s="163"/>
      <c r="B111" s="164">
        <f>DATE(25,12,1)</f>
        <v>9467</v>
      </c>
      <c r="C111" s="225">
        <v>159299046.62</v>
      </c>
      <c r="D111" s="225">
        <v>15397165.51</v>
      </c>
      <c r="E111" s="225">
        <v>15257011.199999999</v>
      </c>
      <c r="F111" s="165">
        <f t="shared" si="24"/>
        <v>9.1862231837386687E-3</v>
      </c>
      <c r="G111" s="240">
        <f t="shared" si="25"/>
        <v>9.6655729187941575E-2</v>
      </c>
      <c r="H111" s="241">
        <f t="shared" si="26"/>
        <v>0.90334427081205848</v>
      </c>
      <c r="I111" s="156"/>
    </row>
    <row r="112" spans="1:9" ht="15.75" x14ac:dyDescent="0.25">
      <c r="A112" s="163"/>
      <c r="B112" s="164">
        <f>DATE(26,1,1)</f>
        <v>9498</v>
      </c>
      <c r="C112" s="225">
        <v>139817228.38</v>
      </c>
      <c r="D112" s="225">
        <v>13824358.289999999</v>
      </c>
      <c r="E112" s="225">
        <v>12855639.5</v>
      </c>
      <c r="F112" s="165">
        <f t="shared" si="24"/>
        <v>7.5353605707440624E-2</v>
      </c>
      <c r="G112" s="240">
        <f t="shared" si="25"/>
        <v>9.8874498158608104E-2</v>
      </c>
      <c r="H112" s="241">
        <f t="shared" si="26"/>
        <v>0.90112550184139195</v>
      </c>
      <c r="I112" s="156"/>
    </row>
    <row r="113" spans="1:9" ht="15.75" x14ac:dyDescent="0.25">
      <c r="A113" s="163"/>
      <c r="B113" s="164">
        <f>DATE(26,2,1)</f>
        <v>9529</v>
      </c>
      <c r="C113" s="225">
        <v>148147151.88999999</v>
      </c>
      <c r="D113" s="225">
        <v>14222629.810000001</v>
      </c>
      <c r="E113" s="225">
        <v>13452340.16</v>
      </c>
      <c r="F113" s="165">
        <f t="shared" si="24"/>
        <v>5.7260643192061561E-2</v>
      </c>
      <c r="G113" s="240">
        <f t="shared" si="25"/>
        <v>9.6003396815622727E-2</v>
      </c>
      <c r="H113" s="241">
        <f t="shared" si="26"/>
        <v>0.90399660318437725</v>
      </c>
      <c r="I113" s="156"/>
    </row>
    <row r="114" spans="1:9" ht="15.75" x14ac:dyDescent="0.25">
      <c r="A114" s="163"/>
      <c r="B114" s="164">
        <f>DATE(26,3,1)</f>
        <v>9557</v>
      </c>
      <c r="C114" s="225">
        <v>164128241.50999999</v>
      </c>
      <c r="D114" s="225">
        <v>15274616.529999999</v>
      </c>
      <c r="E114" s="225">
        <v>16425676.08</v>
      </c>
      <c r="F114" s="165">
        <f t="shared" si="24"/>
        <v>-7.0076844593419063E-2</v>
      </c>
      <c r="G114" s="240">
        <f t="shared" si="25"/>
        <v>9.3065132420061591E-2</v>
      </c>
      <c r="H114" s="241">
        <f t="shared" si="26"/>
        <v>0.90693486757993846</v>
      </c>
      <c r="I114" s="156"/>
    </row>
    <row r="115" spans="1:9" ht="15.75" customHeight="1" thickBot="1" x14ac:dyDescent="0.3">
      <c r="A115" s="163"/>
      <c r="B115" s="164"/>
      <c r="C115" s="225"/>
      <c r="D115" s="225"/>
      <c r="E115" s="225"/>
      <c r="F115" s="165"/>
      <c r="G115" s="240"/>
      <c r="H115" s="241"/>
      <c r="I115" s="156"/>
    </row>
    <row r="116" spans="1:9" ht="17.25" thickTop="1" thickBot="1" x14ac:dyDescent="0.3">
      <c r="A116" s="173" t="s">
        <v>14</v>
      </c>
      <c r="B116" s="180"/>
      <c r="C116" s="227">
        <f>SUM(C106:C115)</f>
        <v>1378186756.3300002</v>
      </c>
      <c r="D116" s="227">
        <f>SUM(D106:D115)</f>
        <v>132842475.76000002</v>
      </c>
      <c r="E116" s="227">
        <f>SUM(E106:E115)</f>
        <v>130779883.89999999</v>
      </c>
      <c r="F116" s="175">
        <f>(+D116-E116)/E116</f>
        <v>1.5771476457168115E-2</v>
      </c>
      <c r="G116" s="244">
        <f>D116/C116</f>
        <v>9.6389313821117234E-2</v>
      </c>
      <c r="H116" s="245">
        <f>1-G116</f>
        <v>0.90361068617888274</v>
      </c>
      <c r="I116" s="156"/>
    </row>
    <row r="117" spans="1:9" ht="15.75" thickTop="1" x14ac:dyDescent="0.2">
      <c r="A117" s="170"/>
      <c r="B117" s="171"/>
      <c r="C117" s="226"/>
      <c r="D117" s="226"/>
      <c r="E117" s="226"/>
      <c r="F117" s="172"/>
      <c r="G117" s="242"/>
      <c r="H117" s="243"/>
      <c r="I117" s="156"/>
    </row>
    <row r="118" spans="1:9" ht="15.75" x14ac:dyDescent="0.25">
      <c r="A118" s="163" t="s">
        <v>53</v>
      </c>
      <c r="B118" s="164">
        <f>DATE(25,7,1)</f>
        <v>9314</v>
      </c>
      <c r="C118" s="225">
        <v>208655549.31</v>
      </c>
      <c r="D118" s="225">
        <v>20027858.210000001</v>
      </c>
      <c r="E118" s="225">
        <v>17994367.18</v>
      </c>
      <c r="F118" s="165">
        <f t="shared" ref="F118:F126" si="27">(+D118-E118)/E118</f>
        <v>0.11300708769909636</v>
      </c>
      <c r="G118" s="240">
        <f t="shared" ref="G118:G126" si="28">D118/C118</f>
        <v>9.5985265075526793E-2</v>
      </c>
      <c r="H118" s="241">
        <f t="shared" ref="H118:H126" si="29">1-G118</f>
        <v>0.90401473492447315</v>
      </c>
      <c r="I118" s="156"/>
    </row>
    <row r="119" spans="1:9" ht="15.75" x14ac:dyDescent="0.25">
      <c r="A119" s="163"/>
      <c r="B119" s="164">
        <f>DATE(25,8,1)</f>
        <v>9345</v>
      </c>
      <c r="C119" s="225">
        <v>214762394.52000001</v>
      </c>
      <c r="D119" s="225">
        <v>20920695.829999998</v>
      </c>
      <c r="E119" s="225">
        <v>18616519.079999998</v>
      </c>
      <c r="F119" s="165">
        <f t="shared" si="27"/>
        <v>0.12377054701248695</v>
      </c>
      <c r="G119" s="240">
        <f t="shared" si="28"/>
        <v>9.7413217415266498E-2</v>
      </c>
      <c r="H119" s="241">
        <f t="shared" si="29"/>
        <v>0.90258678258473346</v>
      </c>
      <c r="I119" s="156"/>
    </row>
    <row r="120" spans="1:9" ht="15.75" x14ac:dyDescent="0.25">
      <c r="A120" s="163"/>
      <c r="B120" s="164">
        <f>DATE(25,9,1)</f>
        <v>9376</v>
      </c>
      <c r="C120" s="225">
        <v>194219720.74000001</v>
      </c>
      <c r="D120" s="225">
        <v>18793291.129999999</v>
      </c>
      <c r="E120" s="225">
        <v>17799029.699999999</v>
      </c>
      <c r="F120" s="165">
        <f t="shared" si="27"/>
        <v>5.5860428728876144E-2</v>
      </c>
      <c r="G120" s="240">
        <f t="shared" si="28"/>
        <v>9.6763042694095872E-2</v>
      </c>
      <c r="H120" s="241">
        <f t="shared" si="29"/>
        <v>0.90323695730590414</v>
      </c>
      <c r="I120" s="156"/>
    </row>
    <row r="121" spans="1:9" ht="15.75" x14ac:dyDescent="0.25">
      <c r="A121" s="163"/>
      <c r="B121" s="164">
        <f>DATE(25,10,1)</f>
        <v>9406</v>
      </c>
      <c r="C121" s="225">
        <v>208917074.91</v>
      </c>
      <c r="D121" s="225">
        <v>19742925.489999998</v>
      </c>
      <c r="E121" s="225">
        <v>18415945.390000001</v>
      </c>
      <c r="F121" s="165">
        <f t="shared" si="27"/>
        <v>7.2056040127082374E-2</v>
      </c>
      <c r="G121" s="240">
        <f t="shared" si="28"/>
        <v>9.4501253660119022E-2</v>
      </c>
      <c r="H121" s="241">
        <f t="shared" si="29"/>
        <v>0.90549874633988092</v>
      </c>
      <c r="I121" s="156"/>
    </row>
    <row r="122" spans="1:9" ht="15.75" x14ac:dyDescent="0.25">
      <c r="A122" s="163"/>
      <c r="B122" s="164">
        <f>DATE(25,11,1)</f>
        <v>9437</v>
      </c>
      <c r="C122" s="225">
        <v>198673388.47</v>
      </c>
      <c r="D122" s="225">
        <v>19260943.609999999</v>
      </c>
      <c r="E122" s="225">
        <v>18255156.379999999</v>
      </c>
      <c r="F122" s="165">
        <f t="shared" si="27"/>
        <v>5.5096062124229281E-2</v>
      </c>
      <c r="G122" s="240">
        <f t="shared" si="28"/>
        <v>9.6947778252186159E-2</v>
      </c>
      <c r="H122" s="241">
        <f t="shared" si="29"/>
        <v>0.90305222174781385</v>
      </c>
      <c r="I122" s="156"/>
    </row>
    <row r="123" spans="1:9" ht="15.75" x14ac:dyDescent="0.25">
      <c r="A123" s="163"/>
      <c r="B123" s="164">
        <f>DATE(25,12,1)</f>
        <v>9467</v>
      </c>
      <c r="C123" s="225">
        <v>209080706.34</v>
      </c>
      <c r="D123" s="225">
        <v>20216247.690000001</v>
      </c>
      <c r="E123" s="225">
        <v>18839339.469999999</v>
      </c>
      <c r="F123" s="165">
        <f t="shared" si="27"/>
        <v>7.3086862848488324E-2</v>
      </c>
      <c r="G123" s="240">
        <f t="shared" si="28"/>
        <v>9.6691120112847806E-2</v>
      </c>
      <c r="H123" s="241">
        <f t="shared" si="29"/>
        <v>0.90330887988715225</v>
      </c>
      <c r="I123" s="156"/>
    </row>
    <row r="124" spans="1:9" ht="15.75" x14ac:dyDescent="0.25">
      <c r="A124" s="163"/>
      <c r="B124" s="164">
        <f>DATE(26,1,1)</f>
        <v>9498</v>
      </c>
      <c r="C124" s="225">
        <v>194343886.66999999</v>
      </c>
      <c r="D124" s="225">
        <v>19496467.309999999</v>
      </c>
      <c r="E124" s="225">
        <v>16638394.73</v>
      </c>
      <c r="F124" s="165">
        <f t="shared" si="27"/>
        <v>0.17177574077183816</v>
      </c>
      <c r="G124" s="240">
        <f t="shared" si="28"/>
        <v>0.10031942678549705</v>
      </c>
      <c r="H124" s="241">
        <f t="shared" si="29"/>
        <v>0.89968057321450301</v>
      </c>
      <c r="I124" s="156"/>
    </row>
    <row r="125" spans="1:9" ht="15.75" x14ac:dyDescent="0.25">
      <c r="A125" s="163"/>
      <c r="B125" s="164">
        <f>DATE(26,2,1)</f>
        <v>9529</v>
      </c>
      <c r="C125" s="225">
        <v>196409094.38999999</v>
      </c>
      <c r="D125" s="225">
        <v>19394418.82</v>
      </c>
      <c r="E125" s="225">
        <v>17966102.890000001</v>
      </c>
      <c r="F125" s="165">
        <f t="shared" si="27"/>
        <v>7.9500598362653579E-2</v>
      </c>
      <c r="G125" s="240">
        <f t="shared" si="28"/>
        <v>9.8745014227749797E-2</v>
      </c>
      <c r="H125" s="241">
        <f t="shared" si="29"/>
        <v>0.90125498577225016</v>
      </c>
      <c r="I125" s="156"/>
    </row>
    <row r="126" spans="1:9" ht="15.75" x14ac:dyDescent="0.25">
      <c r="A126" s="163"/>
      <c r="B126" s="164">
        <f>DATE(26,3,1)</f>
        <v>9557</v>
      </c>
      <c r="C126" s="225">
        <v>210630624.46000001</v>
      </c>
      <c r="D126" s="225">
        <v>21321852.989999998</v>
      </c>
      <c r="E126" s="225">
        <v>21033619.469999999</v>
      </c>
      <c r="F126" s="165">
        <f t="shared" si="27"/>
        <v>1.3703467461275678E-2</v>
      </c>
      <c r="G126" s="240">
        <f t="shared" si="28"/>
        <v>0.10122864633128952</v>
      </c>
      <c r="H126" s="241">
        <f t="shared" si="29"/>
        <v>0.89877135366871053</v>
      </c>
      <c r="I126" s="156"/>
    </row>
    <row r="127" spans="1:9" ht="15.75" thickBot="1" x14ac:dyDescent="0.25">
      <c r="A127" s="166"/>
      <c r="B127" s="167"/>
      <c r="C127" s="225"/>
      <c r="D127" s="225"/>
      <c r="E127" s="225"/>
      <c r="F127" s="165"/>
      <c r="G127" s="240"/>
      <c r="H127" s="241"/>
      <c r="I127" s="156"/>
    </row>
    <row r="128" spans="1:9" ht="17.25" thickTop="1" thickBot="1" x14ac:dyDescent="0.3">
      <c r="A128" s="173" t="s">
        <v>14</v>
      </c>
      <c r="B128" s="174"/>
      <c r="C128" s="227">
        <f>SUM(C118:C127)</f>
        <v>1835692439.8099999</v>
      </c>
      <c r="D128" s="227">
        <f>SUM(D118:D127)</f>
        <v>179174701.07999998</v>
      </c>
      <c r="E128" s="227">
        <f>SUM(E118:E127)</f>
        <v>165558474.28999999</v>
      </c>
      <c r="F128" s="175">
        <f>(+D128-E128)/E128</f>
        <v>8.2244215213950145E-2</v>
      </c>
      <c r="G128" s="248">
        <f>D128/C128</f>
        <v>9.7606057090121878E-2</v>
      </c>
      <c r="H128" s="269">
        <f>1-G128</f>
        <v>0.90239394290987818</v>
      </c>
      <c r="I128" s="156"/>
    </row>
    <row r="129" spans="1:9" ht="15.75" thickTop="1" x14ac:dyDescent="0.2">
      <c r="A129" s="166"/>
      <c r="B129" s="167"/>
      <c r="C129" s="225"/>
      <c r="D129" s="225"/>
      <c r="E129" s="225"/>
      <c r="F129" s="165"/>
      <c r="G129" s="240"/>
      <c r="H129" s="241"/>
      <c r="I129" s="156"/>
    </row>
    <row r="130" spans="1:9" ht="15.75" x14ac:dyDescent="0.25">
      <c r="A130" s="163" t="s">
        <v>54</v>
      </c>
      <c r="B130" s="164">
        <f>DATE(25,7,1)</f>
        <v>9314</v>
      </c>
      <c r="C130" s="225">
        <v>28283296.43</v>
      </c>
      <c r="D130" s="225">
        <v>2945968.77</v>
      </c>
      <c r="E130" s="225">
        <v>2829692.37</v>
      </c>
      <c r="F130" s="165">
        <f t="shared" ref="F130:F138" si="30">(+D130-E130)/E130</f>
        <v>4.1091533918225856E-2</v>
      </c>
      <c r="G130" s="240">
        <f t="shared" ref="G130:G138" si="31">D130/C130</f>
        <v>0.10415931457251286</v>
      </c>
      <c r="H130" s="241">
        <f t="shared" ref="H130:H138" si="32">1-G130</f>
        <v>0.89584068542748718</v>
      </c>
      <c r="I130" s="156"/>
    </row>
    <row r="131" spans="1:9" ht="15.75" x14ac:dyDescent="0.25">
      <c r="A131" s="163"/>
      <c r="B131" s="164">
        <f>DATE(25,8,1)</f>
        <v>9345</v>
      </c>
      <c r="C131" s="225">
        <v>27999385.52</v>
      </c>
      <c r="D131" s="225">
        <v>3020485.7</v>
      </c>
      <c r="E131" s="225">
        <v>2718513.58</v>
      </c>
      <c r="F131" s="165">
        <f t="shared" si="30"/>
        <v>0.11107986446034238</v>
      </c>
      <c r="G131" s="240">
        <f t="shared" si="31"/>
        <v>0.10787685672038992</v>
      </c>
      <c r="H131" s="241">
        <f t="shared" si="32"/>
        <v>0.89212314327961006</v>
      </c>
      <c r="I131" s="156"/>
    </row>
    <row r="132" spans="1:9" ht="15.75" x14ac:dyDescent="0.25">
      <c r="A132" s="163"/>
      <c r="B132" s="164">
        <f>DATE(25,9,1)</f>
        <v>9376</v>
      </c>
      <c r="C132" s="225">
        <v>26275680.399999999</v>
      </c>
      <c r="D132" s="225">
        <v>2774787.36</v>
      </c>
      <c r="E132" s="225">
        <v>2469404.4700000002</v>
      </c>
      <c r="F132" s="165">
        <f t="shared" si="30"/>
        <v>0.12366661424242083</v>
      </c>
      <c r="G132" s="240">
        <f t="shared" si="31"/>
        <v>0.10560287375089249</v>
      </c>
      <c r="H132" s="241">
        <f t="shared" si="32"/>
        <v>0.8943971262491075</v>
      </c>
      <c r="I132" s="156"/>
    </row>
    <row r="133" spans="1:9" ht="15.75" x14ac:dyDescent="0.25">
      <c r="A133" s="163"/>
      <c r="B133" s="164">
        <f>DATE(25,10,1)</f>
        <v>9406</v>
      </c>
      <c r="C133" s="225">
        <v>26708454.559999999</v>
      </c>
      <c r="D133" s="225">
        <v>2914669.86</v>
      </c>
      <c r="E133" s="225">
        <v>2475216.7799999998</v>
      </c>
      <c r="F133" s="165">
        <f t="shared" si="30"/>
        <v>0.1775412495385556</v>
      </c>
      <c r="G133" s="240">
        <f t="shared" si="31"/>
        <v>0.10912910941560672</v>
      </c>
      <c r="H133" s="241">
        <f t="shared" si="32"/>
        <v>0.89087089058439328</v>
      </c>
      <c r="I133" s="156"/>
    </row>
    <row r="134" spans="1:9" ht="15.75" x14ac:dyDescent="0.25">
      <c r="A134" s="163"/>
      <c r="B134" s="164">
        <f>DATE(25,11,1)</f>
        <v>9437</v>
      </c>
      <c r="C134" s="225">
        <v>25970895.969999999</v>
      </c>
      <c r="D134" s="225">
        <v>2679585.61</v>
      </c>
      <c r="E134" s="225">
        <v>2520547.39</v>
      </c>
      <c r="F134" s="165">
        <f t="shared" si="30"/>
        <v>6.3096699007115176E-2</v>
      </c>
      <c r="G134" s="240">
        <f t="shared" si="31"/>
        <v>0.10317647928262831</v>
      </c>
      <c r="H134" s="241">
        <f t="shared" si="32"/>
        <v>0.8968235207173717</v>
      </c>
      <c r="I134" s="156"/>
    </row>
    <row r="135" spans="1:9" ht="15.75" x14ac:dyDescent="0.25">
      <c r="A135" s="163"/>
      <c r="B135" s="164">
        <f>DATE(25,12,1)</f>
        <v>9467</v>
      </c>
      <c r="C135" s="225">
        <v>26004980.329999998</v>
      </c>
      <c r="D135" s="225">
        <v>2938168.46</v>
      </c>
      <c r="E135" s="225">
        <v>2529744.4500000002</v>
      </c>
      <c r="F135" s="165">
        <f t="shared" si="30"/>
        <v>0.16144872261702156</v>
      </c>
      <c r="G135" s="240">
        <f t="shared" si="31"/>
        <v>0.11298483685490256</v>
      </c>
      <c r="H135" s="241">
        <f t="shared" si="32"/>
        <v>0.88701516314509743</v>
      </c>
      <c r="I135" s="156"/>
    </row>
    <row r="136" spans="1:9" ht="15.75" x14ac:dyDescent="0.25">
      <c r="A136" s="163"/>
      <c r="B136" s="164">
        <f>DATE(26,1,1)</f>
        <v>9498</v>
      </c>
      <c r="C136" s="225">
        <v>26392205.170000002</v>
      </c>
      <c r="D136" s="225">
        <v>2939502.23</v>
      </c>
      <c r="E136" s="225">
        <v>2327370.2200000002</v>
      </c>
      <c r="F136" s="165">
        <f t="shared" si="30"/>
        <v>0.26301445500149079</v>
      </c>
      <c r="G136" s="240">
        <f t="shared" si="31"/>
        <v>0.11137766666581274</v>
      </c>
      <c r="H136" s="241">
        <f t="shared" si="32"/>
        <v>0.88862233333418728</v>
      </c>
      <c r="I136" s="156"/>
    </row>
    <row r="137" spans="1:9" ht="15.75" x14ac:dyDescent="0.25">
      <c r="A137" s="163"/>
      <c r="B137" s="164">
        <f>DATE(26,2,1)</f>
        <v>9529</v>
      </c>
      <c r="C137" s="225">
        <v>27147836.210000001</v>
      </c>
      <c r="D137" s="225">
        <v>2833884.49</v>
      </c>
      <c r="E137" s="225">
        <v>2398819.19</v>
      </c>
      <c r="F137" s="165">
        <f t="shared" si="30"/>
        <v>0.18136644137818503</v>
      </c>
      <c r="G137" s="240">
        <f t="shared" si="31"/>
        <v>0.10438712198197693</v>
      </c>
      <c r="H137" s="241">
        <f t="shared" si="32"/>
        <v>0.89561287801802303</v>
      </c>
      <c r="I137" s="156"/>
    </row>
    <row r="138" spans="1:9" ht="15.75" x14ac:dyDescent="0.25">
      <c r="A138" s="163"/>
      <c r="B138" s="164">
        <f>DATE(26,3,1)</f>
        <v>9557</v>
      </c>
      <c r="C138" s="225">
        <v>30317089.859999999</v>
      </c>
      <c r="D138" s="225">
        <v>3104785.53</v>
      </c>
      <c r="E138" s="225">
        <v>3309267.69</v>
      </c>
      <c r="F138" s="165">
        <f t="shared" si="30"/>
        <v>-6.1790758305200796E-2</v>
      </c>
      <c r="G138" s="240">
        <f t="shared" si="31"/>
        <v>0.10241040760631898</v>
      </c>
      <c r="H138" s="241">
        <f t="shared" si="32"/>
        <v>0.89758959239368097</v>
      </c>
      <c r="I138" s="156"/>
    </row>
    <row r="139" spans="1:9" ht="15.75" thickBot="1" x14ac:dyDescent="0.25">
      <c r="A139" s="166"/>
      <c r="B139" s="167"/>
      <c r="C139" s="225"/>
      <c r="D139" s="225"/>
      <c r="E139" s="225"/>
      <c r="F139" s="165"/>
      <c r="G139" s="240"/>
      <c r="H139" s="241"/>
      <c r="I139" s="156"/>
    </row>
    <row r="140" spans="1:9" ht="17.25" thickTop="1" thickBot="1" x14ac:dyDescent="0.3">
      <c r="A140" s="181" t="s">
        <v>14</v>
      </c>
      <c r="B140" s="182"/>
      <c r="C140" s="229">
        <f>SUM(C130:C139)</f>
        <v>245099824.44999999</v>
      </c>
      <c r="D140" s="229">
        <f>SUM(D130:D139)</f>
        <v>26151838.009999998</v>
      </c>
      <c r="E140" s="229">
        <f>SUM(E130:E139)</f>
        <v>23578576.140000001</v>
      </c>
      <c r="F140" s="175">
        <f>(+D140-E140)/E140</f>
        <v>0.10913559218847713</v>
      </c>
      <c r="G140" s="248">
        <f>D140/C140</f>
        <v>0.10669872191334406</v>
      </c>
      <c r="H140" s="245">
        <f>1-G140</f>
        <v>0.89330127808665594</v>
      </c>
      <c r="I140" s="156"/>
    </row>
    <row r="141" spans="1:9" ht="15.75" thickTop="1" x14ac:dyDescent="0.2">
      <c r="A141" s="166"/>
      <c r="B141" s="167"/>
      <c r="C141" s="225"/>
      <c r="D141" s="225"/>
      <c r="E141" s="225"/>
      <c r="F141" s="165"/>
      <c r="G141" s="240"/>
      <c r="H141" s="241"/>
      <c r="I141" s="156"/>
    </row>
    <row r="142" spans="1:9" ht="15.75" x14ac:dyDescent="0.25">
      <c r="A142" s="163" t="s">
        <v>37</v>
      </c>
      <c r="B142" s="164">
        <f>DATE(25,7,1)</f>
        <v>9314</v>
      </c>
      <c r="C142" s="225">
        <v>238893036.09999999</v>
      </c>
      <c r="D142" s="225">
        <v>21223682.460000001</v>
      </c>
      <c r="E142" s="225">
        <v>19555438.370000001</v>
      </c>
      <c r="F142" s="165">
        <f t="shared" ref="F142:F150" si="33">(+D142-E142)/E142</f>
        <v>8.5308447626479864E-2</v>
      </c>
      <c r="G142" s="240">
        <f t="shared" ref="G142:G150" si="34">D142/C142</f>
        <v>8.884177959509805E-2</v>
      </c>
      <c r="H142" s="241">
        <f t="shared" ref="H142:H150" si="35">1-G142</f>
        <v>0.91115822040490191</v>
      </c>
      <c r="I142" s="156"/>
    </row>
    <row r="143" spans="1:9" ht="15.75" x14ac:dyDescent="0.25">
      <c r="A143" s="163"/>
      <c r="B143" s="164">
        <f>DATE(25,8,1)</f>
        <v>9345</v>
      </c>
      <c r="C143" s="225">
        <v>246476505.31999999</v>
      </c>
      <c r="D143" s="225">
        <v>22321398.02</v>
      </c>
      <c r="E143" s="225">
        <v>20551772.199999999</v>
      </c>
      <c r="F143" s="165">
        <f t="shared" si="33"/>
        <v>8.6105752962754245E-2</v>
      </c>
      <c r="G143" s="240">
        <f t="shared" si="34"/>
        <v>9.0561970565998448E-2</v>
      </c>
      <c r="H143" s="241">
        <f t="shared" si="35"/>
        <v>0.90943802943400154</v>
      </c>
      <c r="I143" s="156"/>
    </row>
    <row r="144" spans="1:9" ht="15.75" x14ac:dyDescent="0.25">
      <c r="A144" s="163"/>
      <c r="B144" s="164">
        <f>DATE(25,9,1)</f>
        <v>9376</v>
      </c>
      <c r="C144" s="225">
        <v>215963997.11000001</v>
      </c>
      <c r="D144" s="225">
        <v>19101592.100000001</v>
      </c>
      <c r="E144" s="225">
        <v>19042710.359999999</v>
      </c>
      <c r="F144" s="165">
        <f t="shared" si="33"/>
        <v>3.0920881999909854E-3</v>
      </c>
      <c r="G144" s="240">
        <f t="shared" si="34"/>
        <v>8.8448039282541691E-2</v>
      </c>
      <c r="H144" s="241">
        <f t="shared" si="35"/>
        <v>0.91155196071745825</v>
      </c>
      <c r="I144" s="156"/>
    </row>
    <row r="145" spans="1:9" ht="15.75" x14ac:dyDescent="0.25">
      <c r="A145" s="163"/>
      <c r="B145" s="164">
        <f>DATE(25,10,1)</f>
        <v>9406</v>
      </c>
      <c r="C145" s="225">
        <v>226780092.41</v>
      </c>
      <c r="D145" s="225">
        <v>20246911.34</v>
      </c>
      <c r="E145" s="225">
        <v>18868532.739999998</v>
      </c>
      <c r="F145" s="165">
        <f t="shared" si="33"/>
        <v>7.3051710962025854E-2</v>
      </c>
      <c r="G145" s="240">
        <f t="shared" si="34"/>
        <v>8.9279932488056435E-2</v>
      </c>
      <c r="H145" s="241">
        <f t="shared" si="35"/>
        <v>0.91072006751194357</v>
      </c>
      <c r="I145" s="156"/>
    </row>
    <row r="146" spans="1:9" ht="15.75" x14ac:dyDescent="0.25">
      <c r="A146" s="163"/>
      <c r="B146" s="164">
        <f>DATE(25,11,1)</f>
        <v>9437</v>
      </c>
      <c r="C146" s="225">
        <v>218129142.97</v>
      </c>
      <c r="D146" s="225">
        <v>19813520.460000001</v>
      </c>
      <c r="E146" s="225">
        <v>19074076.34</v>
      </c>
      <c r="F146" s="165">
        <f t="shared" si="33"/>
        <v>3.8766968676188125E-2</v>
      </c>
      <c r="G146" s="240">
        <f t="shared" si="34"/>
        <v>9.0833898626397749E-2</v>
      </c>
      <c r="H146" s="241">
        <f t="shared" si="35"/>
        <v>0.90916610137360221</v>
      </c>
      <c r="I146" s="156"/>
    </row>
    <row r="147" spans="1:9" ht="15.75" x14ac:dyDescent="0.25">
      <c r="A147" s="163"/>
      <c r="B147" s="164">
        <f>DATE(25,12,1)</f>
        <v>9467</v>
      </c>
      <c r="C147" s="225">
        <v>239578685.84999999</v>
      </c>
      <c r="D147" s="225">
        <v>21441652.390000001</v>
      </c>
      <c r="E147" s="225">
        <v>21282038.370000001</v>
      </c>
      <c r="F147" s="165">
        <f t="shared" si="33"/>
        <v>7.4999404298132346E-3</v>
      </c>
      <c r="G147" s="240">
        <f t="shared" si="34"/>
        <v>8.9497328670650605E-2</v>
      </c>
      <c r="H147" s="241">
        <f t="shared" si="35"/>
        <v>0.91050267132934937</v>
      </c>
      <c r="I147" s="156"/>
    </row>
    <row r="148" spans="1:9" ht="15.75" x14ac:dyDescent="0.25">
      <c r="A148" s="163"/>
      <c r="B148" s="164">
        <f>DATE(26,1,1)</f>
        <v>9498</v>
      </c>
      <c r="C148" s="225">
        <v>220540247.12</v>
      </c>
      <c r="D148" s="225">
        <v>20043865.149999999</v>
      </c>
      <c r="E148" s="225">
        <v>17541112.239999998</v>
      </c>
      <c r="F148" s="165">
        <f t="shared" si="33"/>
        <v>0.14267925977309637</v>
      </c>
      <c r="G148" s="240">
        <f t="shared" si="34"/>
        <v>9.0885293780838844E-2</v>
      </c>
      <c r="H148" s="241">
        <f t="shared" si="35"/>
        <v>0.90911470621916113</v>
      </c>
      <c r="I148" s="156"/>
    </row>
    <row r="149" spans="1:9" ht="15.75" x14ac:dyDescent="0.25">
      <c r="A149" s="163"/>
      <c r="B149" s="164">
        <f>DATE(26,2,1)</f>
        <v>9529</v>
      </c>
      <c r="C149" s="225">
        <v>219121155.58000001</v>
      </c>
      <c r="D149" s="225">
        <v>20225376.07</v>
      </c>
      <c r="E149" s="225">
        <v>19240846.050000001</v>
      </c>
      <c r="F149" s="165">
        <f t="shared" si="33"/>
        <v>5.1168748891891866E-2</v>
      </c>
      <c r="G149" s="240">
        <f t="shared" si="34"/>
        <v>9.2302251767816271E-2</v>
      </c>
      <c r="H149" s="241">
        <f t="shared" si="35"/>
        <v>0.90769774823218374</v>
      </c>
      <c r="I149" s="156"/>
    </row>
    <row r="150" spans="1:9" ht="15.75" x14ac:dyDescent="0.25">
      <c r="A150" s="163"/>
      <c r="B150" s="164">
        <f>DATE(26,3,1)</f>
        <v>9557</v>
      </c>
      <c r="C150" s="225">
        <v>237977600.47999999</v>
      </c>
      <c r="D150" s="225">
        <v>21681539.350000001</v>
      </c>
      <c r="E150" s="225">
        <v>21855635.010000002</v>
      </c>
      <c r="F150" s="165">
        <f t="shared" si="33"/>
        <v>-7.9657104412817585E-3</v>
      </c>
      <c r="G150" s="240">
        <f t="shared" si="34"/>
        <v>9.1107479469783759E-2</v>
      </c>
      <c r="H150" s="241">
        <f t="shared" si="35"/>
        <v>0.9088925205302163</v>
      </c>
      <c r="I150" s="156"/>
    </row>
    <row r="151" spans="1:9" ht="15.75" thickBot="1" x14ac:dyDescent="0.25">
      <c r="A151" s="166"/>
      <c r="B151" s="167"/>
      <c r="C151" s="225"/>
      <c r="D151" s="225"/>
      <c r="E151" s="225"/>
      <c r="F151" s="165"/>
      <c r="G151" s="240"/>
      <c r="H151" s="241"/>
      <c r="I151" s="156"/>
    </row>
    <row r="152" spans="1:9" ht="17.25" thickTop="1" thickBot="1" x14ac:dyDescent="0.3">
      <c r="A152" s="173" t="s">
        <v>14</v>
      </c>
      <c r="B152" s="174"/>
      <c r="C152" s="227">
        <f>SUM(C142:C151)</f>
        <v>2063460462.9399996</v>
      </c>
      <c r="D152" s="227">
        <f>SUM(D142:D151)</f>
        <v>186099537.33999997</v>
      </c>
      <c r="E152" s="227">
        <f>SUM(E142:E151)</f>
        <v>177012161.68000001</v>
      </c>
      <c r="F152" s="175">
        <f>(+D152-E152)/E152</f>
        <v>5.1337578015842725E-2</v>
      </c>
      <c r="G152" s="244">
        <f>D152/C152</f>
        <v>9.0188080015280281E-2</v>
      </c>
      <c r="H152" s="245">
        <f>1-G152</f>
        <v>0.90981191998471966</v>
      </c>
      <c r="I152" s="156"/>
    </row>
    <row r="153" spans="1:9" ht="15.75" thickTop="1" x14ac:dyDescent="0.2">
      <c r="A153" s="166"/>
      <c r="B153" s="167"/>
      <c r="C153" s="225"/>
      <c r="D153" s="225"/>
      <c r="E153" s="225"/>
      <c r="F153" s="165"/>
      <c r="G153" s="240"/>
      <c r="H153" s="241"/>
      <c r="I153" s="156"/>
    </row>
    <row r="154" spans="1:9" ht="15.75" x14ac:dyDescent="0.25">
      <c r="A154" s="163" t="s">
        <v>57</v>
      </c>
      <c r="B154" s="164">
        <f>DATE(25,7,1)</f>
        <v>9314</v>
      </c>
      <c r="C154" s="225">
        <v>37790635.450000003</v>
      </c>
      <c r="D154" s="225">
        <v>4106639.16</v>
      </c>
      <c r="E154" s="225">
        <v>3886760.9</v>
      </c>
      <c r="F154" s="165">
        <f t="shared" ref="F154:F162" si="36">(+D154-E154)/E154</f>
        <v>5.6571079533088917E-2</v>
      </c>
      <c r="G154" s="240">
        <f t="shared" ref="G154:G162" si="37">D154/C154</f>
        <v>0.10866816900799163</v>
      </c>
      <c r="H154" s="241">
        <f t="shared" ref="H154:H162" si="38">1-G154</f>
        <v>0.89133183099200841</v>
      </c>
      <c r="I154" s="156"/>
    </row>
    <row r="155" spans="1:9" ht="15.75" x14ac:dyDescent="0.25">
      <c r="A155" s="163"/>
      <c r="B155" s="164">
        <f>DATE(25,8,1)</f>
        <v>9345</v>
      </c>
      <c r="C155" s="225">
        <v>38538227.060000002</v>
      </c>
      <c r="D155" s="225">
        <v>3943183.1</v>
      </c>
      <c r="E155" s="225">
        <v>4094103.92</v>
      </c>
      <c r="F155" s="165">
        <f t="shared" si="36"/>
        <v>-3.6862967562386606E-2</v>
      </c>
      <c r="G155" s="240">
        <f t="shared" si="37"/>
        <v>0.10231874688632861</v>
      </c>
      <c r="H155" s="241">
        <f t="shared" si="38"/>
        <v>0.89768125311367142</v>
      </c>
      <c r="I155" s="156"/>
    </row>
    <row r="156" spans="1:9" ht="15.75" x14ac:dyDescent="0.25">
      <c r="A156" s="163"/>
      <c r="B156" s="164">
        <f>DATE(25,9,1)</f>
        <v>9376</v>
      </c>
      <c r="C156" s="225">
        <v>33862047.770000003</v>
      </c>
      <c r="D156" s="225">
        <v>3499094.83</v>
      </c>
      <c r="E156" s="225">
        <v>3432175.67</v>
      </c>
      <c r="F156" s="165">
        <f t="shared" si="36"/>
        <v>1.9497591741858642E-2</v>
      </c>
      <c r="G156" s="240">
        <f t="shared" si="37"/>
        <v>0.10333382238920631</v>
      </c>
      <c r="H156" s="241">
        <f t="shared" si="38"/>
        <v>0.8966661776107937</v>
      </c>
      <c r="I156" s="156"/>
    </row>
    <row r="157" spans="1:9" ht="15.75" x14ac:dyDescent="0.25">
      <c r="A157" s="163"/>
      <c r="B157" s="164">
        <f>DATE(25,10,1)</f>
        <v>9406</v>
      </c>
      <c r="C157" s="225">
        <v>36666965.979999997</v>
      </c>
      <c r="D157" s="225">
        <v>3970427.37</v>
      </c>
      <c r="E157" s="225">
        <v>3513094.6</v>
      </c>
      <c r="F157" s="165">
        <f t="shared" si="36"/>
        <v>0.1301794634280557</v>
      </c>
      <c r="G157" s="240">
        <f t="shared" si="37"/>
        <v>0.10828349889013644</v>
      </c>
      <c r="H157" s="241">
        <f t="shared" si="38"/>
        <v>0.89171650110986356</v>
      </c>
      <c r="I157" s="156"/>
    </row>
    <row r="158" spans="1:9" ht="15.75" x14ac:dyDescent="0.25">
      <c r="A158" s="163"/>
      <c r="B158" s="164">
        <f>DATE(25,11,1)</f>
        <v>9437</v>
      </c>
      <c r="C158" s="225">
        <v>36288482.350000001</v>
      </c>
      <c r="D158" s="225">
        <v>3745211.29</v>
      </c>
      <c r="E158" s="225">
        <v>3625606.94</v>
      </c>
      <c r="F158" s="165">
        <f t="shared" si="36"/>
        <v>3.2988780079949896E-2</v>
      </c>
      <c r="G158" s="240">
        <f t="shared" si="37"/>
        <v>0.10320661122936159</v>
      </c>
      <c r="H158" s="241">
        <f t="shared" si="38"/>
        <v>0.89679338877063841</v>
      </c>
      <c r="I158" s="156"/>
    </row>
    <row r="159" spans="1:9" ht="15.75" x14ac:dyDescent="0.25">
      <c r="A159" s="163"/>
      <c r="B159" s="164">
        <f>DATE(25,12,1)</f>
        <v>9467</v>
      </c>
      <c r="C159" s="225">
        <v>37153904.939999998</v>
      </c>
      <c r="D159" s="225">
        <v>3991766.31</v>
      </c>
      <c r="E159" s="225">
        <v>3707970.79</v>
      </c>
      <c r="F159" s="165">
        <f t="shared" si="36"/>
        <v>7.6536611551894132E-2</v>
      </c>
      <c r="G159" s="240">
        <f t="shared" si="37"/>
        <v>0.107438674789267</v>
      </c>
      <c r="H159" s="241">
        <f t="shared" si="38"/>
        <v>0.89256132521073295</v>
      </c>
      <c r="I159" s="156"/>
    </row>
    <row r="160" spans="1:9" ht="15.75" x14ac:dyDescent="0.25">
      <c r="A160" s="163"/>
      <c r="B160" s="164">
        <f>DATE(26,1,1)</f>
        <v>9498</v>
      </c>
      <c r="C160" s="225">
        <v>35890421.75</v>
      </c>
      <c r="D160" s="225">
        <v>3904089.31</v>
      </c>
      <c r="E160" s="225">
        <v>3156795.44</v>
      </c>
      <c r="F160" s="165">
        <f t="shared" si="36"/>
        <v>0.2367254654929431</v>
      </c>
      <c r="G160" s="240">
        <f t="shared" si="37"/>
        <v>0.10877802822141537</v>
      </c>
      <c r="H160" s="241">
        <f t="shared" si="38"/>
        <v>0.89122197177858464</v>
      </c>
      <c r="I160" s="156"/>
    </row>
    <row r="161" spans="1:9" ht="15.75" x14ac:dyDescent="0.25">
      <c r="A161" s="163"/>
      <c r="B161" s="164">
        <f>DATE(26,2,1)</f>
        <v>9529</v>
      </c>
      <c r="C161" s="225">
        <v>37549421.740000002</v>
      </c>
      <c r="D161" s="225">
        <v>3929553.81</v>
      </c>
      <c r="E161" s="225">
        <v>3469914.56</v>
      </c>
      <c r="F161" s="165">
        <f t="shared" si="36"/>
        <v>0.13246414055797384</v>
      </c>
      <c r="G161" s="240">
        <f t="shared" si="37"/>
        <v>0.10465018175803205</v>
      </c>
      <c r="H161" s="241">
        <f t="shared" si="38"/>
        <v>0.89534981824196791</v>
      </c>
      <c r="I161" s="156"/>
    </row>
    <row r="162" spans="1:9" ht="15.75" x14ac:dyDescent="0.25">
      <c r="A162" s="163"/>
      <c r="B162" s="164">
        <f>DATE(26,3,1)</f>
        <v>9557</v>
      </c>
      <c r="C162" s="225">
        <v>38975023.350000001</v>
      </c>
      <c r="D162" s="225">
        <v>4281488.92</v>
      </c>
      <c r="E162" s="225">
        <v>4218401.29</v>
      </c>
      <c r="F162" s="165">
        <f t="shared" si="36"/>
        <v>1.4955341055283976E-2</v>
      </c>
      <c r="G162" s="240">
        <f t="shared" si="37"/>
        <v>0.10985211943432999</v>
      </c>
      <c r="H162" s="241">
        <f t="shared" si="38"/>
        <v>0.89014788056566996</v>
      </c>
      <c r="I162" s="156"/>
    </row>
    <row r="163" spans="1:9" ht="15.75" thickBot="1" x14ac:dyDescent="0.25">
      <c r="A163" s="166"/>
      <c r="B163" s="167"/>
      <c r="C163" s="225"/>
      <c r="D163" s="225"/>
      <c r="E163" s="225"/>
      <c r="F163" s="165"/>
      <c r="G163" s="240"/>
      <c r="H163" s="241"/>
      <c r="I163" s="156"/>
    </row>
    <row r="164" spans="1:9" ht="17.25" thickTop="1" thickBot="1" x14ac:dyDescent="0.3">
      <c r="A164" s="168" t="s">
        <v>14</v>
      </c>
      <c r="B164" s="154"/>
      <c r="C164" s="222">
        <f>SUM(C154:C163)</f>
        <v>332715130.38999999</v>
      </c>
      <c r="D164" s="222">
        <f>SUM(D154:D163)</f>
        <v>35371454.099999994</v>
      </c>
      <c r="E164" s="222">
        <f>SUM(E154:E163)</f>
        <v>33104824.109999999</v>
      </c>
      <c r="F164" s="175">
        <f>(+D164-E164)/E164</f>
        <v>6.8468268626605142E-2</v>
      </c>
      <c r="G164" s="244">
        <f>D164/C164</f>
        <v>0.10631152859967173</v>
      </c>
      <c r="H164" s="245">
        <f>1-G164</f>
        <v>0.89368847140032825</v>
      </c>
      <c r="I164" s="156"/>
    </row>
    <row r="165" spans="1:9" ht="16.5" thickTop="1" thickBot="1" x14ac:dyDescent="0.25">
      <c r="A165" s="170"/>
      <c r="B165" s="171"/>
      <c r="C165" s="226"/>
      <c r="D165" s="226"/>
      <c r="E165" s="226"/>
      <c r="F165" s="172"/>
      <c r="G165" s="242"/>
      <c r="H165" s="243"/>
      <c r="I165" s="156"/>
    </row>
    <row r="166" spans="1:9" ht="17.25" thickTop="1" thickBot="1" x14ac:dyDescent="0.3">
      <c r="A166" s="183" t="s">
        <v>38</v>
      </c>
      <c r="B166" s="154"/>
      <c r="C166" s="222">
        <f>C164+C152+C116+C92+C68+C44+C20+C56+C140+C32+C104+C128+C80</f>
        <v>13248493543.680002</v>
      </c>
      <c r="D166" s="222">
        <f>D164+D152+D116+D92+D68+D44+D20+D56+D140+D32+D104+D128+D80</f>
        <v>1287586828.8599999</v>
      </c>
      <c r="E166" s="222">
        <f>E164+E152+E116+E92+E68+E44+E20+E56+E140+E32+E104+E128+E80</f>
        <v>1202689668.8600001</v>
      </c>
      <c r="F166" s="169">
        <f>(+D166-E166)/E166</f>
        <v>7.0589414874139306E-2</v>
      </c>
      <c r="G166" s="235">
        <f>D166/C166</f>
        <v>9.7187414147491824E-2</v>
      </c>
      <c r="H166" s="236">
        <f>1-G166</f>
        <v>0.90281258585250823</v>
      </c>
      <c r="I166" s="156"/>
    </row>
    <row r="167" spans="1:9" ht="17.25" thickTop="1" thickBot="1" x14ac:dyDescent="0.3">
      <c r="A167" s="183"/>
      <c r="B167" s="154"/>
      <c r="C167" s="222"/>
      <c r="D167" s="222"/>
      <c r="E167" s="222"/>
      <c r="F167" s="169"/>
      <c r="G167" s="235"/>
      <c r="H167" s="236"/>
      <c r="I167" s="156"/>
    </row>
    <row r="168" spans="1:9" ht="17.25" thickTop="1" thickBot="1" x14ac:dyDescent="0.3">
      <c r="A168" s="183" t="s">
        <v>39</v>
      </c>
      <c r="B168" s="154"/>
      <c r="C168" s="222">
        <f>+C18+C30+C42+C54+C66+C78+C90+C114+C102+C126+C138+C150+C162</f>
        <v>1559505588.3699999</v>
      </c>
      <c r="D168" s="222">
        <f>+D18+D30+D42+D54+D66+D78+D90+D114+D102+D126+D138+D150+D162</f>
        <v>153185194.31999999</v>
      </c>
      <c r="E168" s="222">
        <f>+E18+E30+E42+E54+E66+E78+E90+E114+E102+E126+E138+E150+E162</f>
        <v>153301520.97999996</v>
      </c>
      <c r="F168" s="169">
        <f>(+D168-E168)/E168</f>
        <v>-7.5880956207305243E-4</v>
      </c>
      <c r="G168" s="235">
        <f>D168/C168</f>
        <v>9.8226768446600846E-2</v>
      </c>
      <c r="H168" s="245">
        <f>1-G168</f>
        <v>0.90177323155339917</v>
      </c>
      <c r="I168" s="156"/>
    </row>
    <row r="169" spans="1:9" ht="16.5" thickTop="1" x14ac:dyDescent="0.25">
      <c r="A169" s="184"/>
      <c r="B169" s="185"/>
      <c r="C169" s="230"/>
      <c r="D169" s="230"/>
      <c r="E169" s="230"/>
      <c r="F169" s="186"/>
      <c r="G169" s="249"/>
      <c r="H169" s="249"/>
      <c r="I169" s="150"/>
    </row>
    <row r="170" spans="1:9" ht="16.5" customHeight="1" x14ac:dyDescent="0.3">
      <c r="A170" s="187" t="s">
        <v>49</v>
      </c>
      <c r="B170" s="188"/>
      <c r="C170" s="231"/>
      <c r="D170" s="231"/>
      <c r="E170" s="231"/>
      <c r="F170" s="189"/>
      <c r="G170" s="250"/>
      <c r="H170" s="250"/>
      <c r="I170" s="150"/>
    </row>
    <row r="171" spans="1:9" ht="15.75" x14ac:dyDescent="0.25">
      <c r="A171" s="190"/>
      <c r="B171" s="188"/>
      <c r="C171" s="231"/>
      <c r="D171" s="231"/>
      <c r="E171" s="231"/>
      <c r="F171" s="189"/>
      <c r="G171" s="256"/>
      <c r="H171" s="256"/>
      <c r="I171" s="150"/>
    </row>
    <row r="172" spans="1:9" ht="15.75" x14ac:dyDescent="0.25">
      <c r="A172" s="71"/>
      <c r="I172" s="150"/>
    </row>
  </sheetData>
  <phoneticPr fontId="0" type="noConversion"/>
  <printOptions horizontalCentered="1"/>
  <pageMargins left="0.75" right="0.25" top="0.31940000000000002" bottom="0.2" header="0.5" footer="0.5"/>
  <pageSetup scale="64" orientation="landscape" r:id="rId1"/>
  <headerFooter alignWithMargins="0"/>
  <rowBreaks count="3" manualBreakCount="3">
    <brk id="56" max="8" man="1"/>
    <brk id="104" max="8" man="1"/>
    <brk id="1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2026-04-09T14:58:41Z</cp:lastPrinted>
  <dcterms:created xsi:type="dcterms:W3CDTF">2003-09-09T14:41:43Z</dcterms:created>
  <dcterms:modified xsi:type="dcterms:W3CDTF">2026-04-09T20:35:06Z</dcterms:modified>
</cp:coreProperties>
</file>