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Nov 8\Optimized\"/>
    </mc:Choice>
  </mc:AlternateContent>
  <bookViews>
    <workbookView xWindow="0" yWindow="0" windowWidth="28770" windowHeight="11835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STATS'!$A$1:$M$104</definedName>
    <definedName name="_xlnm.Print_Area" localSheetId="4">'SLOT STATS'!$A$1:$I$105</definedName>
    <definedName name="_xlnm.Print_Area" localSheetId="2">'TABLE STATS'!$A$1:$H$104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E103" i="4" l="1"/>
  <c r="D103" i="4"/>
  <c r="C103" i="4"/>
  <c r="F97" i="4"/>
  <c r="G97" i="4"/>
  <c r="H97" i="4"/>
  <c r="F90" i="4"/>
  <c r="G90" i="4"/>
  <c r="H90" i="4"/>
  <c r="F83" i="4"/>
  <c r="G83" i="4"/>
  <c r="H83" i="4"/>
  <c r="F76" i="4"/>
  <c r="G76" i="4"/>
  <c r="H76" i="4"/>
  <c r="F69" i="4"/>
  <c r="G69" i="4"/>
  <c r="H69" i="4"/>
  <c r="F62" i="4"/>
  <c r="G62" i="4"/>
  <c r="H62" i="4"/>
  <c r="F55" i="4"/>
  <c r="G55" i="4"/>
  <c r="H55" i="4"/>
  <c r="F48" i="4"/>
  <c r="G48" i="4"/>
  <c r="H48" i="4"/>
  <c r="F41" i="4"/>
  <c r="G41" i="4"/>
  <c r="H41" i="4"/>
  <c r="F34" i="4"/>
  <c r="G34" i="4"/>
  <c r="H34" i="4"/>
  <c r="F27" i="4"/>
  <c r="G27" i="4"/>
  <c r="H27" i="4"/>
  <c r="G13" i="4"/>
  <c r="H13" i="4"/>
  <c r="F13" i="4"/>
  <c r="F20" i="4"/>
  <c r="G20" i="4"/>
  <c r="H20" i="4"/>
  <c r="B97" i="4"/>
  <c r="B90" i="4"/>
  <c r="B83" i="4"/>
  <c r="B76" i="4"/>
  <c r="B69" i="4"/>
  <c r="B62" i="4"/>
  <c r="B55" i="4"/>
  <c r="B48" i="4"/>
  <c r="B41" i="4"/>
  <c r="B34" i="4"/>
  <c r="B27" i="4"/>
  <c r="B20" i="4"/>
  <c r="B13" i="4"/>
  <c r="E103" i="5"/>
  <c r="D103" i="5"/>
  <c r="C103" i="5"/>
  <c r="G99" i="5"/>
  <c r="H99" i="5"/>
  <c r="G97" i="5"/>
  <c r="H97" i="5"/>
  <c r="F90" i="5"/>
  <c r="G76" i="5"/>
  <c r="H76" i="5"/>
  <c r="B97" i="5"/>
  <c r="B90" i="5"/>
  <c r="B83" i="5"/>
  <c r="B76" i="5"/>
  <c r="B69" i="5"/>
  <c r="B62" i="5"/>
  <c r="B55" i="5"/>
  <c r="B48" i="5"/>
  <c r="B41" i="5"/>
  <c r="B34" i="5"/>
  <c r="B27" i="5"/>
  <c r="B20" i="5"/>
  <c r="B13" i="5"/>
  <c r="E102" i="3"/>
  <c r="D102" i="3"/>
  <c r="C102" i="3"/>
  <c r="F96" i="3"/>
  <c r="G96" i="3"/>
  <c r="G89" i="3"/>
  <c r="F89" i="3"/>
  <c r="F75" i="3"/>
  <c r="G75" i="3"/>
  <c r="F68" i="3"/>
  <c r="G68" i="3"/>
  <c r="F61" i="3"/>
  <c r="G61" i="3"/>
  <c r="F54" i="3"/>
  <c r="G54" i="3"/>
  <c r="F47" i="3"/>
  <c r="G47" i="3"/>
  <c r="F40" i="3"/>
  <c r="G40" i="3"/>
  <c r="F33" i="3"/>
  <c r="G33" i="3"/>
  <c r="F26" i="3"/>
  <c r="G26" i="3"/>
  <c r="G12" i="3"/>
  <c r="F12" i="3"/>
  <c r="F19" i="3"/>
  <c r="G19" i="3"/>
  <c r="B96" i="3"/>
  <c r="B89" i="3"/>
  <c r="B82" i="3"/>
  <c r="B75" i="3"/>
  <c r="B68" i="3"/>
  <c r="B61" i="3"/>
  <c r="B54" i="3"/>
  <c r="B47" i="3"/>
  <c r="B40" i="3"/>
  <c r="B33" i="3"/>
  <c r="B26" i="3"/>
  <c r="B19" i="3"/>
  <c r="B12" i="3"/>
  <c r="N34" i="2"/>
  <c r="M34" i="2"/>
  <c r="L34" i="2"/>
  <c r="K34" i="2"/>
  <c r="J34" i="2"/>
  <c r="I34" i="2"/>
  <c r="H34" i="2"/>
  <c r="G34" i="2"/>
  <c r="F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F11" i="1"/>
  <c r="J11" i="1"/>
  <c r="F31" i="1"/>
  <c r="J31" i="1"/>
  <c r="L102" i="1"/>
  <c r="K102" i="1"/>
  <c r="G102" i="1"/>
  <c r="F102" i="1"/>
  <c r="D102" i="1"/>
  <c r="C102" i="1"/>
  <c r="H96" i="1"/>
  <c r="M96" i="1"/>
  <c r="I96" i="1"/>
  <c r="J96" i="1"/>
  <c r="G96" i="1"/>
  <c r="F96" i="1"/>
  <c r="E96" i="1"/>
  <c r="H89" i="1"/>
  <c r="M89" i="1"/>
  <c r="I89" i="1"/>
  <c r="J89" i="1"/>
  <c r="G89" i="1"/>
  <c r="F89" i="1"/>
  <c r="E89" i="1"/>
  <c r="H82" i="1"/>
  <c r="M82" i="1"/>
  <c r="I82" i="1"/>
  <c r="J82" i="1"/>
  <c r="G82" i="1"/>
  <c r="F82" i="1"/>
  <c r="E82" i="1"/>
  <c r="H75" i="1"/>
  <c r="M75" i="1"/>
  <c r="I75" i="1"/>
  <c r="J75" i="1"/>
  <c r="G75" i="1"/>
  <c r="F75" i="1"/>
  <c r="E75" i="1"/>
  <c r="H68" i="1"/>
  <c r="M68" i="1"/>
  <c r="I68" i="1"/>
  <c r="J68" i="1"/>
  <c r="G68" i="1"/>
  <c r="F68" i="1"/>
  <c r="E68" i="1"/>
  <c r="H61" i="1"/>
  <c r="M61" i="1"/>
  <c r="I61" i="1"/>
  <c r="J61" i="1"/>
  <c r="G61" i="1"/>
  <c r="F61" i="1"/>
  <c r="E61" i="1"/>
  <c r="H54" i="1"/>
  <c r="M54" i="1"/>
  <c r="I54" i="1"/>
  <c r="J54" i="1"/>
  <c r="G54" i="1"/>
  <c r="F54" i="1"/>
  <c r="E54" i="1"/>
  <c r="H47" i="1"/>
  <c r="M47" i="1"/>
  <c r="I47" i="1"/>
  <c r="J47" i="1"/>
  <c r="G47" i="1"/>
  <c r="F47" i="1"/>
  <c r="E47" i="1"/>
  <c r="H40" i="1"/>
  <c r="M40" i="1"/>
  <c r="I40" i="1"/>
  <c r="J40" i="1"/>
  <c r="G40" i="1"/>
  <c r="F40" i="1"/>
  <c r="E40" i="1"/>
  <c r="H33" i="1"/>
  <c r="M33" i="1"/>
  <c r="I33" i="1"/>
  <c r="J33" i="1"/>
  <c r="G33" i="1"/>
  <c r="F33" i="1"/>
  <c r="E33" i="1"/>
  <c r="H26" i="1"/>
  <c r="M26" i="1"/>
  <c r="I26" i="1"/>
  <c r="J26" i="1"/>
  <c r="G26" i="1"/>
  <c r="F26" i="1"/>
  <c r="E26" i="1"/>
  <c r="H19" i="1"/>
  <c r="M19" i="1"/>
  <c r="I19" i="1"/>
  <c r="J19" i="1"/>
  <c r="G19" i="1"/>
  <c r="F19" i="1"/>
  <c r="E19" i="1"/>
  <c r="M12" i="1"/>
  <c r="J12" i="1"/>
  <c r="I12" i="1"/>
  <c r="H12" i="1"/>
  <c r="E12" i="1"/>
  <c r="G12" i="1"/>
  <c r="F12" i="1"/>
  <c r="B96" i="1"/>
  <c r="B89" i="1"/>
  <c r="B82" i="1"/>
  <c r="B75" i="1"/>
  <c r="B68" i="1"/>
  <c r="B61" i="1"/>
  <c r="B54" i="1"/>
  <c r="B47" i="1"/>
  <c r="B40" i="1"/>
  <c r="B33" i="1"/>
  <c r="B26" i="1"/>
  <c r="B19" i="1"/>
  <c r="B12" i="1"/>
  <c r="B11" i="1"/>
  <c r="G96" i="4"/>
  <c r="H96" i="4"/>
  <c r="F96" i="4"/>
  <c r="G89" i="4"/>
  <c r="H89" i="4"/>
  <c r="F89" i="4"/>
  <c r="G82" i="4"/>
  <c r="H82" i="4"/>
  <c r="F82" i="4"/>
  <c r="G75" i="4"/>
  <c r="H75" i="4"/>
  <c r="F75" i="4"/>
  <c r="G68" i="4"/>
  <c r="H68" i="4"/>
  <c r="F68" i="4"/>
  <c r="G61" i="4"/>
  <c r="H61" i="4"/>
  <c r="F61" i="4"/>
  <c r="G54" i="4"/>
  <c r="H54" i="4"/>
  <c r="F54" i="4"/>
  <c r="G47" i="4"/>
  <c r="H47" i="4"/>
  <c r="F47" i="4"/>
  <c r="G40" i="4"/>
  <c r="H40" i="4"/>
  <c r="F40" i="4"/>
  <c r="G33" i="4"/>
  <c r="H33" i="4"/>
  <c r="F33" i="4"/>
  <c r="G26" i="4"/>
  <c r="H26" i="4"/>
  <c r="F26" i="4"/>
  <c r="G19" i="4"/>
  <c r="H19" i="4"/>
  <c r="F19" i="4"/>
  <c r="G12" i="4"/>
  <c r="H12" i="4"/>
  <c r="F12" i="4"/>
  <c r="M32" i="1"/>
  <c r="B96" i="4"/>
  <c r="B89" i="4"/>
  <c r="B82" i="4"/>
  <c r="B75" i="4"/>
  <c r="B68" i="4"/>
  <c r="B61" i="4"/>
  <c r="B54" i="4"/>
  <c r="B47" i="4"/>
  <c r="B40" i="4"/>
  <c r="B33" i="4"/>
  <c r="B26" i="4"/>
  <c r="B19" i="4"/>
  <c r="B12" i="4"/>
  <c r="F89" i="5"/>
  <c r="G75" i="5"/>
  <c r="H75" i="5"/>
  <c r="B96" i="5"/>
  <c r="B89" i="5"/>
  <c r="B82" i="5"/>
  <c r="B75" i="5"/>
  <c r="B68" i="5"/>
  <c r="B61" i="5"/>
  <c r="B54" i="5"/>
  <c r="B47" i="5"/>
  <c r="B40" i="5"/>
  <c r="B33" i="5"/>
  <c r="B26" i="5"/>
  <c r="B19" i="5"/>
  <c r="B12" i="5"/>
  <c r="G95" i="3"/>
  <c r="F95" i="3"/>
  <c r="G88" i="3"/>
  <c r="F88" i="3"/>
  <c r="G74" i="3"/>
  <c r="F74" i="3"/>
  <c r="G67" i="3"/>
  <c r="F67" i="3"/>
  <c r="G60" i="3"/>
  <c r="F60" i="3"/>
  <c r="G53" i="3"/>
  <c r="F53" i="3"/>
  <c r="G46" i="3"/>
  <c r="F46" i="3"/>
  <c r="G39" i="3"/>
  <c r="F39" i="3"/>
  <c r="G32" i="3"/>
  <c r="F32" i="3"/>
  <c r="G25" i="3"/>
  <c r="F25" i="3"/>
  <c r="G18" i="3"/>
  <c r="F18" i="3"/>
  <c r="G11" i="3"/>
  <c r="F11" i="3"/>
  <c r="B95" i="3"/>
  <c r="B88" i="3"/>
  <c r="B81" i="3"/>
  <c r="B74" i="3"/>
  <c r="B67" i="3"/>
  <c r="B60" i="3"/>
  <c r="B53" i="3"/>
  <c r="B46" i="3"/>
  <c r="B39" i="3"/>
  <c r="B32" i="3"/>
  <c r="B25" i="3"/>
  <c r="B18" i="3"/>
  <c r="B11" i="3"/>
  <c r="E33" i="2"/>
  <c r="N33" i="2"/>
  <c r="M33" i="2"/>
  <c r="L33" i="2"/>
  <c r="K33" i="2"/>
  <c r="J33" i="2"/>
  <c r="I33" i="2"/>
  <c r="H33" i="2"/>
  <c r="G33" i="2"/>
  <c r="F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M95" i="1"/>
  <c r="I95" i="1"/>
  <c r="E95" i="1"/>
  <c r="G95" i="1"/>
  <c r="F95" i="1"/>
  <c r="J95" i="1"/>
  <c r="M88" i="1"/>
  <c r="I88" i="1"/>
  <c r="E88" i="1"/>
  <c r="G88" i="1"/>
  <c r="F88" i="1"/>
  <c r="J88" i="1"/>
  <c r="M81" i="1"/>
  <c r="I81" i="1"/>
  <c r="E81" i="1"/>
  <c r="G81" i="1"/>
  <c r="F81" i="1"/>
  <c r="J81" i="1"/>
  <c r="M74" i="1"/>
  <c r="I74" i="1"/>
  <c r="E74" i="1"/>
  <c r="G74" i="1"/>
  <c r="F74" i="1"/>
  <c r="J74" i="1"/>
  <c r="M67" i="1"/>
  <c r="I67" i="1"/>
  <c r="E67" i="1"/>
  <c r="G67" i="1"/>
  <c r="F67" i="1"/>
  <c r="M60" i="1"/>
  <c r="I60" i="1"/>
  <c r="E60" i="1"/>
  <c r="G60" i="1"/>
  <c r="F60" i="1"/>
  <c r="J60" i="1"/>
  <c r="M53" i="1"/>
  <c r="I53" i="1"/>
  <c r="E53" i="1"/>
  <c r="G53" i="1"/>
  <c r="F53" i="1"/>
  <c r="J53" i="1"/>
  <c r="M46" i="1"/>
  <c r="I46" i="1"/>
  <c r="E46" i="1"/>
  <c r="G46" i="1"/>
  <c r="F46" i="1"/>
  <c r="M39" i="1"/>
  <c r="I39" i="1"/>
  <c r="E39" i="1"/>
  <c r="G39" i="1"/>
  <c r="F39" i="1"/>
  <c r="J39" i="1"/>
  <c r="E32" i="1"/>
  <c r="G32" i="1"/>
  <c r="F32" i="1"/>
  <c r="J32" i="1"/>
  <c r="M25" i="1"/>
  <c r="I25" i="1"/>
  <c r="E25" i="1"/>
  <c r="G25" i="1"/>
  <c r="F25" i="1"/>
  <c r="J25" i="1"/>
  <c r="M18" i="1"/>
  <c r="I18" i="1"/>
  <c r="E18" i="1"/>
  <c r="G18" i="1"/>
  <c r="F18" i="1"/>
  <c r="J18" i="1"/>
  <c r="M11" i="1"/>
  <c r="I11" i="1"/>
  <c r="E11" i="1"/>
  <c r="G11" i="1"/>
  <c r="B95" i="1"/>
  <c r="B88" i="1"/>
  <c r="B81" i="1"/>
  <c r="B74" i="1"/>
  <c r="B67" i="1"/>
  <c r="B60" i="1"/>
  <c r="B53" i="1"/>
  <c r="B46" i="1"/>
  <c r="B39" i="1"/>
  <c r="B32" i="1"/>
  <c r="B25" i="1"/>
  <c r="B18" i="1"/>
  <c r="G18" i="4"/>
  <c r="H18" i="4"/>
  <c r="F18" i="4"/>
  <c r="G11" i="4"/>
  <c r="H11" i="4"/>
  <c r="F11" i="4"/>
  <c r="G53" i="4"/>
  <c r="H53" i="4"/>
  <c r="F53" i="4"/>
  <c r="G46" i="4"/>
  <c r="H46" i="4"/>
  <c r="F46" i="4"/>
  <c r="G39" i="4"/>
  <c r="H39" i="4"/>
  <c r="F39" i="4"/>
  <c r="G32" i="4"/>
  <c r="H32" i="4"/>
  <c r="F32" i="4"/>
  <c r="G25" i="4"/>
  <c r="H25" i="4"/>
  <c r="F25" i="4"/>
  <c r="G95" i="4"/>
  <c r="H95" i="4"/>
  <c r="F95" i="4"/>
  <c r="G88" i="4"/>
  <c r="H88" i="4"/>
  <c r="F88" i="4"/>
  <c r="G81" i="4"/>
  <c r="H81" i="4"/>
  <c r="F81" i="4"/>
  <c r="G74" i="4"/>
  <c r="H74" i="4"/>
  <c r="F74" i="4"/>
  <c r="G67" i="4"/>
  <c r="H67" i="4"/>
  <c r="F67" i="4"/>
  <c r="G60" i="4"/>
  <c r="H60" i="4"/>
  <c r="F60" i="4"/>
  <c r="B95" i="4"/>
  <c r="B88" i="4"/>
  <c r="B81" i="4"/>
  <c r="B74" i="4"/>
  <c r="B67" i="4"/>
  <c r="B60" i="4"/>
  <c r="B53" i="4"/>
  <c r="B46" i="4"/>
  <c r="B39" i="4"/>
  <c r="B32" i="4"/>
  <c r="B25" i="4"/>
  <c r="B18" i="4"/>
  <c r="B11" i="4"/>
  <c r="F88" i="5"/>
  <c r="G74" i="5"/>
  <c r="H74" i="5"/>
  <c r="B95" i="5"/>
  <c r="B88" i="5"/>
  <c r="B81" i="5"/>
  <c r="B74" i="5"/>
  <c r="B67" i="5"/>
  <c r="B60" i="5"/>
  <c r="B53" i="5"/>
  <c r="B46" i="5"/>
  <c r="B39" i="5"/>
  <c r="B32" i="5"/>
  <c r="B25" i="5"/>
  <c r="B18" i="5"/>
  <c r="B11" i="5"/>
  <c r="G31" i="3"/>
  <c r="F31" i="3"/>
  <c r="G24" i="3"/>
  <c r="F24" i="3"/>
  <c r="G17" i="3"/>
  <c r="F17" i="3"/>
  <c r="G10" i="3"/>
  <c r="F10" i="3"/>
  <c r="G52" i="3"/>
  <c r="F52" i="3"/>
  <c r="G45" i="3"/>
  <c r="F45" i="3"/>
  <c r="G38" i="3"/>
  <c r="F38" i="3"/>
  <c r="G59" i="3"/>
  <c r="F59" i="3"/>
  <c r="G66" i="3"/>
  <c r="F66" i="3"/>
  <c r="G73" i="3"/>
  <c r="F73" i="3"/>
  <c r="F80" i="3"/>
  <c r="G87" i="3"/>
  <c r="F87" i="3"/>
  <c r="G94" i="3"/>
  <c r="F94" i="3"/>
  <c r="B94" i="3"/>
  <c r="B87" i="3"/>
  <c r="B80" i="3"/>
  <c r="B73" i="3"/>
  <c r="B66" i="3"/>
  <c r="B59" i="3"/>
  <c r="B52" i="3"/>
  <c r="B45" i="3"/>
  <c r="B38" i="3"/>
  <c r="B31" i="3"/>
  <c r="B24" i="3"/>
  <c r="B17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16" i="1"/>
  <c r="J16" i="1"/>
  <c r="F23" i="1"/>
  <c r="J23" i="1"/>
  <c r="F65" i="1"/>
  <c r="J65" i="1"/>
  <c r="M94" i="1"/>
  <c r="I94" i="1"/>
  <c r="E94" i="1"/>
  <c r="G94" i="1"/>
  <c r="F94" i="1"/>
  <c r="J94" i="1"/>
  <c r="M87" i="1"/>
  <c r="I87" i="1"/>
  <c r="E87" i="1"/>
  <c r="G87" i="1"/>
  <c r="F87" i="1"/>
  <c r="J87" i="1"/>
  <c r="M80" i="1"/>
  <c r="I80" i="1"/>
  <c r="E80" i="1"/>
  <c r="G80" i="1"/>
  <c r="F80" i="1"/>
  <c r="J80" i="1"/>
  <c r="M73" i="1"/>
  <c r="I73" i="1"/>
  <c r="E73" i="1"/>
  <c r="G73" i="1"/>
  <c r="F73" i="1"/>
  <c r="J73" i="1"/>
  <c r="M66" i="1"/>
  <c r="I66" i="1"/>
  <c r="E66" i="1"/>
  <c r="G66" i="1"/>
  <c r="F66" i="1"/>
  <c r="J66" i="1"/>
  <c r="M59" i="1"/>
  <c r="I59" i="1"/>
  <c r="E59" i="1"/>
  <c r="G59" i="1"/>
  <c r="F59" i="1"/>
  <c r="J59" i="1"/>
  <c r="M52" i="1"/>
  <c r="I52" i="1"/>
  <c r="E52" i="1"/>
  <c r="G52" i="1"/>
  <c r="F52" i="1"/>
  <c r="J52" i="1"/>
  <c r="M45" i="1"/>
  <c r="I45" i="1"/>
  <c r="E45" i="1"/>
  <c r="F44" i="1"/>
  <c r="J44" i="1"/>
  <c r="G45" i="1"/>
  <c r="F45" i="1"/>
  <c r="J45" i="1"/>
  <c r="M38" i="1"/>
  <c r="I38" i="1"/>
  <c r="E38" i="1"/>
  <c r="G38" i="1"/>
  <c r="F38" i="1"/>
  <c r="J38" i="1"/>
  <c r="M31" i="1"/>
  <c r="I31" i="1"/>
  <c r="E31" i="1"/>
  <c r="G31" i="1"/>
  <c r="M24" i="1"/>
  <c r="I24" i="1"/>
  <c r="E24" i="1"/>
  <c r="G24" i="1"/>
  <c r="F24" i="1"/>
  <c r="J24" i="1"/>
  <c r="M17" i="1"/>
  <c r="I17" i="1"/>
  <c r="E17" i="1"/>
  <c r="G17" i="1"/>
  <c r="F17" i="1"/>
  <c r="M10" i="1"/>
  <c r="I10" i="1"/>
  <c r="E10" i="1"/>
  <c r="G10" i="1"/>
  <c r="F10" i="1"/>
  <c r="J10" i="1"/>
  <c r="B94" i="1"/>
  <c r="B87" i="1"/>
  <c r="B80" i="1"/>
  <c r="B73" i="1"/>
  <c r="B66" i="1"/>
  <c r="B59" i="1"/>
  <c r="B52" i="1"/>
  <c r="B45" i="1"/>
  <c r="B38" i="1"/>
  <c r="B31" i="1"/>
  <c r="B24" i="1"/>
  <c r="B17" i="1"/>
  <c r="B10" i="1"/>
  <c r="B94" i="4"/>
  <c r="B87" i="4"/>
  <c r="B80" i="4"/>
  <c r="B73" i="4"/>
  <c r="B66" i="4"/>
  <c r="B59" i="4"/>
  <c r="B52" i="4"/>
  <c r="B45" i="4"/>
  <c r="B38" i="4"/>
  <c r="B31" i="4"/>
  <c r="B24" i="4"/>
  <c r="B17" i="4"/>
  <c r="B10" i="4"/>
  <c r="G73" i="5"/>
  <c r="H73" i="5"/>
  <c r="B94" i="5"/>
  <c r="B87" i="5"/>
  <c r="B80" i="5"/>
  <c r="B73" i="5"/>
  <c r="B66" i="5"/>
  <c r="B59" i="5"/>
  <c r="B52" i="5"/>
  <c r="B45" i="5"/>
  <c r="B38" i="5"/>
  <c r="B31" i="5"/>
  <c r="B24" i="5"/>
  <c r="B17" i="5"/>
  <c r="B10" i="5"/>
  <c r="B93" i="3"/>
  <c r="B86" i="3"/>
  <c r="B79" i="3"/>
  <c r="B72" i="3"/>
  <c r="B65" i="3"/>
  <c r="B58" i="3"/>
  <c r="B51" i="3"/>
  <c r="B44" i="3"/>
  <c r="B37" i="3"/>
  <c r="B30" i="3"/>
  <c r="B23" i="3"/>
  <c r="B16" i="3"/>
  <c r="B9" i="3"/>
  <c r="A31" i="2"/>
  <c r="A10" i="2"/>
  <c r="F93" i="1"/>
  <c r="J93" i="1"/>
  <c r="G93" i="1"/>
  <c r="F86" i="1"/>
  <c r="G86" i="1"/>
  <c r="F79" i="1"/>
  <c r="J79" i="1"/>
  <c r="G79" i="1"/>
  <c r="F72" i="1"/>
  <c r="J72" i="1"/>
  <c r="G72" i="1"/>
  <c r="G65" i="1"/>
  <c r="F58" i="1"/>
  <c r="J58" i="1"/>
  <c r="G58" i="1"/>
  <c r="F51" i="1"/>
  <c r="J51" i="1"/>
  <c r="G51" i="1"/>
  <c r="G44" i="1"/>
  <c r="F37" i="1"/>
  <c r="J37" i="1"/>
  <c r="G37" i="1"/>
  <c r="G30" i="1"/>
  <c r="F30" i="1"/>
  <c r="J30" i="1"/>
  <c r="G23" i="1"/>
  <c r="G16" i="1"/>
  <c r="F9" i="1"/>
  <c r="J9" i="1"/>
  <c r="G9" i="1"/>
  <c r="B93" i="1"/>
  <c r="B86" i="1"/>
  <c r="B79" i="1"/>
  <c r="B72" i="1"/>
  <c r="B65" i="1"/>
  <c r="B58" i="1"/>
  <c r="B51" i="1"/>
  <c r="B44" i="1"/>
  <c r="B37" i="1"/>
  <c r="B30" i="1"/>
  <c r="B23" i="1"/>
  <c r="B16" i="1"/>
  <c r="B9" i="1"/>
  <c r="F87" i="5"/>
  <c r="B10" i="2"/>
  <c r="E99" i="5"/>
  <c r="D99" i="5"/>
  <c r="C99" i="5"/>
  <c r="E92" i="5"/>
  <c r="D92" i="5"/>
  <c r="C92" i="5"/>
  <c r="E85" i="5"/>
  <c r="D85" i="5"/>
  <c r="C85" i="5"/>
  <c r="E78" i="5"/>
  <c r="D78" i="5"/>
  <c r="C78" i="5"/>
  <c r="E71" i="5"/>
  <c r="D71" i="5"/>
  <c r="C71" i="5"/>
  <c r="E64" i="5"/>
  <c r="D64" i="5"/>
  <c r="C64" i="5"/>
  <c r="E57" i="5"/>
  <c r="D57" i="5"/>
  <c r="C57" i="5"/>
  <c r="E50" i="5"/>
  <c r="D50" i="5"/>
  <c r="C50" i="5"/>
  <c r="E43" i="5"/>
  <c r="D43" i="5"/>
  <c r="C43" i="5"/>
  <c r="E36" i="5"/>
  <c r="D36" i="5"/>
  <c r="C36" i="5"/>
  <c r="E29" i="5"/>
  <c r="D29" i="5"/>
  <c r="C29" i="5"/>
  <c r="E22" i="5"/>
  <c r="D22" i="5"/>
  <c r="C22" i="5"/>
  <c r="E15" i="5"/>
  <c r="D15" i="5"/>
  <c r="C15" i="5"/>
  <c r="L35" i="1"/>
  <c r="F45" i="4"/>
  <c r="F44" i="3"/>
  <c r="M44" i="1"/>
  <c r="E44" i="1"/>
  <c r="F94" i="4"/>
  <c r="F93" i="3"/>
  <c r="G31" i="2"/>
  <c r="G10" i="2"/>
  <c r="M93" i="1"/>
  <c r="E93" i="1"/>
  <c r="E50" i="4"/>
  <c r="D50" i="4"/>
  <c r="C50" i="4"/>
  <c r="G45" i="4"/>
  <c r="H45" i="4"/>
  <c r="E49" i="3"/>
  <c r="D49" i="3"/>
  <c r="C49" i="3"/>
  <c r="G44" i="3"/>
  <c r="L49" i="1"/>
  <c r="D49" i="1"/>
  <c r="C49" i="1"/>
  <c r="I44" i="1"/>
  <c r="G94" i="4"/>
  <c r="H94" i="4"/>
  <c r="G93" i="3"/>
  <c r="I93" i="1"/>
  <c r="D14" i="1"/>
  <c r="D21" i="1"/>
  <c r="D28" i="1"/>
  <c r="D35" i="1"/>
  <c r="D42" i="1"/>
  <c r="D56" i="1"/>
  <c r="D63" i="1"/>
  <c r="D70" i="1"/>
  <c r="D77" i="1"/>
  <c r="D84" i="1"/>
  <c r="D91" i="1"/>
  <c r="D98" i="1"/>
  <c r="C98" i="1"/>
  <c r="C99" i="4"/>
  <c r="D99" i="4"/>
  <c r="C98" i="3"/>
  <c r="D98" i="3"/>
  <c r="E15" i="4"/>
  <c r="E22" i="4"/>
  <c r="E29" i="4"/>
  <c r="E36" i="4"/>
  <c r="E43" i="4"/>
  <c r="E57" i="4"/>
  <c r="E64" i="4"/>
  <c r="E71" i="4"/>
  <c r="E78" i="4"/>
  <c r="E85" i="4"/>
  <c r="E92" i="4"/>
  <c r="E99" i="4"/>
  <c r="D15" i="4"/>
  <c r="D22" i="4"/>
  <c r="D29" i="4"/>
  <c r="D36" i="4"/>
  <c r="D43" i="4"/>
  <c r="D57" i="4"/>
  <c r="D64" i="4"/>
  <c r="D71" i="4"/>
  <c r="D78" i="4"/>
  <c r="D85" i="4"/>
  <c r="D92" i="4"/>
  <c r="C15" i="4"/>
  <c r="C22" i="4"/>
  <c r="C29" i="4"/>
  <c r="C36" i="4"/>
  <c r="C43" i="4"/>
  <c r="C57" i="4"/>
  <c r="C64" i="4"/>
  <c r="C71" i="4"/>
  <c r="C78" i="4"/>
  <c r="C85" i="4"/>
  <c r="C92" i="4"/>
  <c r="F73" i="4"/>
  <c r="E14" i="3"/>
  <c r="E21" i="3"/>
  <c r="E28" i="3"/>
  <c r="E35" i="3"/>
  <c r="E42" i="3"/>
  <c r="E56" i="3"/>
  <c r="E63" i="3"/>
  <c r="E70" i="3"/>
  <c r="E77" i="3"/>
  <c r="E84" i="3"/>
  <c r="E91" i="3"/>
  <c r="E98" i="3"/>
  <c r="D14" i="3"/>
  <c r="D21" i="3"/>
  <c r="D28" i="3"/>
  <c r="D35" i="3"/>
  <c r="D42" i="3"/>
  <c r="D56" i="3"/>
  <c r="D63" i="3"/>
  <c r="D70" i="3"/>
  <c r="D77" i="3"/>
  <c r="D84" i="3"/>
  <c r="D91" i="3"/>
  <c r="C14" i="3"/>
  <c r="C21" i="3"/>
  <c r="C28" i="3"/>
  <c r="C35" i="3"/>
  <c r="C42" i="3"/>
  <c r="C56" i="3"/>
  <c r="C63" i="3"/>
  <c r="C70" i="3"/>
  <c r="C77" i="3"/>
  <c r="C84" i="3"/>
  <c r="C91" i="3"/>
  <c r="F72" i="3"/>
  <c r="M72" i="1"/>
  <c r="E72" i="1"/>
  <c r="L14" i="1"/>
  <c r="L21" i="1"/>
  <c r="L28" i="1"/>
  <c r="L42" i="1"/>
  <c r="L56" i="1"/>
  <c r="L63" i="1"/>
  <c r="L70" i="1"/>
  <c r="L77" i="1"/>
  <c r="L84" i="1"/>
  <c r="L91" i="1"/>
  <c r="K14" i="1"/>
  <c r="K21" i="1"/>
  <c r="C14" i="1"/>
  <c r="I14" i="1"/>
  <c r="C21" i="1"/>
  <c r="C28" i="1"/>
  <c r="C35" i="1"/>
  <c r="C42" i="1"/>
  <c r="C56" i="1"/>
  <c r="C63" i="1"/>
  <c r="C70" i="1"/>
  <c r="C77" i="1"/>
  <c r="C84" i="1"/>
  <c r="C91" i="1"/>
  <c r="E79" i="1"/>
  <c r="I79" i="1"/>
  <c r="M79" i="1"/>
  <c r="K77" i="1"/>
  <c r="F87" i="4"/>
  <c r="K31" i="2"/>
  <c r="K10" i="2"/>
  <c r="K35" i="1"/>
  <c r="K42" i="1"/>
  <c r="K56" i="1"/>
  <c r="K63" i="1"/>
  <c r="K70" i="1"/>
  <c r="K91" i="1"/>
  <c r="I72" i="1"/>
  <c r="G73" i="4"/>
  <c r="H73" i="4"/>
  <c r="G72" i="3"/>
  <c r="F59" i="4"/>
  <c r="F58" i="3"/>
  <c r="N31" i="2"/>
  <c r="M31" i="2"/>
  <c r="L31" i="2"/>
  <c r="J31" i="2"/>
  <c r="I31" i="2"/>
  <c r="H31" i="2"/>
  <c r="F31" i="2"/>
  <c r="E31" i="2"/>
  <c r="C31" i="2"/>
  <c r="B31" i="2"/>
  <c r="M58" i="1"/>
  <c r="E58" i="1"/>
  <c r="I10" i="2"/>
  <c r="G59" i="4"/>
  <c r="H59" i="4"/>
  <c r="G66" i="4"/>
  <c r="H66" i="4"/>
  <c r="F66" i="4"/>
  <c r="G58" i="3"/>
  <c r="I58" i="1"/>
  <c r="F10" i="4"/>
  <c r="G10" i="4"/>
  <c r="H10" i="4"/>
  <c r="I9" i="1"/>
  <c r="I16" i="1"/>
  <c r="I30" i="1"/>
  <c r="I37" i="1"/>
  <c r="I51" i="1"/>
  <c r="I65" i="1"/>
  <c r="I86" i="1"/>
  <c r="E9" i="1"/>
  <c r="M9" i="1"/>
  <c r="E16" i="1"/>
  <c r="M16" i="1"/>
  <c r="E23" i="1"/>
  <c r="E30" i="1"/>
  <c r="M30" i="1"/>
  <c r="E37" i="1"/>
  <c r="M37" i="1"/>
  <c r="E51" i="1"/>
  <c r="M51" i="1"/>
  <c r="E65" i="1"/>
  <c r="M65" i="1"/>
  <c r="E86" i="1"/>
  <c r="M86" i="1"/>
  <c r="F17" i="4"/>
  <c r="G17" i="4"/>
  <c r="H17" i="4"/>
  <c r="F24" i="4"/>
  <c r="G24" i="4"/>
  <c r="H24" i="4"/>
  <c r="F31" i="4"/>
  <c r="G31" i="4"/>
  <c r="H31" i="4"/>
  <c r="F38" i="4"/>
  <c r="G38" i="4"/>
  <c r="H38" i="4"/>
  <c r="F52" i="4"/>
  <c r="G52" i="4"/>
  <c r="H52" i="4"/>
  <c r="F80" i="4"/>
  <c r="G80" i="4"/>
  <c r="H80" i="4"/>
  <c r="G87" i="4"/>
  <c r="H87" i="4"/>
  <c r="F9" i="3"/>
  <c r="F16" i="3"/>
  <c r="G16" i="3"/>
  <c r="F23" i="3"/>
  <c r="G23" i="3"/>
  <c r="F30" i="3"/>
  <c r="G30" i="3"/>
  <c r="F37" i="3"/>
  <c r="G37" i="3"/>
  <c r="F51" i="3"/>
  <c r="G51" i="3"/>
  <c r="F65" i="3"/>
  <c r="G65" i="3"/>
  <c r="F79" i="3"/>
  <c r="F86" i="3"/>
  <c r="G86" i="3"/>
  <c r="G9" i="3"/>
  <c r="C10" i="2"/>
  <c r="D10" i="2"/>
  <c r="E10" i="2"/>
  <c r="F10" i="2"/>
  <c r="H10" i="2"/>
  <c r="J10" i="2"/>
  <c r="L10" i="2"/>
  <c r="M10" i="2"/>
  <c r="N10" i="2"/>
  <c r="I23" i="1"/>
  <c r="M23" i="1"/>
  <c r="K28" i="1"/>
  <c r="D31" i="2"/>
  <c r="L98" i="1"/>
  <c r="K98" i="1"/>
  <c r="K49" i="1"/>
  <c r="K84" i="1"/>
  <c r="I32" i="1"/>
  <c r="G64" i="4"/>
  <c r="H64" i="4"/>
  <c r="G50" i="4"/>
  <c r="H50" i="4"/>
  <c r="F92" i="4"/>
  <c r="F29" i="4"/>
  <c r="G36" i="4"/>
  <c r="H36" i="4"/>
  <c r="F103" i="4"/>
  <c r="F64" i="4"/>
  <c r="G103" i="4"/>
  <c r="H103" i="4"/>
  <c r="F50" i="4"/>
  <c r="F85" i="4"/>
  <c r="F22" i="4"/>
  <c r="G57" i="4"/>
  <c r="H57" i="4"/>
  <c r="F78" i="4"/>
  <c r="F15" i="4"/>
  <c r="F43" i="4"/>
  <c r="G71" i="4"/>
  <c r="H71" i="4"/>
  <c r="G92" i="4"/>
  <c r="H92" i="4"/>
  <c r="G29" i="4"/>
  <c r="H29" i="4"/>
  <c r="G43" i="4"/>
  <c r="H43" i="4"/>
  <c r="F36" i="4"/>
  <c r="G22" i="4"/>
  <c r="H22" i="4"/>
  <c r="F57" i="4"/>
  <c r="G15" i="4"/>
  <c r="H15" i="4"/>
  <c r="G78" i="4"/>
  <c r="H78" i="4"/>
  <c r="E101" i="4"/>
  <c r="D101" i="4"/>
  <c r="G99" i="4"/>
  <c r="H99" i="4"/>
  <c r="C101" i="4"/>
  <c r="F71" i="4"/>
  <c r="G85" i="4"/>
  <c r="H85" i="4"/>
  <c r="F99" i="4"/>
  <c r="G78" i="5"/>
  <c r="H78" i="5"/>
  <c r="F92" i="5"/>
  <c r="F103" i="5"/>
  <c r="C101" i="5"/>
  <c r="E101" i="5"/>
  <c r="D101" i="5"/>
  <c r="G103" i="5"/>
  <c r="H103" i="5"/>
  <c r="G77" i="3"/>
  <c r="F49" i="3"/>
  <c r="G35" i="3"/>
  <c r="F91" i="3"/>
  <c r="G21" i="3"/>
  <c r="F56" i="3"/>
  <c r="F21" i="3"/>
  <c r="F84" i="3"/>
  <c r="F14" i="3"/>
  <c r="D100" i="3"/>
  <c r="F102" i="3"/>
  <c r="G42" i="3"/>
  <c r="G70" i="3"/>
  <c r="F35" i="3"/>
  <c r="F42" i="3"/>
  <c r="F63" i="3"/>
  <c r="G98" i="3"/>
  <c r="G49" i="3"/>
  <c r="F98" i="3"/>
  <c r="F77" i="3"/>
  <c r="E100" i="3"/>
  <c r="C100" i="3"/>
  <c r="G56" i="3"/>
  <c r="G14" i="3"/>
  <c r="G91" i="3"/>
  <c r="G28" i="3"/>
  <c r="G102" i="3"/>
  <c r="F70" i="3"/>
  <c r="G63" i="3"/>
  <c r="F28" i="3"/>
  <c r="O34" i="2"/>
  <c r="O13" i="2"/>
  <c r="M14" i="1"/>
  <c r="M44" i="2"/>
  <c r="M42" i="1"/>
  <c r="E42" i="1"/>
  <c r="H44" i="2"/>
  <c r="M77" i="1"/>
  <c r="E44" i="2"/>
  <c r="E102" i="1"/>
  <c r="K23" i="2"/>
  <c r="C23" i="2"/>
  <c r="J44" i="2"/>
  <c r="I42" i="1"/>
  <c r="O12" i="2"/>
  <c r="I21" i="1"/>
  <c r="I84" i="1"/>
  <c r="I44" i="2"/>
  <c r="I35" i="1"/>
  <c r="H9" i="1"/>
  <c r="L23" i="2"/>
  <c r="I70" i="1"/>
  <c r="E63" i="1"/>
  <c r="G44" i="2"/>
  <c r="G91" i="1"/>
  <c r="F23" i="2"/>
  <c r="E56" i="1"/>
  <c r="F44" i="2"/>
  <c r="I56" i="1"/>
  <c r="H66" i="1"/>
  <c r="M91" i="1"/>
  <c r="H23" i="2"/>
  <c r="F14" i="1"/>
  <c r="J14" i="1"/>
  <c r="H67" i="1"/>
  <c r="E14" i="1"/>
  <c r="E70" i="1"/>
  <c r="H37" i="1"/>
  <c r="H72" i="1"/>
  <c r="H32" i="1"/>
  <c r="D23" i="2"/>
  <c r="G70" i="1"/>
  <c r="H93" i="1"/>
  <c r="H44" i="1"/>
  <c r="M23" i="2"/>
  <c r="H24" i="1"/>
  <c r="F49" i="1"/>
  <c r="J49" i="1"/>
  <c r="H46" i="1"/>
  <c r="E23" i="2"/>
  <c r="H31" i="1"/>
  <c r="M98" i="1"/>
  <c r="H80" i="1"/>
  <c r="N23" i="2"/>
  <c r="K44" i="2"/>
  <c r="H60" i="1"/>
  <c r="F42" i="1"/>
  <c r="J42" i="1"/>
  <c r="E98" i="1"/>
  <c r="G14" i="1"/>
  <c r="G98" i="1"/>
  <c r="O31" i="2"/>
  <c r="M28" i="1"/>
  <c r="G21" i="1"/>
  <c r="G56" i="1"/>
  <c r="G77" i="1"/>
  <c r="M21" i="1"/>
  <c r="E49" i="1"/>
  <c r="H23" i="1"/>
  <c r="F84" i="1"/>
  <c r="J84" i="1"/>
  <c r="F63" i="1"/>
  <c r="J63" i="1"/>
  <c r="M84" i="1"/>
  <c r="H58" i="1"/>
  <c r="E35" i="1"/>
  <c r="H30" i="1"/>
  <c r="H86" i="1"/>
  <c r="H17" i="1"/>
  <c r="H38" i="1"/>
  <c r="B23" i="2"/>
  <c r="O33" i="2"/>
  <c r="N44" i="2"/>
  <c r="D100" i="1"/>
  <c r="H45" i="1"/>
  <c r="I98" i="1"/>
  <c r="H52" i="1"/>
  <c r="F35" i="1"/>
  <c r="J35" i="1"/>
  <c r="M49" i="1"/>
  <c r="I23" i="2"/>
  <c r="I91" i="1"/>
  <c r="I28" i="1"/>
  <c r="M70" i="1"/>
  <c r="G42" i="1"/>
  <c r="O11" i="2"/>
  <c r="H18" i="1"/>
  <c r="H74" i="1"/>
  <c r="D44" i="2"/>
  <c r="E84" i="1"/>
  <c r="E21" i="1"/>
  <c r="M63" i="1"/>
  <c r="F21" i="1"/>
  <c r="H79" i="1"/>
  <c r="H87" i="1"/>
  <c r="C44" i="2"/>
  <c r="L44" i="2"/>
  <c r="G63" i="1"/>
  <c r="G84" i="1"/>
  <c r="F98" i="1"/>
  <c r="J98" i="1"/>
  <c r="F56" i="1"/>
  <c r="J56" i="1"/>
  <c r="F77" i="1"/>
  <c r="E91" i="1"/>
  <c r="G23" i="2"/>
  <c r="B44" i="2"/>
  <c r="F91" i="1"/>
  <c r="O10" i="2"/>
  <c r="O32" i="2"/>
  <c r="H73" i="1"/>
  <c r="F70" i="1"/>
  <c r="H65" i="1"/>
  <c r="L100" i="1"/>
  <c r="G35" i="1"/>
  <c r="F28" i="1"/>
  <c r="M35" i="1"/>
  <c r="H53" i="1"/>
  <c r="H95" i="1"/>
  <c r="G28" i="1"/>
  <c r="G49" i="1"/>
  <c r="H51" i="1"/>
  <c r="E28" i="1"/>
  <c r="I49" i="1"/>
  <c r="C100" i="1"/>
  <c r="J46" i="1"/>
  <c r="H94" i="1"/>
  <c r="H10" i="1"/>
  <c r="J17" i="1"/>
  <c r="H59" i="1"/>
  <c r="H25" i="1"/>
  <c r="K100" i="1"/>
  <c r="H16" i="1"/>
  <c r="J86" i="1"/>
  <c r="M56" i="1"/>
  <c r="J23" i="2"/>
  <c r="I77" i="1"/>
  <c r="H11" i="1"/>
  <c r="J67" i="1"/>
  <c r="H39" i="1"/>
  <c r="H88" i="1"/>
  <c r="H81" i="1"/>
  <c r="I63" i="1"/>
  <c r="E77" i="1"/>
  <c r="I102" i="1"/>
  <c r="M102" i="1"/>
  <c r="F101" i="4"/>
  <c r="G101" i="4"/>
  <c r="H101" i="4"/>
  <c r="F101" i="5"/>
  <c r="G101" i="5"/>
  <c r="H101" i="5"/>
  <c r="F100" i="3"/>
  <c r="G100" i="3"/>
  <c r="I100" i="1"/>
  <c r="H14" i="1"/>
  <c r="H102" i="1"/>
  <c r="O23" i="2"/>
  <c r="H77" i="1"/>
  <c r="H56" i="1"/>
  <c r="H49" i="1"/>
  <c r="H42" i="1"/>
  <c r="H84" i="1"/>
  <c r="H98" i="1"/>
  <c r="M100" i="1"/>
  <c r="H63" i="1"/>
  <c r="G100" i="1"/>
  <c r="O44" i="2"/>
  <c r="E100" i="1"/>
  <c r="H21" i="1"/>
  <c r="H35" i="1"/>
  <c r="J77" i="1"/>
  <c r="J21" i="1"/>
  <c r="H28" i="1"/>
  <c r="J28" i="1"/>
  <c r="H70" i="1"/>
  <c r="J70" i="1"/>
  <c r="H91" i="1"/>
  <c r="J91" i="1"/>
  <c r="F100" i="1"/>
  <c r="J102" i="1"/>
  <c r="H100" i="1"/>
  <c r="J100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<sst xmlns="http://schemas.openxmlformats.org/spreadsheetml/2006/main" count="241" uniqueCount="79">
  <si>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</si>
  <si>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</si>
  <si>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</si>
  <si>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</si>
  <si>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</si>
  <si>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</si>
  <si>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</si>
  <si>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</si>
  <si>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</si>
  <si>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</si>
  <si>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</si>
  <si>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</si>
  <si>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</si>
  <si>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</si>
  <si>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</si>
  <si>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</si>
  <si>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</si>
  <si>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</si>
  <si>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</si>
  <si>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</si>
  <si>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</si>
  <si>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</si>
  <si>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</si>
  <si>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</si>
  <si>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</si>
  <si>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</si>
  <si>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</si>
  <si>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</si>
  <si>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</si>
  <si>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</si>
  <si>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</si>
  <si>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</si>
  <si>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</si>
  <si>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</si>
  <si>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</si>
  <si>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</si>
  <si>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</si>
  <si>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</si>
  <si>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</si>
  <si>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</si>
  <si>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</si>
  <si>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</si>
  <si>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</si>
  <si>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</si>
  <si>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</si>
  <si>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</si>
  <si>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</si>
  <si>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</si>
  <si>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</si>
  <si>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</si>
  <si>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</si>
  <si>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</si>
  <si>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</si>
  <si>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</si>
  <si>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</si>
  <si>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</si>
  <si>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</si>
  <si>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</si>
  <si>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</si>
  <si>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</si>
  <si>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</si>
  <si>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</si>
  <si>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</si>
  <si>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</si>
  <si>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</si>
  <si>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</si>
  <si>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</si>
  <si>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</si>
  <si>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</si>
  <si>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</si>
  <si>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</si>
  <si>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</si>
  <si>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OCTOBER 31, 2024</t>
  </si>
  <si>
    <t>(as reported on the tax remittal database dtd 11/7/24)</t>
  </si>
  <si>
    <t>FOR THE MONTH ENDED:   OCTOBER 31, 2024</t>
  </si>
  <si>
    <t>THRU MONTH ENDED:   OCTOBER 31, 2024</t>
  </si>
  <si>
    <t>(as reported on the tax remittal database as of 11/7/24)</t>
  </si>
  <si>
    <t>THRU MONTH ENDED:    OCTOBER 31, 2024</t>
  </si>
  <si>
    <t>THRU MONTH ENDED:     OCTOBER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</si>
</sst>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4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3" fontId="16" fillId="0" borderId="14" xfId="3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74"/>
  <sheetViews>
    <sheetView tabSelected="1" showOutlineSymbols="0" topLeftCell="A46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>(+C9-D9)/D9</f>
        <v>-8.0906262721703162E-2</v>
      </c>
      <c r="F9" s="21">
        <f>+C9-86094</f>
        <v>96779</v>
      </c>
      <c r="G9" s="21">
        <f>+D9-94713</f>
        <v>104258</v>
      </c>
      <c r="H9" s="22">
        <f>(+F9-G9)/G9</f>
        <v>-7.1735502311573218E-2</v>
      </c>
      <c r="I9" s="23">
        <f>K9/C9</f>
        <v>73.11157776161599</v>
      </c>
      <c r="J9" s="23">
        <f>K9/F9</f>
        <v>138.15118527779788</v>
      </c>
      <c r="K9" s="21">
        <v>13370133.560000001</v>
      </c>
      <c r="L9" s="21">
        <v>14981981.279999999</v>
      </c>
      <c r="M9" s="24">
        <f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>(+C10-D10)/D10</f>
        <v>4.3155194896166739E-2</v>
      </c>
      <c r="F10" s="21">
        <f>+C10-91892</f>
        <v>101703</v>
      </c>
      <c r="G10" s="21">
        <f>+D10-87146</f>
        <v>98440</v>
      </c>
      <c r="H10" s="22">
        <f>(+F10-G10)/G10</f>
        <v>3.3147094676960587E-2</v>
      </c>
      <c r="I10" s="23">
        <f>K10/C10</f>
        <v>72.28058834164105</v>
      </c>
      <c r="J10" s="23">
        <f>K10/F10</f>
        <v>137.58847329970601</v>
      </c>
      <c r="K10" s="21">
        <v>13993160.5</v>
      </c>
      <c r="L10" s="21">
        <v>14127127.52</v>
      </c>
      <c r="M10" s="24">
        <f>(+K10-L10)/L10</f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>(+C11-D11)/D11</f>
        <v>-5.282196979907381E-2</v>
      </c>
      <c r="F11" s="21">
        <f>+C11-81570</f>
        <v>94123</v>
      </c>
      <c r="G11" s="21">
        <f>+D11-86562</f>
        <v>98929</v>
      </c>
      <c r="H11" s="22">
        <f>(+F11-G11)/G11</f>
        <v>-4.8580294959011006E-2</v>
      </c>
      <c r="I11" s="23">
        <f>K11/C11</f>
        <v>71.174948631988755</v>
      </c>
      <c r="J11" s="23">
        <f>K11/F11</f>
        <v>132.85743388969752</v>
      </c>
      <c r="K11" s="21">
        <v>12504940.25</v>
      </c>
      <c r="L11" s="21">
        <v>12784105.18</v>
      </c>
      <c r="M11" s="24">
        <f>(+K11-L11)/L11</f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>(+C12-D12)/D12</f>
        <v>4.4634939402896836E-3</v>
      </c>
      <c r="F12" s="21">
        <f>+C12-79197</f>
        <v>90708</v>
      </c>
      <c r="G12" s="21">
        <f>+D12-77860</f>
        <v>91290</v>
      </c>
      <c r="H12" s="22">
        <f>(+F12-G12)/G12</f>
        <v>-6.3752875451856721E-3</v>
      </c>
      <c r="I12" s="23">
        <f>K12/C12</f>
        <v>72.966886377681647</v>
      </c>
      <c r="J12" s="23">
        <f>K12/F12</f>
        <v>136.67415035057547</v>
      </c>
      <c r="K12" s="21">
        <v>12397438.83</v>
      </c>
      <c r="L12" s="21">
        <v>12862060.27</v>
      </c>
      <c r="M12" s="24">
        <f>(+K12-L12)/L12</f>
        <v>-3.6123407156138251E-2</v>
      </c>
      <c r="N12" s="10"/>
      <c r="R12" s="2"/>
    </row>
    <row r="13" spans="1:18" ht="15.75" customHeight="1" thickBot="1" x14ac:dyDescent="0.3">
      <c r="A13" s="19"/>
      <c r="B13" s="20"/>
      <c r="C13" s="21"/>
      <c r="D13" s="21"/>
      <c r="E13" s="22"/>
      <c r="F13" s="21"/>
      <c r="G13" s="21"/>
      <c r="H13" s="22"/>
      <c r="I13" s="23"/>
      <c r="J13" s="23"/>
      <c r="K13" s="21"/>
      <c r="L13" s="21"/>
      <c r="M13" s="24"/>
      <c r="N13" s="10"/>
      <c r="R13" s="2"/>
    </row>
    <row r="14" spans="1:18" ht="17.25" thickTop="1" thickBot="1" x14ac:dyDescent="0.3">
      <c r="A14" s="25" t="s">
        <v>14</v>
      </c>
      <c r="B14" s="26"/>
      <c r="C14" s="27">
        <f>SUM(C9:C13)</f>
        <v>722066</v>
      </c>
      <c r="D14" s="27">
        <f>SUM(D9:D13)</f>
        <v>739198</v>
      </c>
      <c r="E14" s="278">
        <f>(+C14-D14)/D14</f>
        <v>-2.3176469633305285E-2</v>
      </c>
      <c r="F14" s="27">
        <f>SUM(F9:F13)</f>
        <v>383313</v>
      </c>
      <c r="G14" s="27">
        <f>SUM(G9:G13)</f>
        <v>392917</v>
      </c>
      <c r="H14" s="29">
        <f>(+F14-G14)/G14</f>
        <v>-2.4442821257415689E-2</v>
      </c>
      <c r="I14" s="30">
        <f>K14/C14</f>
        <v>72.383512227414116</v>
      </c>
      <c r="J14" s="30">
        <f>K14/F14</f>
        <v>136.35246688737402</v>
      </c>
      <c r="K14" s="27">
        <f>SUM(K9:K13)</f>
        <v>52265673.140000001</v>
      </c>
      <c r="L14" s="27">
        <f>SUM(L9:L13)</f>
        <v>54755274.25</v>
      </c>
      <c r="M14" s="31">
        <f>(+K14-L14)/L14</f>
        <v>-4.5467786329277664E-2</v>
      </c>
      <c r="N14" s="10"/>
      <c r="R14" s="2"/>
    </row>
    <row r="15" spans="1:18" ht="15.75" customHeight="1" thickTop="1" x14ac:dyDescent="0.25">
      <c r="A15" s="15"/>
      <c r="B15" s="16"/>
      <c r="C15" s="16"/>
      <c r="D15" s="16"/>
      <c r="E15" s="17"/>
      <c r="F15" s="16"/>
      <c r="G15" s="16"/>
      <c r="H15" s="17"/>
      <c r="I15" s="16"/>
      <c r="J15" s="16"/>
      <c r="K15" s="194"/>
      <c r="L15" s="194"/>
      <c r="M15" s="18"/>
      <c r="N15" s="10"/>
      <c r="R15" s="2"/>
    </row>
    <row r="16" spans="1:18" ht="15.75" x14ac:dyDescent="0.25">
      <c r="A16" s="19" t="s">
        <v>15</v>
      </c>
      <c r="B16" s="20">
        <f>DATE(2024,7,1)</f>
        <v>45474</v>
      </c>
      <c r="C16" s="21">
        <v>94277</v>
      </c>
      <c r="D16" s="21">
        <v>114764</v>
      </c>
      <c r="E16" s="22">
        <f>(+C16-D16)/D16</f>
        <v>-0.17851416820605764</v>
      </c>
      <c r="F16" s="21">
        <f>+C16-44772</f>
        <v>49505</v>
      </c>
      <c r="G16" s="21">
        <f>+D16-56037</f>
        <v>58727</v>
      </c>
      <c r="H16" s="22">
        <f>(+F16-G16)/G16</f>
        <v>-0.15703168900165171</v>
      </c>
      <c r="I16" s="23">
        <f>K16/C16</f>
        <v>70.872203824898961</v>
      </c>
      <c r="J16" s="23">
        <f>K16/F16</f>
        <v>134.96856398343601</v>
      </c>
      <c r="K16" s="21">
        <v>6681618.7599999998</v>
      </c>
      <c r="L16" s="21">
        <v>8190102.3200000003</v>
      </c>
      <c r="M16" s="24">
        <f>(+K16-L16)/L16</f>
        <v>-0.18418372580234144</v>
      </c>
      <c r="N16" s="10"/>
      <c r="R16" s="2"/>
    </row>
    <row r="17" spans="1:18" ht="15.75" x14ac:dyDescent="0.25">
      <c r="A17" s="19"/>
      <c r="B17" s="20">
        <f>DATE(2024,8,1)</f>
        <v>45505</v>
      </c>
      <c r="C17" s="21">
        <v>95698</v>
      </c>
      <c r="D17" s="21">
        <v>103488</v>
      </c>
      <c r="E17" s="22">
        <f>(+C17-D17)/D17</f>
        <v>-7.5274427952999379E-2</v>
      </c>
      <c r="F17" s="21">
        <f>+C17-45591</f>
        <v>50107</v>
      </c>
      <c r="G17" s="21">
        <f>+D17-50126</f>
        <v>53362</v>
      </c>
      <c r="H17" s="22">
        <f>(+F17-G17)/G17</f>
        <v>-6.0998463325962295E-2</v>
      </c>
      <c r="I17" s="23">
        <f>K17/C17</f>
        <v>75.496528663085954</v>
      </c>
      <c r="J17" s="23">
        <f>K17/F17</f>
        <v>144.18877202786038</v>
      </c>
      <c r="K17" s="21">
        <v>7224866.7999999998</v>
      </c>
      <c r="L17" s="21">
        <v>7478317.0300000003</v>
      </c>
      <c r="M17" s="24">
        <f>(+K17-L17)/L17</f>
        <v>-3.3891346005158654E-2</v>
      </c>
      <c r="N17" s="10"/>
      <c r="R17" s="2"/>
    </row>
    <row r="18" spans="1:18" ht="15.75" x14ac:dyDescent="0.25">
      <c r="A18" s="19"/>
      <c r="B18" s="20">
        <f>DATE(2024,9,1)</f>
        <v>45536</v>
      </c>
      <c r="C18" s="21">
        <v>91160</v>
      </c>
      <c r="D18" s="21">
        <v>100304</v>
      </c>
      <c r="E18" s="22">
        <f>(+C18-D18)/D18</f>
        <v>-9.1162864890732179E-2</v>
      </c>
      <c r="F18" s="21">
        <f>+C18-43108</f>
        <v>48052</v>
      </c>
      <c r="G18" s="21">
        <f>+D18-48762</f>
        <v>51542</v>
      </c>
      <c r="H18" s="22">
        <f>(+F18-G18)/G18</f>
        <v>-6.7711769042722442E-2</v>
      </c>
      <c r="I18" s="23">
        <f>K18/C18</f>
        <v>74.824164655550675</v>
      </c>
      <c r="J18" s="23">
        <f>K18/F18</f>
        <v>141.9497804461833</v>
      </c>
      <c r="K18" s="21">
        <v>6820970.8499999996</v>
      </c>
      <c r="L18" s="21">
        <v>7204755.4299999997</v>
      </c>
      <c r="M18" s="24">
        <f>(+K18-L18)/L18</f>
        <v>-5.3268231479718681E-2</v>
      </c>
      <c r="N18" s="10"/>
      <c r="R18" s="2"/>
    </row>
    <row r="19" spans="1:18" ht="15.75" x14ac:dyDescent="0.25">
      <c r="A19" s="19"/>
      <c r="B19" s="20">
        <f>DATE(2024,10,1)</f>
        <v>45566</v>
      </c>
      <c r="C19" s="21">
        <v>92138</v>
      </c>
      <c r="D19" s="21">
        <v>93178</v>
      </c>
      <c r="E19" s="22">
        <f>(+C19-D19)/D19</f>
        <v>-1.1161432956277233E-2</v>
      </c>
      <c r="F19" s="21">
        <f>+C19-42815</f>
        <v>49323</v>
      </c>
      <c r="G19" s="21">
        <f>+D19-45141</f>
        <v>48037</v>
      </c>
      <c r="H19" s="22">
        <f>(+F19-G19)/G19</f>
        <v>2.6771030663863271E-2</v>
      </c>
      <c r="I19" s="23">
        <f>K19/C19</f>
        <v>71.293246651761493</v>
      </c>
      <c r="J19" s="23">
        <f>K19/F19</f>
        <v>133.17959491515114</v>
      </c>
      <c r="K19" s="21">
        <v>6568817.1600000001</v>
      </c>
      <c r="L19" s="21">
        <v>6531079.6299999999</v>
      </c>
      <c r="M19" s="24">
        <f>(+K19-L19)/L19</f>
        <v>5.7781457489288427E-3</v>
      </c>
      <c r="N19" s="10"/>
      <c r="R19" s="2"/>
    </row>
    <row r="20" spans="1:18" ht="15.75" customHeight="1" thickBot="1" x14ac:dyDescent="0.3">
      <c r="A20" s="19"/>
      <c r="B20" s="20"/>
      <c r="C20" s="21"/>
      <c r="D20" s="21"/>
      <c r="E20" s="22"/>
      <c r="F20" s="21"/>
      <c r="G20" s="21"/>
      <c r="H20" s="22"/>
      <c r="I20" s="23"/>
      <c r="J20" s="23"/>
      <c r="K20" s="21"/>
      <c r="L20" s="21"/>
      <c r="M20" s="24"/>
      <c r="N20" s="10"/>
      <c r="R20" s="2"/>
    </row>
    <row r="21" spans="1:18" ht="17.25" customHeight="1" thickTop="1" thickBot="1" x14ac:dyDescent="0.3">
      <c r="A21" s="25" t="s">
        <v>14</v>
      </c>
      <c r="B21" s="26"/>
      <c r="C21" s="27">
        <f>SUM(C16:C20)</f>
        <v>373273</v>
      </c>
      <c r="D21" s="27">
        <f>SUM(D16:D20)</f>
        <v>411734</v>
      </c>
      <c r="E21" s="278">
        <f>(+C21-D21)/D21</f>
        <v>-9.3412251599333557E-2</v>
      </c>
      <c r="F21" s="27">
        <f>SUM(F16:F20)</f>
        <v>196987</v>
      </c>
      <c r="G21" s="27">
        <f>SUM(G16:G20)</f>
        <v>211668</v>
      </c>
      <c r="H21" s="29">
        <f>(+F21-G21)/G21</f>
        <v>-6.9358618213428577E-2</v>
      </c>
      <c r="I21" s="30">
        <f>K21/C21</f>
        <v>73.126836310153692</v>
      </c>
      <c r="J21" s="30">
        <f>K21/F21</f>
        <v>138.56890845588794</v>
      </c>
      <c r="K21" s="27">
        <f>SUM(K16:K20)</f>
        <v>27296273.569999997</v>
      </c>
      <c r="L21" s="27">
        <f>SUM(L16:L20)</f>
        <v>29404254.41</v>
      </c>
      <c r="M21" s="31">
        <f>(+K21-L21)/L21</f>
        <v>-7.1689654517582566E-2</v>
      </c>
      <c r="N21" s="10"/>
      <c r="R21" s="2"/>
    </row>
    <row r="22" spans="1:18" ht="15.75" customHeight="1" thickTop="1" x14ac:dyDescent="0.25">
      <c r="A22" s="32"/>
      <c r="B22" s="33"/>
      <c r="C22" s="34"/>
      <c r="D22" s="34"/>
      <c r="E22" s="28"/>
      <c r="F22" s="34"/>
      <c r="G22" s="34"/>
      <c r="H22" s="28"/>
      <c r="I22" s="35"/>
      <c r="J22" s="35"/>
      <c r="K22" s="34"/>
      <c r="L22" s="34"/>
      <c r="M22" s="36"/>
      <c r="N22" s="10"/>
      <c r="R22" s="2"/>
    </row>
    <row r="23" spans="1:18" ht="15.75" customHeight="1" x14ac:dyDescent="0.25">
      <c r="A23" s="19" t="s">
        <v>62</v>
      </c>
      <c r="B23" s="20">
        <f>DATE(2024,7,1)</f>
        <v>45474</v>
      </c>
      <c r="C23" s="21">
        <v>53756</v>
      </c>
      <c r="D23" s="21">
        <v>62207</v>
      </c>
      <c r="E23" s="22">
        <f>(+C23-D23)/D23</f>
        <v>-0.13585287829343964</v>
      </c>
      <c r="F23" s="21">
        <f>+C23-27520</f>
        <v>26236</v>
      </c>
      <c r="G23" s="21">
        <f>+D23-32355</f>
        <v>29852</v>
      </c>
      <c r="H23" s="22">
        <f>(+F23-G23)/G23</f>
        <v>-0.12113091250167493</v>
      </c>
      <c r="I23" s="23">
        <f>K23/C23</f>
        <v>71.938724793511426</v>
      </c>
      <c r="J23" s="23">
        <f>K23/F23</f>
        <v>147.39815863698735</v>
      </c>
      <c r="K23" s="21">
        <v>3867138.09</v>
      </c>
      <c r="L23" s="21">
        <v>3894925.49</v>
      </c>
      <c r="M23" s="24">
        <f>(+K23-L23)/L23</f>
        <v>-7.1342571433889923E-3</v>
      </c>
      <c r="N23" s="10"/>
      <c r="R23" s="2"/>
    </row>
    <row r="24" spans="1:18" ht="15.75" customHeight="1" x14ac:dyDescent="0.25">
      <c r="A24" s="19"/>
      <c r="B24" s="20">
        <f>DATE(2024,8,1)</f>
        <v>45505</v>
      </c>
      <c r="C24" s="21">
        <v>54520</v>
      </c>
      <c r="D24" s="21">
        <v>55791</v>
      </c>
      <c r="E24" s="22">
        <f>(+C24-D24)/D24</f>
        <v>-2.2781452205552867E-2</v>
      </c>
      <c r="F24" s="21">
        <f>+C24-28215</f>
        <v>26305</v>
      </c>
      <c r="G24" s="21">
        <f>+D24-28978</f>
        <v>26813</v>
      </c>
      <c r="H24" s="22">
        <f>(+F24-G24)/G24</f>
        <v>-1.8946033640398315E-2</v>
      </c>
      <c r="I24" s="23">
        <f>K24/C24</f>
        <v>71.996543103448275</v>
      </c>
      <c r="J24" s="23">
        <f>K24/F24</f>
        <v>149.22073864284357</v>
      </c>
      <c r="K24" s="21">
        <v>3925251.53</v>
      </c>
      <c r="L24" s="21">
        <v>3757372.71</v>
      </c>
      <c r="M24" s="24">
        <f>(+K24-L24)/L24</f>
        <v>4.4679842261376258E-2</v>
      </c>
      <c r="N24" s="10"/>
      <c r="R24" s="2"/>
    </row>
    <row r="25" spans="1:18" ht="15.75" customHeight="1" x14ac:dyDescent="0.25">
      <c r="A25" s="19"/>
      <c r="B25" s="20">
        <f>DATE(2024,9,1)</f>
        <v>45536</v>
      </c>
      <c r="C25" s="21">
        <v>50120</v>
      </c>
      <c r="D25" s="21">
        <v>56687</v>
      </c>
      <c r="E25" s="22">
        <f>(+C25-D25)/D25</f>
        <v>-0.11584666678427152</v>
      </c>
      <c r="F25" s="21">
        <f>+C25-26015</f>
        <v>24105</v>
      </c>
      <c r="G25" s="21">
        <f>+D25-29799</f>
        <v>26888</v>
      </c>
      <c r="H25" s="22">
        <f>(+F25-G25)/G25</f>
        <v>-0.10350342160071407</v>
      </c>
      <c r="I25" s="23">
        <f>K25/C25</f>
        <v>76.207569034317629</v>
      </c>
      <c r="J25" s="23">
        <f>K25/F25</f>
        <v>158.45357228790706</v>
      </c>
      <c r="K25" s="21">
        <v>3819523.36</v>
      </c>
      <c r="L25" s="21">
        <v>4023483.06</v>
      </c>
      <c r="M25" s="24">
        <f>(+K25-L25)/L25</f>
        <v>-5.0692322288539766E-2</v>
      </c>
      <c r="N25" s="10"/>
      <c r="R25" s="2"/>
    </row>
    <row r="26" spans="1:18" ht="15.75" customHeight="1" x14ac:dyDescent="0.25">
      <c r="A26" s="19"/>
      <c r="B26" s="20">
        <f>DATE(2024,10,1)</f>
        <v>45566</v>
      </c>
      <c r="C26" s="21">
        <v>42557</v>
      </c>
      <c r="D26" s="21">
        <v>50318</v>
      </c>
      <c r="E26" s="22">
        <f>(+C26-D26)/D26</f>
        <v>-0.15423903970746056</v>
      </c>
      <c r="F26" s="21">
        <f>+C26-21743</f>
        <v>20814</v>
      </c>
      <c r="G26" s="21">
        <f>+D26-26291</f>
        <v>24027</v>
      </c>
      <c r="H26" s="22">
        <f>(+F26-G26)/G26</f>
        <v>-0.13372455987014609</v>
      </c>
      <c r="I26" s="23">
        <f>K26/C26</f>
        <v>71.04266959607115</v>
      </c>
      <c r="J26" s="23">
        <f>K26/F26</f>
        <v>145.25621648890171</v>
      </c>
      <c r="K26" s="21">
        <v>3023362.89</v>
      </c>
      <c r="L26" s="21">
        <v>3701664.9</v>
      </c>
      <c r="M26" s="24">
        <f>(+K26-L26)/L26</f>
        <v>-0.18324241343401987</v>
      </c>
      <c r="N26" s="10"/>
      <c r="R26" s="2"/>
    </row>
    <row r="27" spans="1:18" ht="15.75" customHeight="1" thickBot="1" x14ac:dyDescent="0.25">
      <c r="A27" s="37"/>
      <c r="B27" s="20"/>
      <c r="C27" s="21"/>
      <c r="D27" s="21"/>
      <c r="E27" s="22"/>
      <c r="F27" s="21"/>
      <c r="G27" s="21"/>
      <c r="H27" s="22"/>
      <c r="I27" s="23"/>
      <c r="J27" s="23"/>
      <c r="K27" s="21"/>
      <c r="L27" s="21"/>
      <c r="M27" s="24"/>
      <c r="N27" s="10"/>
      <c r="R27" s="2"/>
    </row>
    <row r="28" spans="1:18" ht="17.25" customHeight="1" thickTop="1" thickBot="1" x14ac:dyDescent="0.3">
      <c r="A28" s="38" t="s">
        <v>14</v>
      </c>
      <c r="B28" s="39"/>
      <c r="C28" s="40">
        <f>SUM(C23:C27)</f>
        <v>200953</v>
      </c>
      <c r="D28" s="40">
        <f>SUM(D23:D27)</f>
        <v>225003</v>
      </c>
      <c r="E28" s="279">
        <f>(+C28-D28)/D28</f>
        <v>-0.10688746372270592</v>
      </c>
      <c r="F28" s="40">
        <f>SUM(F23:F27)</f>
        <v>97460</v>
      </c>
      <c r="G28" s="40">
        <f>SUM(G23:G27)</f>
        <v>107580</v>
      </c>
      <c r="H28" s="41">
        <f>(+F28-G28)/G28</f>
        <v>-9.4069529652351741E-2</v>
      </c>
      <c r="I28" s="42">
        <f>K28/C28</f>
        <v>72.829347509119046</v>
      </c>
      <c r="J28" s="42">
        <f>K28/F28</f>
        <v>150.16700051303098</v>
      </c>
      <c r="K28" s="40">
        <f>SUM(K23:K27)</f>
        <v>14635275.869999999</v>
      </c>
      <c r="L28" s="40">
        <f>SUM(L23:L27)</f>
        <v>15377446.16</v>
      </c>
      <c r="M28" s="43">
        <f>(+K28-L28)/L28</f>
        <v>-4.8263559649491299E-2</v>
      </c>
      <c r="N28" s="10"/>
      <c r="R28" s="2"/>
    </row>
    <row r="29" spans="1:18" ht="15.75" customHeight="1" thickTop="1" x14ac:dyDescent="0.2">
      <c r="A29" s="37"/>
      <c r="B29" s="44"/>
      <c r="C29" s="21"/>
      <c r="D29" s="21"/>
      <c r="E29" s="22"/>
      <c r="F29" s="21"/>
      <c r="G29" s="21"/>
      <c r="H29" s="22"/>
      <c r="I29" s="23"/>
      <c r="J29" s="23"/>
      <c r="K29" s="21"/>
      <c r="L29" s="21"/>
      <c r="M29" s="24"/>
      <c r="N29" s="10"/>
      <c r="R29" s="2"/>
    </row>
    <row r="30" spans="1:18" ht="15.75" customHeight="1" x14ac:dyDescent="0.25">
      <c r="A30" s="176" t="s">
        <v>58</v>
      </c>
      <c r="B30" s="20">
        <f>DATE(2024,7,1)</f>
        <v>45474</v>
      </c>
      <c r="C30" s="21">
        <v>318209</v>
      </c>
      <c r="D30" s="21">
        <v>351840</v>
      </c>
      <c r="E30" s="22">
        <f>(+C30-D30)/D30</f>
        <v>-9.5586061846293771E-2</v>
      </c>
      <c r="F30" s="21">
        <f>+C30-155791</f>
        <v>162418</v>
      </c>
      <c r="G30" s="21">
        <f>+D30-174244</f>
        <v>177596</v>
      </c>
      <c r="H30" s="22">
        <f>(+F30-G30)/G30</f>
        <v>-8.5463636568391177E-2</v>
      </c>
      <c r="I30" s="23">
        <f>K30/C30</f>
        <v>64.610433111571325</v>
      </c>
      <c r="J30" s="23">
        <f>K30/F30</f>
        <v>126.58462307133445</v>
      </c>
      <c r="K30" s="21">
        <v>20559621.309999999</v>
      </c>
      <c r="L30" s="21">
        <v>22259690.579999998</v>
      </c>
      <c r="M30" s="24">
        <f>(+K30-L30)/L30</f>
        <v>-7.6374344193601978E-2</v>
      </c>
      <c r="N30" s="10"/>
      <c r="R30" s="2"/>
    </row>
    <row r="31" spans="1:18" ht="15.75" customHeight="1" x14ac:dyDescent="0.25">
      <c r="A31" s="176"/>
      <c r="B31" s="20">
        <f>DATE(2024,8,1)</f>
        <v>45505</v>
      </c>
      <c r="C31" s="21">
        <v>340265</v>
      </c>
      <c r="D31" s="21">
        <v>330822</v>
      </c>
      <c r="E31" s="22">
        <f>(+C31-D31)/D31</f>
        <v>2.8544050879324833E-2</v>
      </c>
      <c r="F31" s="21">
        <f>+C31-163301</f>
        <v>176964</v>
      </c>
      <c r="G31" s="21">
        <f>+D31-166752</f>
        <v>164070</v>
      </c>
      <c r="H31" s="22">
        <f>(+F31-G31)/G31</f>
        <v>7.8588407387090872E-2</v>
      </c>
      <c r="I31" s="23">
        <f>K31/C31</f>
        <v>67.389388888072531</v>
      </c>
      <c r="J31" s="23">
        <f>K31/F31</f>
        <v>129.57579174295336</v>
      </c>
      <c r="K31" s="21">
        <v>22930250.41</v>
      </c>
      <c r="L31" s="21">
        <v>19955458.68</v>
      </c>
      <c r="M31" s="24">
        <f>(+K31-L31)/L31</f>
        <v>0.14907157874458843</v>
      </c>
      <c r="N31" s="10"/>
      <c r="R31" s="2"/>
    </row>
    <row r="32" spans="1:18" ht="15.75" customHeight="1" x14ac:dyDescent="0.25">
      <c r="A32" s="176"/>
      <c r="B32" s="20">
        <f>DATE(2024,9,1)</f>
        <v>45536</v>
      </c>
      <c r="C32" s="21">
        <v>306427</v>
      </c>
      <c r="D32" s="21">
        <v>316962</v>
      </c>
      <c r="E32" s="22">
        <f>(+C32-D32)/D32</f>
        <v>-3.3237422782541756E-2</v>
      </c>
      <c r="F32" s="21">
        <f>+C32-149563</f>
        <v>156864</v>
      </c>
      <c r="G32" s="21">
        <f>+D32-158185</f>
        <v>158777</v>
      </c>
      <c r="H32" s="22">
        <f>(+F32-G32)/G32</f>
        <v>-1.2048344533528156E-2</v>
      </c>
      <c r="I32" s="23">
        <f>K32/C32</f>
        <v>66.087262316962935</v>
      </c>
      <c r="J32" s="23">
        <f>K32/F32</f>
        <v>129.09859196501429</v>
      </c>
      <c r="K32" s="21">
        <v>20250921.530000001</v>
      </c>
      <c r="L32" s="21">
        <v>20493083.73</v>
      </c>
      <c r="M32" s="24">
        <f>(+K32-L32)/L32</f>
        <v>-1.1816776976590202E-2</v>
      </c>
      <c r="N32" s="10"/>
      <c r="R32" s="2"/>
    </row>
    <row r="33" spans="1:18" ht="15.75" customHeight="1" x14ac:dyDescent="0.25">
      <c r="A33" s="176"/>
      <c r="B33" s="20">
        <f>DATE(2024,10,1)</f>
        <v>45566</v>
      </c>
      <c r="C33" s="21">
        <v>285650</v>
      </c>
      <c r="D33" s="21">
        <v>288802</v>
      </c>
      <c r="E33" s="22">
        <f>(+C33-D33)/D33</f>
        <v>-1.0914051841746248E-2</v>
      </c>
      <c r="F33" s="21">
        <f>+C33-140651</f>
        <v>144999</v>
      </c>
      <c r="G33" s="21">
        <f>+D33-147350</f>
        <v>141452</v>
      </c>
      <c r="H33" s="22">
        <f>(+F33-G33)/G33</f>
        <v>2.507564403472556E-2</v>
      </c>
      <c r="I33" s="23">
        <f>K33/C33</f>
        <v>75.551019779450385</v>
      </c>
      <c r="J33" s="23">
        <f>K33/F33</f>
        <v>148.83653542438225</v>
      </c>
      <c r="K33" s="21">
        <v>21581148.800000001</v>
      </c>
      <c r="L33" s="21">
        <v>19345312.379999999</v>
      </c>
      <c r="M33" s="24">
        <f>(+K33-L33)/L33</f>
        <v>0.11557510036961222</v>
      </c>
      <c r="N33" s="10"/>
      <c r="R33" s="2"/>
    </row>
    <row r="34" spans="1:18" ht="15.75" thickBot="1" x14ac:dyDescent="0.25">
      <c r="A34" s="37"/>
      <c r="B34" s="44"/>
      <c r="C34" s="21"/>
      <c r="D34" s="21"/>
      <c r="E34" s="22"/>
      <c r="F34" s="21"/>
      <c r="G34" s="21"/>
      <c r="H34" s="22"/>
      <c r="I34" s="23"/>
      <c r="J34" s="23"/>
      <c r="K34" s="21"/>
      <c r="L34" s="21"/>
      <c r="M34" s="24"/>
      <c r="N34" s="10"/>
      <c r="R34" s="2"/>
    </row>
    <row r="35" spans="1:18" ht="17.25" thickTop="1" thickBot="1" x14ac:dyDescent="0.3">
      <c r="A35" s="38" t="s">
        <v>14</v>
      </c>
      <c r="B35" s="39"/>
      <c r="C35" s="40">
        <f>SUM(C30:C34)</f>
        <v>1250551</v>
      </c>
      <c r="D35" s="40">
        <f>SUM(D30:D34)</f>
        <v>1288426</v>
      </c>
      <c r="E35" s="279">
        <f>(+C35-D35)/D35</f>
        <v>-2.9396333200354542E-2</v>
      </c>
      <c r="F35" s="40">
        <f>SUM(F30:F34)</f>
        <v>641245</v>
      </c>
      <c r="G35" s="40">
        <f>SUM(G30:G34)</f>
        <v>641895</v>
      </c>
      <c r="H35" s="41">
        <f>(+F35-G35)/G35</f>
        <v>-1.0126266757024124E-3</v>
      </c>
      <c r="I35" s="42">
        <f>K35/C35</f>
        <v>68.227478967271225</v>
      </c>
      <c r="J35" s="42">
        <f>K35/F35</f>
        <v>133.05669759608261</v>
      </c>
      <c r="K35" s="40">
        <f>SUM(K30:K34)</f>
        <v>85321942.049999997</v>
      </c>
      <c r="L35" s="40">
        <f>SUM(L30:L34)</f>
        <v>82053545.36999999</v>
      </c>
      <c r="M35" s="43">
        <f>(+K35-L35)/L35</f>
        <v>3.9832485790370027E-2</v>
      </c>
      <c r="N35" s="10"/>
      <c r="R35" s="2"/>
    </row>
    <row r="36" spans="1:18" ht="15.75" thickTop="1" x14ac:dyDescent="0.2">
      <c r="A36" s="37"/>
      <c r="B36" s="44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5.75" x14ac:dyDescent="0.25">
      <c r="A37" s="19" t="s">
        <v>60</v>
      </c>
      <c r="B37" s="20">
        <f>DATE(2024,7,1)</f>
        <v>45474</v>
      </c>
      <c r="C37" s="21">
        <v>164838</v>
      </c>
      <c r="D37" s="21">
        <v>199698</v>
      </c>
      <c r="E37" s="22">
        <f>(+C37-D37)/D37</f>
        <v>-0.1745635910224439</v>
      </c>
      <c r="F37" s="21">
        <f>+C37-73814</f>
        <v>91024</v>
      </c>
      <c r="G37" s="21">
        <f>+D37-94634</f>
        <v>105064</v>
      </c>
      <c r="H37" s="22">
        <f>(+F37-G37)/G37</f>
        <v>-0.13363283332064266</v>
      </c>
      <c r="I37" s="23">
        <f>K37/C37</f>
        <v>77.194064960749344</v>
      </c>
      <c r="J37" s="23">
        <f>K37/F37</f>
        <v>139.79296976621549</v>
      </c>
      <c r="K37" s="21">
        <v>12724515.279999999</v>
      </c>
      <c r="L37" s="21">
        <v>15375724.09</v>
      </c>
      <c r="M37" s="24">
        <f>(+K37-L37)/L37</f>
        <v>-0.17242822480954134</v>
      </c>
      <c r="N37" s="10"/>
      <c r="R37" s="2"/>
    </row>
    <row r="38" spans="1:18" ht="15.75" x14ac:dyDescent="0.25">
      <c r="A38" s="19"/>
      <c r="B38" s="20">
        <f>DATE(2024,8,1)</f>
        <v>45505</v>
      </c>
      <c r="C38" s="21">
        <v>175348</v>
      </c>
      <c r="D38" s="21">
        <v>185862</v>
      </c>
      <c r="E38" s="22">
        <f>(+C38-D38)/D38</f>
        <v>-5.6568852159128817E-2</v>
      </c>
      <c r="F38" s="21">
        <f>+C38-80823</f>
        <v>94525</v>
      </c>
      <c r="G38" s="21">
        <f>+D38-90658</f>
        <v>95204</v>
      </c>
      <c r="H38" s="22">
        <f>(+F38-G38)/G38</f>
        <v>-7.1320532750724763E-3</v>
      </c>
      <c r="I38" s="23">
        <f>K38/C38</f>
        <v>78.751777493897848</v>
      </c>
      <c r="J38" s="23">
        <f>K38/F38</f>
        <v>146.08798391959797</v>
      </c>
      <c r="K38" s="21">
        <v>13808966.68</v>
      </c>
      <c r="L38" s="21">
        <v>14073101.49</v>
      </c>
      <c r="M38" s="24">
        <f>(+K38-L38)/L38</f>
        <v>-1.8768770351559549E-2</v>
      </c>
      <c r="N38" s="10"/>
      <c r="R38" s="2"/>
    </row>
    <row r="39" spans="1:18" ht="15.75" x14ac:dyDescent="0.25">
      <c r="A39" s="19"/>
      <c r="B39" s="20">
        <f>DATE(2024,9,1)</f>
        <v>45536</v>
      </c>
      <c r="C39" s="21">
        <v>160883</v>
      </c>
      <c r="D39" s="21">
        <v>187631</v>
      </c>
      <c r="E39" s="22">
        <f>(+C39-D39)/D39</f>
        <v>-0.14255640059478444</v>
      </c>
      <c r="F39" s="21">
        <f>+C39-72644</f>
        <v>88239</v>
      </c>
      <c r="G39" s="21">
        <f>+D39-91547</f>
        <v>96084</v>
      </c>
      <c r="H39" s="22">
        <f>(+F39-G39)/G39</f>
        <v>-8.1647308604970645E-2</v>
      </c>
      <c r="I39" s="23">
        <f>K39/C39</f>
        <v>77.902969052044028</v>
      </c>
      <c r="J39" s="23">
        <f>K39/F39</f>
        <v>142.03768594385701</v>
      </c>
      <c r="K39" s="21">
        <v>12533263.369999999</v>
      </c>
      <c r="L39" s="21">
        <v>13833160.67</v>
      </c>
      <c r="M39" s="24">
        <f>(+K39-L39)/L39</f>
        <v>-9.3969652417837543E-2</v>
      </c>
      <c r="N39" s="10"/>
      <c r="R39" s="2"/>
    </row>
    <row r="40" spans="1:18" ht="15.75" x14ac:dyDescent="0.25">
      <c r="A40" s="19"/>
      <c r="B40" s="20">
        <f>DATE(2024,10,1)</f>
        <v>45566</v>
      </c>
      <c r="C40" s="21">
        <v>173754</v>
      </c>
      <c r="D40" s="21">
        <v>183725</v>
      </c>
      <c r="E40" s="22">
        <f>(+C40-D40)/D40</f>
        <v>-5.4271329432575864E-2</v>
      </c>
      <c r="F40" s="21">
        <f>+C40-80828</f>
        <v>92926</v>
      </c>
      <c r="G40" s="21">
        <f>+D40-90840</f>
        <v>92885</v>
      </c>
      <c r="H40" s="22">
        <f>(+F40-G40)/G40</f>
        <v>4.414060397265436E-4</v>
      </c>
      <c r="I40" s="23">
        <f>K40/C40</f>
        <v>76.615435961186506</v>
      </c>
      <c r="J40" s="23">
        <f>K40/F40</f>
        <v>143.2563379463229</v>
      </c>
      <c r="K40" s="21">
        <v>13312238.460000001</v>
      </c>
      <c r="L40" s="21">
        <v>13402969.42</v>
      </c>
      <c r="M40" s="24">
        <f>(+K40-L40)/L40</f>
        <v>-6.7694670603821337E-3</v>
      </c>
      <c r="N40" s="10"/>
      <c r="R40" s="2"/>
    </row>
    <row r="41" spans="1:18" ht="15.75" thickBot="1" x14ac:dyDescent="0.25">
      <c r="A41" s="37"/>
      <c r="B41" s="20"/>
      <c r="C41" s="21"/>
      <c r="D41" s="21"/>
      <c r="E41" s="22"/>
      <c r="F41" s="21"/>
      <c r="G41" s="21"/>
      <c r="H41" s="22"/>
      <c r="I41" s="23"/>
      <c r="J41" s="23"/>
      <c r="K41" s="21"/>
      <c r="L41" s="21"/>
      <c r="M41" s="24"/>
      <c r="N41" s="10"/>
      <c r="R41" s="2"/>
    </row>
    <row r="42" spans="1:18" ht="17.25" thickTop="1" thickBot="1" x14ac:dyDescent="0.3">
      <c r="A42" s="38" t="s">
        <v>14</v>
      </c>
      <c r="B42" s="39"/>
      <c r="C42" s="40">
        <f>SUM(C37:C41)</f>
        <v>674823</v>
      </c>
      <c r="D42" s="40">
        <f>SUM(D37:D41)</f>
        <v>756916</v>
      </c>
      <c r="E42" s="280">
        <f>(+C42-D42)/D42</f>
        <v>-0.10845721321784715</v>
      </c>
      <c r="F42" s="46">
        <f>SUM(F37:F41)</f>
        <v>366714</v>
      </c>
      <c r="G42" s="47">
        <f>SUM(G37:G41)</f>
        <v>389237</v>
      </c>
      <c r="H42" s="48">
        <f>(+F42-G42)/G42</f>
        <v>-5.7864488730516368E-2</v>
      </c>
      <c r="I42" s="49">
        <f>K42/C42</f>
        <v>77.618847890483877</v>
      </c>
      <c r="J42" s="50">
        <f>K42/F42</f>
        <v>142.83333548760069</v>
      </c>
      <c r="K42" s="47">
        <f>SUM(K37:K41)</f>
        <v>52378983.789999999</v>
      </c>
      <c r="L42" s="46">
        <f>SUM(L37:L41)</f>
        <v>56684955.670000002</v>
      </c>
      <c r="M42" s="43">
        <f>(+K42-L42)/L42</f>
        <v>-7.5963222147828177E-2</v>
      </c>
      <c r="N42" s="10"/>
      <c r="R42" s="2"/>
    </row>
    <row r="43" spans="1:18" ht="15.75" customHeight="1" thickTop="1" x14ac:dyDescent="0.25">
      <c r="A43" s="272"/>
      <c r="B43" s="44"/>
      <c r="C43" s="21"/>
      <c r="D43" s="21"/>
      <c r="E43" s="22"/>
      <c r="F43" s="21"/>
      <c r="G43" s="21"/>
      <c r="H43" s="22"/>
      <c r="I43" s="23"/>
      <c r="J43" s="23"/>
      <c r="K43" s="21"/>
      <c r="L43" s="21"/>
      <c r="M43" s="24"/>
      <c r="N43" s="10"/>
      <c r="R43" s="2"/>
    </row>
    <row r="44" spans="1:18" ht="15.75" x14ac:dyDescent="0.25">
      <c r="A44" s="273" t="s">
        <v>61</v>
      </c>
      <c r="B44" s="20">
        <f>DATE(2024,7,1)</f>
        <v>45474</v>
      </c>
      <c r="C44" s="21">
        <v>92648</v>
      </c>
      <c r="D44" s="21">
        <v>94450</v>
      </c>
      <c r="E44" s="22">
        <f>(+C44-D44)/D44</f>
        <v>-1.90788777130757E-2</v>
      </c>
      <c r="F44" s="21">
        <f>+C44-46627</f>
        <v>46021</v>
      </c>
      <c r="G44" s="21">
        <f>+D44-47449</f>
        <v>47001</v>
      </c>
      <c r="H44" s="22">
        <f>(+F44-G44)/G44</f>
        <v>-2.0850620199570222E-2</v>
      </c>
      <c r="I44" s="23">
        <f>K44/C44</f>
        <v>63.099081793454801</v>
      </c>
      <c r="J44" s="23">
        <f>K44/F44</f>
        <v>127.02904608765564</v>
      </c>
      <c r="K44" s="21">
        <v>5846003.7300000004</v>
      </c>
      <c r="L44" s="21">
        <v>6283716.8300000001</v>
      </c>
      <c r="M44" s="24">
        <f>(+K44-L44)/L44</f>
        <v>-6.9658310812201196E-2</v>
      </c>
      <c r="N44" s="10"/>
      <c r="R44" s="2"/>
    </row>
    <row r="45" spans="1:18" ht="15.75" x14ac:dyDescent="0.25">
      <c r="A45" s="273"/>
      <c r="B45" s="20">
        <f>DATE(2024,8,1)</f>
        <v>45505</v>
      </c>
      <c r="C45" s="21">
        <v>95306</v>
      </c>
      <c r="D45" s="21">
        <v>85640</v>
      </c>
      <c r="E45" s="22">
        <f>(+C45-D45)/D45</f>
        <v>0.11286781877627276</v>
      </c>
      <c r="F45" s="21">
        <f>+C45-47322</f>
        <v>47984</v>
      </c>
      <c r="G45" s="21">
        <f>+D45-42807</f>
        <v>42833</v>
      </c>
      <c r="H45" s="22">
        <f>(+F45-G45)/G45</f>
        <v>0.12025774519646067</v>
      </c>
      <c r="I45" s="23">
        <f>K45/C45</f>
        <v>64.063300107023693</v>
      </c>
      <c r="J45" s="23">
        <f>K45/F45</f>
        <v>127.24276592197398</v>
      </c>
      <c r="K45" s="21">
        <v>6105616.8799999999</v>
      </c>
      <c r="L45" s="21">
        <v>5994866.6799999997</v>
      </c>
      <c r="M45" s="24">
        <f>(+K45-L45)/L45</f>
        <v>1.8474172306363983E-2</v>
      </c>
      <c r="N45" s="10"/>
      <c r="R45" s="2"/>
    </row>
    <row r="46" spans="1:18" ht="15.75" x14ac:dyDescent="0.25">
      <c r="A46" s="273"/>
      <c r="B46" s="20">
        <f>DATE(2024,9,1)</f>
        <v>45536</v>
      </c>
      <c r="C46" s="21">
        <v>91616</v>
      </c>
      <c r="D46" s="21">
        <v>85140</v>
      </c>
      <c r="E46" s="22">
        <f>(+C46-D46)/D46</f>
        <v>7.6062955132722571E-2</v>
      </c>
      <c r="F46" s="21">
        <f>+C46-47055</f>
        <v>44561</v>
      </c>
      <c r="G46" s="21">
        <f>+D46-42349</f>
        <v>42791</v>
      </c>
      <c r="H46" s="22">
        <f>(+F46-G46)/G46</f>
        <v>4.1363838190273658E-2</v>
      </c>
      <c r="I46" s="23">
        <f>K46/C46</f>
        <v>64.331752968913719</v>
      </c>
      <c r="J46" s="23">
        <f>K46/F46</f>
        <v>132.26403985547901</v>
      </c>
      <c r="K46" s="21">
        <v>5893817.8799999999</v>
      </c>
      <c r="L46" s="21">
        <v>5223197.63</v>
      </c>
      <c r="M46" s="24">
        <f>(+K46-L46)/L46</f>
        <v>0.12839266240821909</v>
      </c>
      <c r="N46" s="10"/>
      <c r="R46" s="2"/>
    </row>
    <row r="47" spans="1:18" ht="15.75" x14ac:dyDescent="0.25">
      <c r="A47" s="273"/>
      <c r="B47" s="20">
        <f>DATE(2024,10,1)</f>
        <v>45566</v>
      </c>
      <c r="C47" s="21">
        <v>87502</v>
      </c>
      <c r="D47" s="21">
        <v>78312</v>
      </c>
      <c r="E47" s="22">
        <f>(+C47-D47)/D47</f>
        <v>0.11735110838696496</v>
      </c>
      <c r="F47" s="21">
        <f>+C47-43980</f>
        <v>43522</v>
      </c>
      <c r="G47" s="21">
        <f>+D47-38948</f>
        <v>39364</v>
      </c>
      <c r="H47" s="22">
        <f>(+F47-G47)/G47</f>
        <v>0.1056295091962199</v>
      </c>
      <c r="I47" s="23">
        <f>K47/C47</f>
        <v>64.966992411602021</v>
      </c>
      <c r="J47" s="23">
        <f>K47/F47</f>
        <v>130.61765934469923</v>
      </c>
      <c r="K47" s="21">
        <v>5684741.7699999996</v>
      </c>
      <c r="L47" s="21">
        <v>5243326.6900000004</v>
      </c>
      <c r="M47" s="24">
        <f>(+K47-L47)/L47</f>
        <v>8.41860723349281E-2</v>
      </c>
      <c r="N47" s="10"/>
      <c r="R47" s="2"/>
    </row>
    <row r="48" spans="1:18" ht="15.75" customHeight="1" thickBot="1" x14ac:dyDescent="0.3">
      <c r="A48" s="19"/>
      <c r="B48" s="20"/>
      <c r="C48" s="21"/>
      <c r="D48" s="21"/>
      <c r="E48" s="22"/>
      <c r="F48" s="21"/>
      <c r="G48" s="21"/>
      <c r="H48" s="22"/>
      <c r="I48" s="23"/>
      <c r="J48" s="23"/>
      <c r="K48" s="21"/>
      <c r="L48" s="21"/>
      <c r="M48" s="24"/>
      <c r="N48" s="10"/>
      <c r="R48" s="2"/>
    </row>
    <row r="49" spans="1:18" ht="17.45" customHeight="1" thickTop="1" thickBot="1" x14ac:dyDescent="0.3">
      <c r="A49" s="38" t="s">
        <v>14</v>
      </c>
      <c r="B49" s="51"/>
      <c r="C49" s="46">
        <f>SUM(C44:C48)</f>
        <v>367072</v>
      </c>
      <c r="D49" s="47">
        <f>SUM(D44:D48)</f>
        <v>343542</v>
      </c>
      <c r="E49" s="280">
        <f>(+C49-D49)/D49</f>
        <v>6.849235319116731E-2</v>
      </c>
      <c r="F49" s="47">
        <f>SUM(F44:F48)</f>
        <v>182088</v>
      </c>
      <c r="G49" s="46">
        <f>SUM(G44:G48)</f>
        <v>171989</v>
      </c>
      <c r="H49" s="45">
        <f>(+F49-G49)/G49</f>
        <v>5.871887155573903E-2</v>
      </c>
      <c r="I49" s="50">
        <f>K49/C49</f>
        <v>64.102356649376688</v>
      </c>
      <c r="J49" s="49">
        <f>K49/F49</f>
        <v>129.22422268353762</v>
      </c>
      <c r="K49" s="46">
        <f>SUM(K44:K48)</f>
        <v>23530180.259999998</v>
      </c>
      <c r="L49" s="47">
        <f>SUM(L44:L48)</f>
        <v>22745107.830000002</v>
      </c>
      <c r="M49" s="43">
        <f>(+K49-L49)/L49</f>
        <v>3.4516100599202827E-2</v>
      </c>
      <c r="N49" s="10"/>
      <c r="R49" s="2"/>
    </row>
    <row r="50" spans="1:18" ht="15.75" customHeight="1" thickTop="1" x14ac:dyDescent="0.25">
      <c r="A50" s="19"/>
      <c r="B50" s="44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5.75" x14ac:dyDescent="0.25">
      <c r="A51" s="19" t="s">
        <v>67</v>
      </c>
      <c r="B51" s="20">
        <f>DATE(2024,7,1)</f>
        <v>45474</v>
      </c>
      <c r="C51" s="21">
        <v>259533</v>
      </c>
      <c r="D51" s="21">
        <v>219120</v>
      </c>
      <c r="E51" s="22">
        <f>(+C51-D51)/D51</f>
        <v>0.18443318729463307</v>
      </c>
      <c r="F51" s="21">
        <f>+C51-116553</f>
        <v>142980</v>
      </c>
      <c r="G51" s="21">
        <f>+D51-104679</f>
        <v>114441</v>
      </c>
      <c r="H51" s="22">
        <f>(+F51-G51)/G51</f>
        <v>0.24937740844627362</v>
      </c>
      <c r="I51" s="23">
        <f>K51/C51</f>
        <v>45.290873492002945</v>
      </c>
      <c r="J51" s="23">
        <f>K51/F51</f>
        <v>82.210632745838581</v>
      </c>
      <c r="K51" s="21">
        <v>11754476.27</v>
      </c>
      <c r="L51" s="21">
        <v>10804493.880000001</v>
      </c>
      <c r="M51" s="24">
        <f>(+K51-L51)/L51</f>
        <v>8.7924746920213778E-2</v>
      </c>
      <c r="N51" s="10"/>
      <c r="R51" s="2"/>
    </row>
    <row r="52" spans="1:18" ht="15.75" x14ac:dyDescent="0.25">
      <c r="A52" s="19"/>
      <c r="B52" s="20">
        <f>DATE(2024,8,1)</f>
        <v>45505</v>
      </c>
      <c r="C52" s="21">
        <v>262210</v>
      </c>
      <c r="D52" s="21">
        <v>218088</v>
      </c>
      <c r="E52" s="22">
        <f>(+C52-D52)/D52</f>
        <v>0.20231282784930854</v>
      </c>
      <c r="F52" s="21">
        <f>+C52-116032</f>
        <v>146178</v>
      </c>
      <c r="G52" s="21">
        <f>+D52-101100</f>
        <v>116988</v>
      </c>
      <c r="H52" s="22">
        <f>(+F52-G52)/G52</f>
        <v>0.24951277054056825</v>
      </c>
      <c r="I52" s="23">
        <f>K52/C52</f>
        <v>45.232368330727283</v>
      </c>
      <c r="J52" s="23">
        <f>K52/F52</f>
        <v>81.136554748320549</v>
      </c>
      <c r="K52" s="21">
        <v>11860379.300000001</v>
      </c>
      <c r="L52" s="21">
        <v>10872129.380000001</v>
      </c>
      <c r="M52" s="24">
        <f>(+K52-L52)/L52</f>
        <v>9.0897549638983402E-2</v>
      </c>
      <c r="N52" s="10"/>
      <c r="R52" s="2"/>
    </row>
    <row r="53" spans="1:18" ht="15.75" x14ac:dyDescent="0.25">
      <c r="A53" s="19"/>
      <c r="B53" s="20">
        <f>DATE(2024,9,1)</f>
        <v>45536</v>
      </c>
      <c r="C53" s="21">
        <v>241213</v>
      </c>
      <c r="D53" s="21">
        <v>241793</v>
      </c>
      <c r="E53" s="22">
        <f>(+C53-D53)/D53</f>
        <v>-2.3987460348314465E-3</v>
      </c>
      <c r="F53" s="21">
        <f>+C53-107281</f>
        <v>133932</v>
      </c>
      <c r="G53" s="21">
        <f>+D53-107184</f>
        <v>134609</v>
      </c>
      <c r="H53" s="22">
        <f>(+F53-G53)/G53</f>
        <v>-5.029381393517521E-3</v>
      </c>
      <c r="I53" s="23">
        <f>K53/C53</f>
        <v>45.95387839793046</v>
      </c>
      <c r="J53" s="23">
        <f>K53/F53</f>
        <v>82.763438685302987</v>
      </c>
      <c r="K53" s="21">
        <v>11084672.869999999</v>
      </c>
      <c r="L53" s="21">
        <v>11749600.279999999</v>
      </c>
      <c r="M53" s="24">
        <f>(+K53-L53)/L53</f>
        <v>-5.6591491978823315E-2</v>
      </c>
      <c r="N53" s="10"/>
      <c r="R53" s="2"/>
    </row>
    <row r="54" spans="1:18" ht="15.75" x14ac:dyDescent="0.25">
      <c r="A54" s="19"/>
      <c r="B54" s="20">
        <f>DATE(2024,10,1)</f>
        <v>45566</v>
      </c>
      <c r="C54" s="21">
        <v>231557</v>
      </c>
      <c r="D54" s="21">
        <v>245062</v>
      </c>
      <c r="E54" s="22">
        <f>(+C54-D54)/D54</f>
        <v>-5.5108503154303809E-2</v>
      </c>
      <c r="F54" s="21">
        <f>+C54-99889</f>
        <v>131668</v>
      </c>
      <c r="G54" s="21">
        <f>+D54-106359</f>
        <v>138703</v>
      </c>
      <c r="H54" s="22">
        <f>(+F54-G54)/G54</f>
        <v>-5.0719883492065784E-2</v>
      </c>
      <c r="I54" s="23">
        <f>K54/C54</f>
        <v>51.312987169465828</v>
      </c>
      <c r="J54" s="23">
        <f>K54/F54</f>
        <v>90.241223152170605</v>
      </c>
      <c r="K54" s="21">
        <v>11881881.369999999</v>
      </c>
      <c r="L54" s="21">
        <v>11743784.619999999</v>
      </c>
      <c r="M54" s="24">
        <f>(+K54-L54)/L54</f>
        <v>1.1759135105800332E-2</v>
      </c>
      <c r="N54" s="10"/>
      <c r="R54" s="2"/>
    </row>
    <row r="55" spans="1:18" ht="15.75" customHeight="1" thickBot="1" x14ac:dyDescent="0.3">
      <c r="A55" s="19"/>
      <c r="B55" s="44"/>
      <c r="C55" s="21"/>
      <c r="D55" s="21"/>
      <c r="E55" s="22"/>
      <c r="F55" s="21"/>
      <c r="G55" s="21"/>
      <c r="H55" s="22"/>
      <c r="I55" s="23"/>
      <c r="J55" s="23"/>
      <c r="K55" s="21"/>
      <c r="L55" s="21"/>
      <c r="M55" s="24"/>
      <c r="N55" s="10"/>
      <c r="R55" s="2"/>
    </row>
    <row r="56" spans="1:18" ht="17.45" customHeight="1" thickTop="1" thickBot="1" x14ac:dyDescent="0.3">
      <c r="A56" s="38" t="s">
        <v>14</v>
      </c>
      <c r="B56" s="51"/>
      <c r="C56" s="46">
        <f>SUM(C51:C55)</f>
        <v>994513</v>
      </c>
      <c r="D56" s="47">
        <f>SUM(D51:D55)</f>
        <v>924063</v>
      </c>
      <c r="E56" s="280">
        <f>(+C56-D56)/D56</f>
        <v>7.6239390604320265E-2</v>
      </c>
      <c r="F56" s="47">
        <f>SUM(F51:F55)</f>
        <v>554758</v>
      </c>
      <c r="G56" s="46">
        <f>SUM(G51:G55)</f>
        <v>504741</v>
      </c>
      <c r="H56" s="52">
        <f>(+F56-G56)/G56</f>
        <v>9.9094387022254982E-2</v>
      </c>
      <c r="I56" s="50">
        <f>K56/C56</f>
        <v>46.838412177618586</v>
      </c>
      <c r="J56" s="49">
        <f>K56/F56</f>
        <v>83.967080799195315</v>
      </c>
      <c r="K56" s="46">
        <f>SUM(K51:K55)</f>
        <v>46581409.809999995</v>
      </c>
      <c r="L56" s="47">
        <f>SUM(L51:L55)</f>
        <v>45170008.159999996</v>
      </c>
      <c r="M56" s="43">
        <f>(+K56-L56)/L56</f>
        <v>3.1246433363495734E-2</v>
      </c>
      <c r="N56" s="10"/>
      <c r="R56" s="2"/>
    </row>
    <row r="57" spans="1:18" ht="15.75" customHeight="1" thickTop="1" x14ac:dyDescent="0.25">
      <c r="A57" s="19"/>
      <c r="B57" s="44"/>
      <c r="C57" s="21"/>
      <c r="D57" s="21"/>
      <c r="E57" s="22"/>
      <c r="F57" s="21"/>
      <c r="G57" s="21"/>
      <c r="H57" s="22"/>
      <c r="I57" s="23"/>
      <c r="J57" s="23"/>
      <c r="K57" s="21"/>
      <c r="L57" s="21"/>
      <c r="M57" s="24"/>
      <c r="N57" s="10"/>
      <c r="R57" s="2"/>
    </row>
    <row r="58" spans="1:18" ht="15.75" customHeight="1" x14ac:dyDescent="0.25">
      <c r="A58" s="19" t="s">
        <v>69</v>
      </c>
      <c r="B58" s="20">
        <f>DATE(2024,7,1)</f>
        <v>45474</v>
      </c>
      <c r="C58" s="21">
        <v>179532</v>
      </c>
      <c r="D58" s="21">
        <v>227955</v>
      </c>
      <c r="E58" s="22">
        <f>(+C58-D58)/D58</f>
        <v>-0.2124235046390735</v>
      </c>
      <c r="F58" s="21">
        <f>+C58-80702</f>
        <v>98830</v>
      </c>
      <c r="G58" s="21">
        <f>+D58-105186</f>
        <v>122769</v>
      </c>
      <c r="H58" s="22">
        <f>(+F58-G58)/G58</f>
        <v>-0.19499222116332299</v>
      </c>
      <c r="I58" s="23">
        <f>K58/C58</f>
        <v>66.512470757302324</v>
      </c>
      <c r="J58" s="23">
        <f>K58/F58</f>
        <v>120.82481938682587</v>
      </c>
      <c r="K58" s="21">
        <v>11941116.9</v>
      </c>
      <c r="L58" s="21">
        <v>14034560.470000001</v>
      </c>
      <c r="M58" s="24">
        <f>(+K58-L58)/L58</f>
        <v>-0.14916345791340627</v>
      </c>
      <c r="N58" s="10"/>
      <c r="R58" s="2"/>
    </row>
    <row r="59" spans="1:18" ht="15.75" customHeight="1" x14ac:dyDescent="0.25">
      <c r="A59" s="19"/>
      <c r="B59" s="20">
        <f>DATE(2024,8,1)</f>
        <v>45505</v>
      </c>
      <c r="C59" s="21">
        <v>184933</v>
      </c>
      <c r="D59" s="21">
        <v>213943</v>
      </c>
      <c r="E59" s="22">
        <f>(+C59-D59)/D59</f>
        <v>-0.13559686458542697</v>
      </c>
      <c r="F59" s="21">
        <f>+C59-83211</f>
        <v>101722</v>
      </c>
      <c r="G59" s="21">
        <f>+D59-98836</f>
        <v>115107</v>
      </c>
      <c r="H59" s="22">
        <f>(+F59-G59)/G59</f>
        <v>-0.11628311049718958</v>
      </c>
      <c r="I59" s="23">
        <f>K59/C59</f>
        <v>62.824811526336561</v>
      </c>
      <c r="J59" s="23">
        <f>K59/F59</f>
        <v>114.21699209610506</v>
      </c>
      <c r="K59" s="21">
        <v>11618380.869999999</v>
      </c>
      <c r="L59" s="21">
        <v>13066477.560000001</v>
      </c>
      <c r="M59" s="24">
        <f>(+K59-L59)/L59</f>
        <v>-0.11082533018944711</v>
      </c>
      <c r="N59" s="10"/>
      <c r="R59" s="2"/>
    </row>
    <row r="60" spans="1:18" ht="15.75" customHeight="1" x14ac:dyDescent="0.25">
      <c r="A60" s="19"/>
      <c r="B60" s="20">
        <f>DATE(2024,9,1)</f>
        <v>45536</v>
      </c>
      <c r="C60" s="21">
        <v>169283</v>
      </c>
      <c r="D60" s="21">
        <v>210806</v>
      </c>
      <c r="E60" s="22">
        <f>(+C60-D60)/D60</f>
        <v>-0.19697257193818013</v>
      </c>
      <c r="F60" s="21">
        <f>+C60-78026</f>
        <v>91257</v>
      </c>
      <c r="G60" s="21">
        <f>+D60-94978</f>
        <v>115828</v>
      </c>
      <c r="H60" s="22">
        <f>(+F60-G60)/G60</f>
        <v>-0.21213350830541838</v>
      </c>
      <c r="I60" s="23">
        <f>K60/C60</f>
        <v>62.522470301211577</v>
      </c>
      <c r="J60" s="23">
        <f>K60/F60</f>
        <v>115.98004909212443</v>
      </c>
      <c r="K60" s="21">
        <v>10583991.34</v>
      </c>
      <c r="L60" s="21">
        <v>13635873.52</v>
      </c>
      <c r="M60" s="24">
        <f>(+K60-L60)/L60</f>
        <v>-0.22381273744756763</v>
      </c>
      <c r="N60" s="10"/>
      <c r="R60" s="2"/>
    </row>
    <row r="61" spans="1:18" ht="15.75" customHeight="1" x14ac:dyDescent="0.25">
      <c r="A61" s="19"/>
      <c r="B61" s="20">
        <f>DATE(2024,10,1)</f>
        <v>45566</v>
      </c>
      <c r="C61" s="21">
        <v>170885</v>
      </c>
      <c r="D61" s="21">
        <v>192200</v>
      </c>
      <c r="E61" s="22">
        <f>(+C61-D61)/D61</f>
        <v>-0.11090010405827264</v>
      </c>
      <c r="F61" s="21">
        <f>+C61-79112</f>
        <v>91773</v>
      </c>
      <c r="G61" s="21">
        <f>+D61-87717</f>
        <v>104483</v>
      </c>
      <c r="H61" s="22">
        <f>(+F61-G61)/G61</f>
        <v>-0.12164658365475724</v>
      </c>
      <c r="I61" s="23">
        <f>K61/C61</f>
        <v>61.513282909559059</v>
      </c>
      <c r="J61" s="23">
        <f>K61/F61</f>
        <v>114.54019537336688</v>
      </c>
      <c r="K61" s="21">
        <v>10511697.35</v>
      </c>
      <c r="L61" s="21">
        <v>11575087.18</v>
      </c>
      <c r="M61" s="24">
        <f>(+K61-L61)/L61</f>
        <v>-9.1868839816375364E-2</v>
      </c>
      <c r="N61" s="10"/>
      <c r="R61" s="2"/>
    </row>
    <row r="62" spans="1:18" ht="15.75" customHeight="1" thickBot="1" x14ac:dyDescent="0.3">
      <c r="A62" s="19"/>
      <c r="B62" s="44"/>
      <c r="C62" s="21"/>
      <c r="D62" s="21"/>
      <c r="E62" s="22"/>
      <c r="F62" s="21"/>
      <c r="G62" s="21"/>
      <c r="H62" s="22"/>
      <c r="I62" s="23"/>
      <c r="J62" s="23"/>
      <c r="K62" s="21"/>
      <c r="L62" s="21"/>
      <c r="M62" s="24"/>
      <c r="N62" s="10"/>
      <c r="R62" s="2"/>
    </row>
    <row r="63" spans="1:18" ht="17.25" thickTop="1" thickBot="1" x14ac:dyDescent="0.3">
      <c r="A63" s="38" t="s">
        <v>14</v>
      </c>
      <c r="B63" s="39"/>
      <c r="C63" s="40">
        <f>SUM(C58:C62)</f>
        <v>704633</v>
      </c>
      <c r="D63" s="40">
        <f>SUM(D58:D62)</f>
        <v>844904</v>
      </c>
      <c r="E63" s="279">
        <f>(+C63-D63)/D63</f>
        <v>-0.16602004488083855</v>
      </c>
      <c r="F63" s="40">
        <f>SUM(F58:F62)</f>
        <v>383582</v>
      </c>
      <c r="G63" s="40">
        <f>SUM(G58:G62)</f>
        <v>458187</v>
      </c>
      <c r="H63" s="41">
        <f>(+F63-G63)/G63</f>
        <v>-0.16282653152533791</v>
      </c>
      <c r="I63" s="42">
        <f>K63/C63</f>
        <v>63.373680284630439</v>
      </c>
      <c r="J63" s="42">
        <f>K63/F63</f>
        <v>116.41627203570553</v>
      </c>
      <c r="K63" s="40">
        <f>SUM(K58:K62)</f>
        <v>44655186.460000001</v>
      </c>
      <c r="L63" s="40">
        <f>SUM(L58:L62)</f>
        <v>52311998.729999997</v>
      </c>
      <c r="M63" s="43">
        <f>(+K63-L63)/L63</f>
        <v>-0.14636818427679291</v>
      </c>
      <c r="N63" s="10"/>
      <c r="R63" s="2"/>
    </row>
    <row r="64" spans="1:18" ht="15.75" customHeight="1" thickTop="1" x14ac:dyDescent="0.2">
      <c r="A64" s="53"/>
      <c r="B64" s="54"/>
      <c r="C64" s="54"/>
      <c r="D64" s="54"/>
      <c r="E64" s="55"/>
      <c r="F64" s="54"/>
      <c r="G64" s="54"/>
      <c r="H64" s="55"/>
      <c r="I64" s="54"/>
      <c r="J64" s="54"/>
      <c r="K64" s="195"/>
      <c r="L64" s="195"/>
      <c r="M64" s="56"/>
      <c r="N64" s="10"/>
      <c r="R64" s="2"/>
    </row>
    <row r="65" spans="1:18" ht="15.75" customHeight="1" x14ac:dyDescent="0.25">
      <c r="A65" s="19" t="s">
        <v>16</v>
      </c>
      <c r="B65" s="20">
        <f>DATE(2024,7,1)</f>
        <v>45474</v>
      </c>
      <c r="C65" s="21">
        <v>241250</v>
      </c>
      <c r="D65" s="21">
        <v>262088</v>
      </c>
      <c r="E65" s="22">
        <f>(+C65-D65)/D65</f>
        <v>-7.950764628674338E-2</v>
      </c>
      <c r="F65" s="21">
        <f>+C65-122029</f>
        <v>119221</v>
      </c>
      <c r="G65" s="21">
        <f>+D65-132418</f>
        <v>129670</v>
      </c>
      <c r="H65" s="22">
        <f>(+F65-G65)/G65</f>
        <v>-8.0581476054600143E-2</v>
      </c>
      <c r="I65" s="23">
        <f>K65/C65</f>
        <v>69.777809906735754</v>
      </c>
      <c r="J65" s="23">
        <f>K65/F65</f>
        <v>141.19908942216557</v>
      </c>
      <c r="K65" s="21">
        <v>16833896.640000001</v>
      </c>
      <c r="L65" s="21">
        <v>17639942.010000002</v>
      </c>
      <c r="M65" s="24">
        <f>(+K65-L65)/L65</f>
        <v>-4.5694332189020671E-2</v>
      </c>
      <c r="N65" s="10"/>
      <c r="R65" s="2"/>
    </row>
    <row r="66" spans="1:18" ht="15.75" customHeight="1" x14ac:dyDescent="0.25">
      <c r="A66" s="19"/>
      <c r="B66" s="20">
        <f>DATE(2024,8,1)</f>
        <v>45505</v>
      </c>
      <c r="C66" s="21">
        <v>252387</v>
      </c>
      <c r="D66" s="21">
        <v>239223</v>
      </c>
      <c r="E66" s="22">
        <f>(+C66-D66)/D66</f>
        <v>5.5028153647433568E-2</v>
      </c>
      <c r="F66" s="21">
        <f>+C66-128448</f>
        <v>123939</v>
      </c>
      <c r="G66" s="21">
        <f>+D66-117748</f>
        <v>121475</v>
      </c>
      <c r="H66" s="22">
        <f>(+F66-G66)/G66</f>
        <v>2.0284009055361187E-2</v>
      </c>
      <c r="I66" s="23">
        <f>K66/C66</f>
        <v>70.284079132443424</v>
      </c>
      <c r="J66" s="23">
        <f>K66/F66</f>
        <v>143.12514930732053</v>
      </c>
      <c r="K66" s="21">
        <v>17738787.879999999</v>
      </c>
      <c r="L66" s="21">
        <v>16340915.630000001</v>
      </c>
      <c r="M66" s="24">
        <f>(+K66-L66)/L66</f>
        <v>8.5544303737403127E-2</v>
      </c>
      <c r="N66" s="10"/>
      <c r="R66" s="2"/>
    </row>
    <row r="67" spans="1:18" ht="15.75" customHeight="1" x14ac:dyDescent="0.25">
      <c r="A67" s="19"/>
      <c r="B67" s="20">
        <f>DATE(2024,9,1)</f>
        <v>45536</v>
      </c>
      <c r="C67" s="21">
        <v>226206</v>
      </c>
      <c r="D67" s="21">
        <v>248313</v>
      </c>
      <c r="E67" s="22">
        <f>(+C67-D67)/D67</f>
        <v>-8.9028766113735489E-2</v>
      </c>
      <c r="F67" s="21">
        <f>+C67-113686</f>
        <v>112520</v>
      </c>
      <c r="G67" s="21">
        <f>+D67-122761</f>
        <v>125552</v>
      </c>
      <c r="H67" s="22">
        <f>(+F67-G67)/G67</f>
        <v>-0.10379762966738881</v>
      </c>
      <c r="I67" s="23">
        <f>K67/C67</f>
        <v>72.862153037496796</v>
      </c>
      <c r="J67" s="23">
        <f>K67/F67</f>
        <v>146.47934758265197</v>
      </c>
      <c r="K67" s="21">
        <v>16481856.189999999</v>
      </c>
      <c r="L67" s="21">
        <v>16856797.32</v>
      </c>
      <c r="M67" s="24">
        <f>(+K67-L67)/L67</f>
        <v>-2.2242726354379683E-2</v>
      </c>
      <c r="N67" s="10"/>
      <c r="R67" s="2"/>
    </row>
    <row r="68" spans="1:18" ht="15.75" customHeight="1" x14ac:dyDescent="0.25">
      <c r="A68" s="19"/>
      <c r="B68" s="20">
        <f>DATE(2024,10,1)</f>
        <v>45566</v>
      </c>
      <c r="C68" s="21">
        <v>225125</v>
      </c>
      <c r="D68" s="21">
        <v>227962</v>
      </c>
      <c r="E68" s="22">
        <f>(+C68-D68)/D68</f>
        <v>-1.2445056632245726E-2</v>
      </c>
      <c r="F68" s="21">
        <f>+C68-114268</f>
        <v>110857</v>
      </c>
      <c r="G68" s="21">
        <f>+D68-111422</f>
        <v>116540</v>
      </c>
      <c r="H68" s="22">
        <f>(+F68-G68)/G68</f>
        <v>-4.8764372747554491E-2</v>
      </c>
      <c r="I68" s="23">
        <f>K68/C68</f>
        <v>68.096369350360916</v>
      </c>
      <c r="J68" s="23">
        <f>K68/F68</f>
        <v>138.28802105415085</v>
      </c>
      <c r="K68" s="21">
        <v>15330195.15</v>
      </c>
      <c r="L68" s="21">
        <v>15932586.210000001</v>
      </c>
      <c r="M68" s="24">
        <f>(+K68-L68)/L68</f>
        <v>-3.7808743167001543E-2</v>
      </c>
      <c r="N68" s="10"/>
      <c r="R68" s="2"/>
    </row>
    <row r="69" spans="1:18" ht="15.75" customHeight="1" thickBot="1" x14ac:dyDescent="0.3">
      <c r="A69" s="19"/>
      <c r="B69" s="44"/>
      <c r="C69" s="21"/>
      <c r="D69" s="21"/>
      <c r="E69" s="22"/>
      <c r="F69" s="21"/>
      <c r="G69" s="21"/>
      <c r="H69" s="22"/>
      <c r="I69" s="23"/>
      <c r="J69" s="23"/>
      <c r="K69" s="21"/>
      <c r="L69" s="21"/>
      <c r="M69" s="24"/>
      <c r="N69" s="10"/>
      <c r="R69" s="2"/>
    </row>
    <row r="70" spans="1:18" ht="17.25" thickTop="1" thickBot="1" x14ac:dyDescent="0.3">
      <c r="A70" s="38" t="s">
        <v>14</v>
      </c>
      <c r="B70" s="39"/>
      <c r="C70" s="40">
        <f>SUM(C65:C69)</f>
        <v>944968</v>
      </c>
      <c r="D70" s="40">
        <f>SUM(D65:D69)</f>
        <v>977586</v>
      </c>
      <c r="E70" s="279">
        <f>(+C70-D70)/D70</f>
        <v>-3.33658624407469E-2</v>
      </c>
      <c r="F70" s="40">
        <f>SUM(F65:F69)</f>
        <v>466537</v>
      </c>
      <c r="G70" s="40">
        <f>SUM(G65:G69)</f>
        <v>493237</v>
      </c>
      <c r="H70" s="41">
        <f>(+F70-G70)/G70</f>
        <v>-5.4132192029389521E-2</v>
      </c>
      <c r="I70" s="42">
        <f>K70/C70</f>
        <v>70.250776597726059</v>
      </c>
      <c r="J70" s="42">
        <f>K70/F70</f>
        <v>142.2925424135706</v>
      </c>
      <c r="K70" s="40">
        <f>SUM(K65:K69)</f>
        <v>66384735.859999992</v>
      </c>
      <c r="L70" s="40">
        <f>SUM(L65:L69)</f>
        <v>66770241.170000002</v>
      </c>
      <c r="M70" s="43">
        <f>(+K70-L70)/L70</f>
        <v>-5.7736096686920174E-3</v>
      </c>
      <c r="N70" s="10"/>
      <c r="R70" s="2"/>
    </row>
    <row r="71" spans="1:18" ht="15.75" customHeight="1" thickTop="1" x14ac:dyDescent="0.2">
      <c r="A71" s="53"/>
      <c r="B71" s="54"/>
      <c r="C71" s="54"/>
      <c r="D71" s="54"/>
      <c r="E71" s="55"/>
      <c r="F71" s="54"/>
      <c r="G71" s="54"/>
      <c r="H71" s="55"/>
      <c r="I71" s="54"/>
      <c r="J71" s="54"/>
      <c r="K71" s="195"/>
      <c r="L71" s="195"/>
      <c r="M71" s="56"/>
      <c r="N71" s="10"/>
      <c r="R71" s="2"/>
    </row>
    <row r="72" spans="1:18" ht="15.75" customHeight="1" x14ac:dyDescent="0.25">
      <c r="A72" s="19" t="s">
        <v>53</v>
      </c>
      <c r="B72" s="20">
        <f>DATE(2024,7,1)</f>
        <v>45474</v>
      </c>
      <c r="C72" s="21">
        <v>331492</v>
      </c>
      <c r="D72" s="21">
        <v>372664</v>
      </c>
      <c r="E72" s="22">
        <f>(+C72-D72)/D72</f>
        <v>-0.11048021810531738</v>
      </c>
      <c r="F72" s="21">
        <f>+C72-154270</f>
        <v>177222</v>
      </c>
      <c r="G72" s="21">
        <f>+D72-175639</f>
        <v>197025</v>
      </c>
      <c r="H72" s="22">
        <f>(+F72-G72)/G72</f>
        <v>-0.10051008755234107</v>
      </c>
      <c r="I72" s="23">
        <f>K72/C72</f>
        <v>62.375405318982054</v>
      </c>
      <c r="J72" s="23">
        <f>K72/F72</f>
        <v>116.67257936373588</v>
      </c>
      <c r="K72" s="21">
        <v>20676947.859999999</v>
      </c>
      <c r="L72" s="21">
        <v>22235232.609999999</v>
      </c>
      <c r="M72" s="24">
        <f>(+K72-L72)/L72</f>
        <v>-7.0081783147129401E-2</v>
      </c>
      <c r="N72" s="10"/>
      <c r="R72" s="2"/>
    </row>
    <row r="73" spans="1:18" ht="15.75" customHeight="1" x14ac:dyDescent="0.25">
      <c r="A73" s="19"/>
      <c r="B73" s="20">
        <f>DATE(2024,8,1)</f>
        <v>45505</v>
      </c>
      <c r="C73" s="21">
        <v>357343</v>
      </c>
      <c r="D73" s="21">
        <v>342645</v>
      </c>
      <c r="E73" s="22">
        <f>(+C73-D73)/D73</f>
        <v>4.2895708386230649E-2</v>
      </c>
      <c r="F73" s="21">
        <f>+C73-161766</f>
        <v>195577</v>
      </c>
      <c r="G73" s="21">
        <f>+D73-159996</f>
        <v>182649</v>
      </c>
      <c r="H73" s="22">
        <f>(+F73-G73)/G73</f>
        <v>7.0780568193639162E-2</v>
      </c>
      <c r="I73" s="23">
        <f>K73/C73</f>
        <v>60.582799131366784</v>
      </c>
      <c r="J73" s="23">
        <f>K73/F73</f>
        <v>110.69215291164095</v>
      </c>
      <c r="K73" s="21">
        <v>21648839.190000001</v>
      </c>
      <c r="L73" s="21">
        <v>20613157.399999999</v>
      </c>
      <c r="M73" s="24">
        <f>(+K73-L73)/L73</f>
        <v>5.0243723943038582E-2</v>
      </c>
      <c r="N73" s="10"/>
      <c r="R73" s="2"/>
    </row>
    <row r="74" spans="1:18" ht="15.75" customHeight="1" x14ac:dyDescent="0.25">
      <c r="A74" s="19"/>
      <c r="B74" s="20">
        <f>DATE(2024,9,1)</f>
        <v>45536</v>
      </c>
      <c r="C74" s="21">
        <v>320719</v>
      </c>
      <c r="D74" s="21">
        <v>340628</v>
      </c>
      <c r="E74" s="22">
        <f>(+C74-D74)/D74</f>
        <v>-5.8447925596251629E-2</v>
      </c>
      <c r="F74" s="21">
        <f>+C74-145865</f>
        <v>174854</v>
      </c>
      <c r="G74" s="21">
        <f>+D74-161145</f>
        <v>179483</v>
      </c>
      <c r="H74" s="22">
        <f>(+F74-G74)/G74</f>
        <v>-2.5790743413025188E-2</v>
      </c>
      <c r="I74" s="23">
        <f>K74/C74</f>
        <v>63.666251329045053</v>
      </c>
      <c r="J74" s="23">
        <f>K74/F74</f>
        <v>116.77729111144156</v>
      </c>
      <c r="K74" s="21">
        <v>20418976.460000001</v>
      </c>
      <c r="L74" s="21">
        <v>21539856.850000001</v>
      </c>
      <c r="M74" s="24">
        <f>(+K74-L74)/L74</f>
        <v>-5.2037504139680509E-2</v>
      </c>
      <c r="N74" s="10"/>
      <c r="R74" s="2"/>
    </row>
    <row r="75" spans="1:18" ht="15.75" customHeight="1" x14ac:dyDescent="0.25">
      <c r="A75" s="19"/>
      <c r="B75" s="20">
        <f>DATE(2024,10,1)</f>
        <v>45566</v>
      </c>
      <c r="C75" s="21">
        <v>327250</v>
      </c>
      <c r="D75" s="21">
        <v>328436</v>
      </c>
      <c r="E75" s="22">
        <f>(+C75-D75)/D75</f>
        <v>-3.6110535994836133E-3</v>
      </c>
      <c r="F75" s="21">
        <f>+C75-150772</f>
        <v>176478</v>
      </c>
      <c r="G75" s="21">
        <f>+D75-154947</f>
        <v>173489</v>
      </c>
      <c r="H75" s="22">
        <f>(+F75-G75)/G75</f>
        <v>1.7228758019240412E-2</v>
      </c>
      <c r="I75" s="23">
        <f>K75/C75</f>
        <v>65.447035874713521</v>
      </c>
      <c r="J75" s="23">
        <f>K75/F75</f>
        <v>121.36097694896813</v>
      </c>
      <c r="K75" s="21">
        <v>21417542.489999998</v>
      </c>
      <c r="L75" s="21">
        <v>19498675.699999999</v>
      </c>
      <c r="M75" s="24">
        <f>(+K75-L75)/L75</f>
        <v>9.841010843623596E-2</v>
      </c>
      <c r="N75" s="10"/>
      <c r="R75" s="2"/>
    </row>
    <row r="76" spans="1:18" ht="15.75" customHeight="1" thickBot="1" x14ac:dyDescent="0.3">
      <c r="A76" s="19"/>
      <c r="B76" s="44"/>
      <c r="C76" s="21"/>
      <c r="D76" s="21"/>
      <c r="E76" s="22"/>
      <c r="F76" s="21"/>
      <c r="G76" s="21"/>
      <c r="H76" s="22"/>
      <c r="I76" s="23"/>
      <c r="J76" s="23"/>
      <c r="K76" s="21"/>
      <c r="L76" s="21"/>
      <c r="M76" s="24"/>
      <c r="N76" s="10"/>
      <c r="R76" s="2"/>
    </row>
    <row r="77" spans="1:18" ht="17.25" thickTop="1" thickBot="1" x14ac:dyDescent="0.3">
      <c r="A77" s="38" t="s">
        <v>14</v>
      </c>
      <c r="B77" s="39"/>
      <c r="C77" s="40">
        <f>SUM(C72:C76)</f>
        <v>1336804</v>
      </c>
      <c r="D77" s="40">
        <f>SUM(D72:D76)</f>
        <v>1384373</v>
      </c>
      <c r="E77" s="279">
        <f>(+C77-D77)/D77</f>
        <v>-3.4361404043563401E-2</v>
      </c>
      <c r="F77" s="40">
        <f>SUM(F72:F76)</f>
        <v>724131</v>
      </c>
      <c r="G77" s="40">
        <f>SUM(G72:G76)</f>
        <v>732646</v>
      </c>
      <c r="H77" s="41">
        <f>(+F77-G77)/G77</f>
        <v>-1.1622256860748574E-2</v>
      </c>
      <c r="I77" s="42">
        <f>K77/C77</f>
        <v>62.957850215888044</v>
      </c>
      <c r="J77" s="42">
        <f>K77/F77</f>
        <v>116.22524929881472</v>
      </c>
      <c r="K77" s="40">
        <f>SUM(K72:K76)</f>
        <v>84162306</v>
      </c>
      <c r="L77" s="40">
        <f>SUM(L72:L76)</f>
        <v>83886922.560000002</v>
      </c>
      <c r="M77" s="43">
        <f>(+K77-L77)/L77</f>
        <v>3.2827934509461832E-3</v>
      </c>
      <c r="N77" s="10"/>
      <c r="R77" s="2"/>
    </row>
    <row r="78" spans="1:18" ht="15.75" customHeight="1" thickTop="1" x14ac:dyDescent="0.2">
      <c r="A78" s="57"/>
      <c r="B78" s="58"/>
      <c r="C78" s="58"/>
      <c r="D78" s="58"/>
      <c r="E78" s="59"/>
      <c r="F78" s="58"/>
      <c r="G78" s="58"/>
      <c r="H78" s="59"/>
      <c r="I78" s="58"/>
      <c r="J78" s="58"/>
      <c r="K78" s="196"/>
      <c r="L78" s="196"/>
      <c r="M78" s="60"/>
      <c r="N78" s="10"/>
      <c r="R78" s="2"/>
    </row>
    <row r="79" spans="1:18" ht="15" customHeight="1" x14ac:dyDescent="0.25">
      <c r="A79" s="19" t="s">
        <v>54</v>
      </c>
      <c r="B79" s="20">
        <f>DATE(2024,7,1)</f>
        <v>45474</v>
      </c>
      <c r="C79" s="21">
        <v>39024</v>
      </c>
      <c r="D79" s="21">
        <v>43122</v>
      </c>
      <c r="E79" s="22">
        <f>(+C79-D79)/D79</f>
        <v>-9.5032697926812307E-2</v>
      </c>
      <c r="F79" s="21">
        <f>+C79-19863</f>
        <v>19161</v>
      </c>
      <c r="G79" s="21">
        <f>+D79-21874</f>
        <v>21248</v>
      </c>
      <c r="H79" s="22">
        <f>(+F79-G79)/G79</f>
        <v>-9.8221009036144571E-2</v>
      </c>
      <c r="I79" s="23">
        <f>K79/C79</f>
        <v>72.511592097170976</v>
      </c>
      <c r="J79" s="23">
        <f>K79/F79</f>
        <v>147.67978550180055</v>
      </c>
      <c r="K79" s="21">
        <v>2829692.37</v>
      </c>
      <c r="L79" s="21">
        <v>3178378.98</v>
      </c>
      <c r="M79" s="24">
        <f>(+K79-L79)/L79</f>
        <v>-0.10970580040772855</v>
      </c>
      <c r="N79" s="10"/>
      <c r="R79" s="2"/>
    </row>
    <row r="80" spans="1:18" ht="15" customHeight="1" x14ac:dyDescent="0.25">
      <c r="A80" s="19"/>
      <c r="B80" s="20">
        <f>DATE(2024,8,1)</f>
        <v>45505</v>
      </c>
      <c r="C80" s="21">
        <v>37405</v>
      </c>
      <c r="D80" s="21">
        <v>38794</v>
      </c>
      <c r="E80" s="22">
        <f>(+C80-D80)/D80</f>
        <v>-3.5804505851420323E-2</v>
      </c>
      <c r="F80" s="21">
        <f>+C80-18960</f>
        <v>18445</v>
      </c>
      <c r="G80" s="21">
        <f>+D80-19691</f>
        <v>19103</v>
      </c>
      <c r="H80" s="22">
        <f>(+F80-G80)/G80</f>
        <v>-3.4444851593990473E-2</v>
      </c>
      <c r="I80" s="23">
        <f>K80/C80</f>
        <v>72.677812591899482</v>
      </c>
      <c r="J80" s="23">
        <f>K80/F80</f>
        <v>147.38485117918137</v>
      </c>
      <c r="K80" s="21">
        <v>2718513.58</v>
      </c>
      <c r="L80" s="21">
        <v>2873018.73</v>
      </c>
      <c r="M80" s="24">
        <f>(+K80-L80)/L80</f>
        <v>-5.3777982157464009E-2</v>
      </c>
      <c r="N80" s="10"/>
      <c r="R80" s="2"/>
    </row>
    <row r="81" spans="1:18" ht="15" customHeight="1" x14ac:dyDescent="0.25">
      <c r="A81" s="19"/>
      <c r="B81" s="20">
        <f>DATE(2024,9,1)</f>
        <v>45536</v>
      </c>
      <c r="C81" s="21">
        <v>33865</v>
      </c>
      <c r="D81" s="21">
        <v>39024</v>
      </c>
      <c r="E81" s="22">
        <f>(+C81-D81)/D81</f>
        <v>-0.13220069700697007</v>
      </c>
      <c r="F81" s="21">
        <f>+C81-17304</f>
        <v>16561</v>
      </c>
      <c r="G81" s="21">
        <f>+D81-19292</f>
        <v>19732</v>
      </c>
      <c r="H81" s="22">
        <f>(+F81-G81)/G81</f>
        <v>-0.16070342590715589</v>
      </c>
      <c r="I81" s="23">
        <f>K81/C81</f>
        <v>72.919074856046066</v>
      </c>
      <c r="J81" s="23">
        <f>K81/F81</f>
        <v>149.10962321115875</v>
      </c>
      <c r="K81" s="21">
        <v>2469404.4700000002</v>
      </c>
      <c r="L81" s="21">
        <v>2876153.41</v>
      </c>
      <c r="M81" s="24">
        <f>(+K81-L81)/L81</f>
        <v>-0.14142115597373506</v>
      </c>
      <c r="N81" s="10"/>
      <c r="R81" s="2"/>
    </row>
    <row r="82" spans="1:18" ht="15" customHeight="1" x14ac:dyDescent="0.25">
      <c r="A82" s="19"/>
      <c r="B82" s="20">
        <f>DATE(2024,10,1)</f>
        <v>45566</v>
      </c>
      <c r="C82" s="21">
        <v>33869</v>
      </c>
      <c r="D82" s="21">
        <v>39576</v>
      </c>
      <c r="E82" s="22">
        <f>(+C82-D82)/D82</f>
        <v>-0.14420355771174448</v>
      </c>
      <c r="F82" s="21">
        <f>+C82-17511</f>
        <v>16358</v>
      </c>
      <c r="G82" s="21">
        <f>+D82-20256</f>
        <v>19320</v>
      </c>
      <c r="H82" s="22">
        <f>(+F82-G82)/G82</f>
        <v>-0.15331262939958593</v>
      </c>
      <c r="I82" s="23">
        <f>K82/C82</f>
        <v>73.082074463373587</v>
      </c>
      <c r="J82" s="23">
        <f>K82/F82</f>
        <v>151.31536740432816</v>
      </c>
      <c r="K82" s="21">
        <v>2475216.7799999998</v>
      </c>
      <c r="L82" s="21">
        <v>3090058.03</v>
      </c>
      <c r="M82" s="24">
        <f>(+K82-L82)/L82</f>
        <v>-0.19897401408995546</v>
      </c>
      <c r="N82" s="10"/>
      <c r="R82" s="2"/>
    </row>
    <row r="83" spans="1:18" ht="15.75" thickBot="1" x14ac:dyDescent="0.25">
      <c r="A83" s="37"/>
      <c r="B83" s="20"/>
      <c r="C83" s="21"/>
      <c r="D83" s="21"/>
      <c r="E83" s="22"/>
      <c r="F83" s="21"/>
      <c r="G83" s="21"/>
      <c r="H83" s="22"/>
      <c r="I83" s="23"/>
      <c r="J83" s="23"/>
      <c r="K83" s="21"/>
      <c r="L83" s="21"/>
      <c r="M83" s="24"/>
      <c r="N83" s="10"/>
      <c r="R83" s="2"/>
    </row>
    <row r="84" spans="1:18" ht="17.25" thickTop="1" thickBot="1" x14ac:dyDescent="0.3">
      <c r="A84" s="61" t="s">
        <v>14</v>
      </c>
      <c r="B84" s="51"/>
      <c r="C84" s="47">
        <f>SUM(C79:C83)</f>
        <v>144163</v>
      </c>
      <c r="D84" s="47">
        <f>SUM(D79:D83)</f>
        <v>160516</v>
      </c>
      <c r="E84" s="279">
        <f>(+C84-D84)/D84</f>
        <v>-0.10187769443544568</v>
      </c>
      <c r="F84" s="47">
        <f>SUM(F79:F83)</f>
        <v>70525</v>
      </c>
      <c r="G84" s="47">
        <f>SUM(G79:G83)</f>
        <v>79403</v>
      </c>
      <c r="H84" s="41">
        <f>(+F84-G84)/G84</f>
        <v>-0.11180937747944032</v>
      </c>
      <c r="I84" s="49">
        <f>K84/C84</f>
        <v>72.784467581834448</v>
      </c>
      <c r="J84" s="49">
        <f>K84/F84</f>
        <v>148.78166891173342</v>
      </c>
      <c r="K84" s="47">
        <f>SUM(K79:K83)</f>
        <v>10492827.199999999</v>
      </c>
      <c r="L84" s="47">
        <f>SUM(L79:L83)</f>
        <v>12017609.15</v>
      </c>
      <c r="M84" s="43">
        <f>(+K84-L84)/L84</f>
        <v>-0.1268789765891164</v>
      </c>
      <c r="N84" s="10"/>
      <c r="R84" s="2"/>
    </row>
    <row r="85" spans="1:18" ht="15.75" customHeight="1" thickTop="1" x14ac:dyDescent="0.25">
      <c r="A85" s="19"/>
      <c r="B85" s="44"/>
      <c r="C85" s="21"/>
      <c r="D85" s="21"/>
      <c r="E85" s="22"/>
      <c r="F85" s="21"/>
      <c r="G85" s="21"/>
      <c r="H85" s="22"/>
      <c r="I85" s="23"/>
      <c r="J85" s="23"/>
      <c r="K85" s="21"/>
      <c r="L85" s="21"/>
      <c r="M85" s="24"/>
      <c r="N85" s="10"/>
      <c r="R85" s="2"/>
    </row>
    <row r="86" spans="1:18" ht="15.75" x14ac:dyDescent="0.25">
      <c r="A86" s="19" t="s">
        <v>17</v>
      </c>
      <c r="B86" s="20">
        <f>DATE(2024,7,1)</f>
        <v>45474</v>
      </c>
      <c r="C86" s="21">
        <v>318851</v>
      </c>
      <c r="D86" s="21">
        <v>341358</v>
      </c>
      <c r="E86" s="22">
        <f>(+C86-D86)/D86</f>
        <v>-6.5933711821606636E-2</v>
      </c>
      <c r="F86" s="21">
        <f>+C86-161525</f>
        <v>157326</v>
      </c>
      <c r="G86" s="21">
        <f>+D86-174275</f>
        <v>167083</v>
      </c>
      <c r="H86" s="22">
        <f>(+F86-G86)/G86</f>
        <v>-5.8396126476062793E-2</v>
      </c>
      <c r="I86" s="23">
        <f>K86/C86</f>
        <v>75.546108025378629</v>
      </c>
      <c r="J86" s="23">
        <f>K86/F86</f>
        <v>153.10852681692791</v>
      </c>
      <c r="K86" s="21">
        <v>24087952.09</v>
      </c>
      <c r="L86" s="21">
        <v>25671094.809999999</v>
      </c>
      <c r="M86" s="24">
        <f>(+K86-L86)/L86</f>
        <v>-6.1670245531690232E-2</v>
      </c>
      <c r="N86" s="10"/>
      <c r="R86" s="2"/>
    </row>
    <row r="87" spans="1:18" ht="15.75" x14ac:dyDescent="0.25">
      <c r="A87" s="19"/>
      <c r="B87" s="20">
        <f>DATE(2024,8,1)</f>
        <v>45505</v>
      </c>
      <c r="C87" s="21">
        <v>333739</v>
      </c>
      <c r="D87" s="21">
        <v>326253</v>
      </c>
      <c r="E87" s="22">
        <f>(+C87-D87)/D87</f>
        <v>2.2945382877705339E-2</v>
      </c>
      <c r="F87" s="21">
        <f>+C87-170693</f>
        <v>163046</v>
      </c>
      <c r="G87" s="21">
        <f>+D87-166627</f>
        <v>159626</v>
      </c>
      <c r="H87" s="22">
        <f>(+F87-G87)/G87</f>
        <v>2.1425081127134676E-2</v>
      </c>
      <c r="I87" s="23">
        <f>K87/C87</f>
        <v>76.41637737873009</v>
      </c>
      <c r="J87" s="23">
        <f>K87/F87</f>
        <v>156.41674969027147</v>
      </c>
      <c r="K87" s="21">
        <v>25503125.370000001</v>
      </c>
      <c r="L87" s="21">
        <v>23346104.670000002</v>
      </c>
      <c r="M87" s="24">
        <f>(+K87-L87)/L87</f>
        <v>9.2393173528935404E-2</v>
      </c>
      <c r="N87" s="10"/>
      <c r="R87" s="2"/>
    </row>
    <row r="88" spans="1:18" ht="15.75" x14ac:dyDescent="0.25">
      <c r="A88" s="19"/>
      <c r="B88" s="20">
        <f>DATE(2024,9,1)</f>
        <v>45536</v>
      </c>
      <c r="C88" s="21">
        <v>295322</v>
      </c>
      <c r="D88" s="21">
        <v>330805</v>
      </c>
      <c r="E88" s="22">
        <f>(+C88-D88)/D88</f>
        <v>-0.10726258672027328</v>
      </c>
      <c r="F88" s="21">
        <f>+C88-149037</f>
        <v>146285</v>
      </c>
      <c r="G88" s="21">
        <f>+D88-169998</f>
        <v>160807</v>
      </c>
      <c r="H88" s="22">
        <f>(+F88-G88)/G88</f>
        <v>-9.0307013998146848E-2</v>
      </c>
      <c r="I88" s="23">
        <f>K88/C88</f>
        <v>79.999789043823355</v>
      </c>
      <c r="J88" s="23">
        <f>K88/F88</f>
        <v>161.50458146768295</v>
      </c>
      <c r="K88" s="21">
        <v>23625697.699999999</v>
      </c>
      <c r="L88" s="21">
        <v>24603845.010000002</v>
      </c>
      <c r="M88" s="24">
        <f>(+K88-L88)/L88</f>
        <v>-3.9755871881100031E-2</v>
      </c>
      <c r="N88" s="10"/>
      <c r="R88" s="2"/>
    </row>
    <row r="89" spans="1:18" ht="15.75" x14ac:dyDescent="0.25">
      <c r="A89" s="19"/>
      <c r="B89" s="20">
        <f>DATE(2024,10,1)</f>
        <v>45566</v>
      </c>
      <c r="C89" s="21">
        <v>292456</v>
      </c>
      <c r="D89" s="21">
        <v>303665</v>
      </c>
      <c r="E89" s="22">
        <f>(+C89-D89)/D89</f>
        <v>-3.6912387005417151E-2</v>
      </c>
      <c r="F89" s="21">
        <f>+C89-147740</f>
        <v>144716</v>
      </c>
      <c r="G89" s="21">
        <f>+D89-155149</f>
        <v>148516</v>
      </c>
      <c r="H89" s="22">
        <f>(+F89-G89)/G89</f>
        <v>-2.5586468797974628E-2</v>
      </c>
      <c r="I89" s="23">
        <f>K89/C89</f>
        <v>80.695007864430892</v>
      </c>
      <c r="J89" s="23">
        <f>K89/F89</f>
        <v>163.07622667845988</v>
      </c>
      <c r="K89" s="21">
        <v>23599739.219999999</v>
      </c>
      <c r="L89" s="21">
        <v>23651329.329999998</v>
      </c>
      <c r="M89" s="24">
        <f>(+K89-L89)/L89</f>
        <v>-2.1812773937641252E-3</v>
      </c>
      <c r="N89" s="10"/>
      <c r="R89" s="2"/>
    </row>
    <row r="90" spans="1:18" ht="15.75" thickBot="1" x14ac:dyDescent="0.25">
      <c r="A90" s="37"/>
      <c r="B90" s="44"/>
      <c r="C90" s="21"/>
      <c r="D90" s="21"/>
      <c r="E90" s="22"/>
      <c r="F90" s="21"/>
      <c r="G90" s="21"/>
      <c r="H90" s="22"/>
      <c r="I90" s="23"/>
      <c r="J90" s="23"/>
      <c r="K90" s="21"/>
      <c r="L90" s="21"/>
      <c r="M90" s="24"/>
      <c r="N90" s="10"/>
      <c r="R90" s="2"/>
    </row>
    <row r="91" spans="1:18" ht="17.25" thickTop="1" thickBot="1" x14ac:dyDescent="0.3">
      <c r="A91" s="38" t="s">
        <v>14</v>
      </c>
      <c r="B91" s="39"/>
      <c r="C91" s="40">
        <f>SUM(C86:C90)</f>
        <v>1240368</v>
      </c>
      <c r="D91" s="40">
        <f>SUM(D86:D90)</f>
        <v>1302081</v>
      </c>
      <c r="E91" s="279">
        <f>(+C91-D91)/D91</f>
        <v>-4.7395668933038725E-2</v>
      </c>
      <c r="F91" s="40">
        <f>SUM(F86:F90)</f>
        <v>611373</v>
      </c>
      <c r="G91" s="40">
        <f>SUM(G86:G90)</f>
        <v>636032</v>
      </c>
      <c r="H91" s="41">
        <f>(+F91-G91)/G91</f>
        <v>-3.8770061883678805E-2</v>
      </c>
      <c r="I91" s="42">
        <f>K91/C91</f>
        <v>78.054669565806279</v>
      </c>
      <c r="J91" s="42">
        <f>K91/F91</f>
        <v>158.35915943294845</v>
      </c>
      <c r="K91" s="40">
        <f>SUM(K86:K90)</f>
        <v>96816514.379999995</v>
      </c>
      <c r="L91" s="40">
        <f>SUM(L86:L90)</f>
        <v>97272373.820000008</v>
      </c>
      <c r="M91" s="43">
        <f>(+K91-L91)/L91</f>
        <v>-4.6864224866514361E-3</v>
      </c>
      <c r="N91" s="10"/>
      <c r="R91" s="2"/>
    </row>
    <row r="92" spans="1:18" ht="15.75" customHeight="1" thickTop="1" x14ac:dyDescent="0.25">
      <c r="A92" s="19"/>
      <c r="B92" s="44"/>
      <c r="C92" s="21"/>
      <c r="D92" s="21"/>
      <c r="E92" s="22"/>
      <c r="F92" s="21"/>
      <c r="G92" s="21"/>
      <c r="H92" s="22"/>
      <c r="I92" s="23"/>
      <c r="J92" s="23"/>
      <c r="K92" s="21"/>
      <c r="L92" s="21"/>
      <c r="M92" s="24"/>
      <c r="N92" s="10"/>
      <c r="R92" s="2"/>
    </row>
    <row r="93" spans="1:18" ht="15.75" x14ac:dyDescent="0.25">
      <c r="A93" s="19" t="s">
        <v>56</v>
      </c>
      <c r="B93" s="20">
        <f>DATE(2024,7,1)</f>
        <v>45474</v>
      </c>
      <c r="C93" s="21">
        <v>61692</v>
      </c>
      <c r="D93" s="21">
        <v>66323</v>
      </c>
      <c r="E93" s="22">
        <f>(+C93-D93)/D93</f>
        <v>-6.9824947604903279E-2</v>
      </c>
      <c r="F93" s="21">
        <f>+C93-26929</f>
        <v>34763</v>
      </c>
      <c r="G93" s="21">
        <f>+D93-28441</f>
        <v>37882</v>
      </c>
      <c r="H93" s="22">
        <f>(+F93-G93)/G93</f>
        <v>-8.2334618024391529E-2</v>
      </c>
      <c r="I93" s="23">
        <f>K93/C93</f>
        <v>65.173562212280359</v>
      </c>
      <c r="J93" s="23">
        <f>K93/F93</f>
        <v>115.65996605586399</v>
      </c>
      <c r="K93" s="21">
        <v>4020687.4</v>
      </c>
      <c r="L93" s="21">
        <v>3911442.67</v>
      </c>
      <c r="M93" s="24">
        <f>(+K93-L93)/L93</f>
        <v>2.7929523507499086E-2</v>
      </c>
      <c r="N93" s="10"/>
      <c r="R93" s="2"/>
    </row>
    <row r="94" spans="1:18" ht="15.75" x14ac:dyDescent="0.25">
      <c r="A94" s="19"/>
      <c r="B94" s="20">
        <f>DATE(2024,8,1)</f>
        <v>45505</v>
      </c>
      <c r="C94" s="21">
        <v>66178</v>
      </c>
      <c r="D94" s="21">
        <v>63894</v>
      </c>
      <c r="E94" s="22">
        <f>(+C94-D94)/D94</f>
        <v>3.574670548095283E-2</v>
      </c>
      <c r="F94" s="21">
        <f>+C94-28897</f>
        <v>37281</v>
      </c>
      <c r="G94" s="21">
        <f>+D94-27335</f>
        <v>36559</v>
      </c>
      <c r="H94" s="22">
        <f>(+F94-G94)/G94</f>
        <v>1.9748899039908095E-2</v>
      </c>
      <c r="I94" s="23">
        <f>K94/C94</f>
        <v>64.714443168424552</v>
      </c>
      <c r="J94" s="23">
        <f>K94/F94</f>
        <v>114.8754706150586</v>
      </c>
      <c r="K94" s="21">
        <v>4282672.42</v>
      </c>
      <c r="L94" s="21">
        <v>3862243.47</v>
      </c>
      <c r="M94" s="24">
        <f>(+K94-L94)/L94</f>
        <v>0.10885614883310288</v>
      </c>
      <c r="N94" s="10"/>
      <c r="R94" s="2"/>
    </row>
    <row r="95" spans="1:18" ht="15.75" x14ac:dyDescent="0.25">
      <c r="A95" s="19"/>
      <c r="B95" s="20">
        <f>DATE(2024,9,1)</f>
        <v>45536</v>
      </c>
      <c r="C95" s="21">
        <v>57691</v>
      </c>
      <c r="D95" s="21">
        <v>61378</v>
      </c>
      <c r="E95" s="22">
        <f>(+C95-D95)/D95</f>
        <v>-6.0070383525041543E-2</v>
      </c>
      <c r="F95" s="21">
        <f>+C95-24805</f>
        <v>32886</v>
      </c>
      <c r="G95" s="21">
        <f>+D95-26751</f>
        <v>34627</v>
      </c>
      <c r="H95" s="22">
        <f>(+F95-G95)/G95</f>
        <v>-5.0278684263724838E-2</v>
      </c>
      <c r="I95" s="23">
        <f>K95/C95</f>
        <v>61.551120105389053</v>
      </c>
      <c r="J95" s="23">
        <f>K95/F95</f>
        <v>107.97742717265706</v>
      </c>
      <c r="K95" s="21">
        <v>3550945.67</v>
      </c>
      <c r="L95" s="21">
        <v>3741315.85</v>
      </c>
      <c r="M95" s="24">
        <f>(+K95-L95)/L95</f>
        <v>-5.0883215326500746E-2</v>
      </c>
      <c r="N95" s="10"/>
      <c r="R95" s="2"/>
    </row>
    <row r="96" spans="1:18" ht="15.75" x14ac:dyDescent="0.25">
      <c r="A96" s="19"/>
      <c r="B96" s="20">
        <f>DATE(2024,10,1)</f>
        <v>45566</v>
      </c>
      <c r="C96" s="21">
        <v>57484</v>
      </c>
      <c r="D96" s="21">
        <v>57497</v>
      </c>
      <c r="E96" s="22">
        <f>(+C96-D96)/D96</f>
        <v>-2.2609875297841626E-4</v>
      </c>
      <c r="F96" s="21">
        <f>+C96-25116</f>
        <v>32368</v>
      </c>
      <c r="G96" s="21">
        <f>+D96-24805</f>
        <v>32692</v>
      </c>
      <c r="H96" s="22">
        <f>(+F96-G96)/G96</f>
        <v>-9.9106815122965864E-3</v>
      </c>
      <c r="I96" s="23">
        <f>K96/C96</f>
        <v>63.764629983995547</v>
      </c>
      <c r="J96" s="23">
        <f>K96/F96</f>
        <v>113.24289390756303</v>
      </c>
      <c r="K96" s="21">
        <v>3665445.99</v>
      </c>
      <c r="L96" s="21">
        <v>3542371.46</v>
      </c>
      <c r="M96" s="24">
        <f>(+K96-L96)/L96</f>
        <v>3.474354154829383E-2</v>
      </c>
      <c r="N96" s="10"/>
      <c r="R96" s="2"/>
    </row>
    <row r="97" spans="1:18" ht="15.75" thickBot="1" x14ac:dyDescent="0.25">
      <c r="A97" s="37"/>
      <c r="B97" s="44"/>
      <c r="C97" s="21"/>
      <c r="D97" s="21"/>
      <c r="E97" s="22"/>
      <c r="F97" s="21"/>
      <c r="G97" s="21"/>
      <c r="H97" s="22"/>
      <c r="I97" s="23"/>
      <c r="J97" s="23"/>
      <c r="K97" s="21"/>
      <c r="L97" s="21"/>
      <c r="M97" s="24"/>
      <c r="N97" s="10"/>
      <c r="R97" s="2"/>
    </row>
    <row r="98" spans="1:18" ht="17.25" thickTop="1" thickBot="1" x14ac:dyDescent="0.3">
      <c r="A98" s="25" t="s">
        <v>14</v>
      </c>
      <c r="B98" s="26"/>
      <c r="C98" s="27">
        <f>SUM(C93:C97)</f>
        <v>243045</v>
      </c>
      <c r="D98" s="27">
        <f>SUM(D93:D97)</f>
        <v>249092</v>
      </c>
      <c r="E98" s="279">
        <f>(+C98-D98)/D98</f>
        <v>-2.4276171053265461E-2</v>
      </c>
      <c r="F98" s="27">
        <f>SUM(F93:F97)</f>
        <v>137298</v>
      </c>
      <c r="G98" s="27">
        <f>SUM(G93:G97)</f>
        <v>141760</v>
      </c>
      <c r="H98" s="41">
        <f>(+F98-G98)/G98</f>
        <v>-3.1475733634311512E-2</v>
      </c>
      <c r="I98" s="42">
        <f>K98/C98</f>
        <v>63.855464955049477</v>
      </c>
      <c r="J98" s="42">
        <f>K98/F98</f>
        <v>113.03698145639413</v>
      </c>
      <c r="K98" s="27">
        <f>SUM(K93:K97)</f>
        <v>15519751.48</v>
      </c>
      <c r="L98" s="27">
        <f>SUM(L93:L97)</f>
        <v>15057373.449999999</v>
      </c>
      <c r="M98" s="43">
        <f>(+K98-L98)/L98</f>
        <v>3.070774803689293E-2</v>
      </c>
      <c r="N98" s="10"/>
      <c r="R98" s="2"/>
    </row>
    <row r="99" spans="1:18" ht="16.5" thickTop="1" thickBot="1" x14ac:dyDescent="0.25">
      <c r="A99" s="62"/>
      <c r="B99" s="33"/>
      <c r="C99" s="34"/>
      <c r="D99" s="34"/>
      <c r="E99" s="28"/>
      <c r="F99" s="34"/>
      <c r="G99" s="34"/>
      <c r="H99" s="28"/>
      <c r="I99" s="35"/>
      <c r="J99" s="35"/>
      <c r="K99" s="34"/>
      <c r="L99" s="34"/>
      <c r="M99" s="36"/>
      <c r="N99" s="10"/>
      <c r="R99" s="2"/>
    </row>
    <row r="100" spans="1:18" ht="17.25" thickTop="1" thickBot="1" x14ac:dyDescent="0.3">
      <c r="A100" s="63" t="s">
        <v>18</v>
      </c>
      <c r="B100" s="64"/>
      <c r="C100" s="27">
        <f>C98+C91+C42+C56+C63+C28+C14+C70+C77+C35+C84+C21+C49</f>
        <v>9197232</v>
      </c>
      <c r="D100" s="27">
        <f>D98+D91+D42+D56+D63+D28+D14+D70+D77+D35+D84+D21+D49</f>
        <v>9607434</v>
      </c>
      <c r="E100" s="278">
        <f>(+C100-D100)/D100</f>
        <v>-4.2696312043361419E-2</v>
      </c>
      <c r="F100" s="27">
        <f>F98+F91+F42+F56+F63+F28+F14+F70+F77+F35+F84+F21+F49</f>
        <v>4816011</v>
      </c>
      <c r="G100" s="27">
        <f>G98+G91+G42+G56+G63+G28+G14+G70+G77+G35+G84+G21+G49</f>
        <v>4961292</v>
      </c>
      <c r="H100" s="29">
        <f>(+F100-G100)/G100</f>
        <v>-2.928289647132239E-2</v>
      </c>
      <c r="I100" s="30">
        <f>K100/C100</f>
        <v>67.41605081507133</v>
      </c>
      <c r="J100" s="30">
        <f>K100/F100</f>
        <v>128.74577318656461</v>
      </c>
      <c r="K100" s="27">
        <f>K98+K91+K42+K56+K63+K28+K14+K70+K77+K35+K84+K21+K49</f>
        <v>620041059.87000012</v>
      </c>
      <c r="L100" s="27">
        <f>L98+L91+L42+L56+L63+L28+L14+L70+L77+L35+L84+L21+L49</f>
        <v>633507110.73000002</v>
      </c>
      <c r="M100" s="31">
        <f>(+K100-L100)/L100</f>
        <v>-2.1256353136246187E-2</v>
      </c>
      <c r="N100" s="10"/>
      <c r="R100" s="2"/>
    </row>
    <row r="101" spans="1:18" ht="17.25" thickTop="1" thickBot="1" x14ac:dyDescent="0.3">
      <c r="A101" s="63"/>
      <c r="B101" s="64"/>
      <c r="C101" s="27"/>
      <c r="D101" s="27"/>
      <c r="E101" s="28"/>
      <c r="F101" s="27"/>
      <c r="G101" s="27"/>
      <c r="H101" s="29"/>
      <c r="I101" s="30"/>
      <c r="J101" s="30"/>
      <c r="K101" s="27"/>
      <c r="L101" s="27"/>
      <c r="M101" s="31"/>
      <c r="N101" s="10"/>
      <c r="R101" s="2"/>
    </row>
    <row r="102" spans="1:18" ht="17.25" thickTop="1" thickBot="1" x14ac:dyDescent="0.3">
      <c r="A102" s="63" t="s">
        <v>19</v>
      </c>
      <c r="B102" s="64"/>
      <c r="C102" s="27">
        <f>+C12+C19+C26+C33+C40+C47+C54+C61+C68+C75+C82+C89+C96</f>
        <v>2190132</v>
      </c>
      <c r="D102" s="27">
        <f>+D12+D19+D26+D33+D40+D47+D54+D61+D68+D75+D82+D89+D96</f>
        <v>2257883</v>
      </c>
      <c r="E102" s="278">
        <f>(+C102-D102)/D102</f>
        <v>-3.00064263737315E-2</v>
      </c>
      <c r="F102" s="27">
        <f>+F12+F19+F26+F33+F40+F47+F54+F61+F68+F75+F82+F89+F96</f>
        <v>1146510</v>
      </c>
      <c r="G102" s="27">
        <f>+G12+G19+G26+G33+G40+G47+G54+G61+G68+G75+G82+G89+G96</f>
        <v>1170798</v>
      </c>
      <c r="H102" s="29">
        <f>(+F102-G102)/G102</f>
        <v>-2.0744825324266015E-2</v>
      </c>
      <c r="I102" s="292">
        <f>K102/C102</f>
        <v>69.150839428856358</v>
      </c>
      <c r="J102" s="30">
        <f>K102/F102</f>
        <v>132.09607091085121</v>
      </c>
      <c r="K102" s="27">
        <f>+K12+K19+K26+K33+K40+K47+K54+K61+K68+K75+K82+K89+K96</f>
        <v>151449466.26000002</v>
      </c>
      <c r="L102" s="27">
        <f>+L12+L19+L26+L33+L40+L47+L54+L61+L68+L75+L82+L89+L96</f>
        <v>150120305.82000002</v>
      </c>
      <c r="M102" s="31">
        <f>(+K102-L102)/L102</f>
        <v>8.853968373830198E-3</v>
      </c>
      <c r="N102" s="10"/>
      <c r="R102" s="2"/>
    </row>
    <row r="103" spans="1:18" ht="15.75" thickTop="1" x14ac:dyDescent="0.2">
      <c r="A103" s="65"/>
      <c r="B103" s="66"/>
      <c r="C103" s="67"/>
      <c r="D103" s="66"/>
      <c r="E103" s="66"/>
      <c r="F103" s="66"/>
      <c r="G103" s="66"/>
      <c r="H103" s="66"/>
      <c r="I103" s="66"/>
      <c r="J103" s="66"/>
      <c r="K103" s="67"/>
      <c r="L103" s="67"/>
      <c r="M103" s="66"/>
      <c r="R103" s="2"/>
    </row>
    <row r="104" spans="1:18" ht="18.75" x14ac:dyDescent="0.3">
      <c r="A104" s="263" t="s">
        <v>20</v>
      </c>
      <c r="B104" s="69"/>
      <c r="C104" s="70"/>
      <c r="D104" s="70"/>
      <c r="E104" s="70"/>
      <c r="F104" s="70"/>
      <c r="G104" s="70"/>
      <c r="H104" s="70"/>
      <c r="I104" s="70"/>
      <c r="J104" s="70"/>
      <c r="K104" s="197"/>
      <c r="L104" s="197"/>
      <c r="M104" s="70"/>
      <c r="N104" s="2"/>
      <c r="O104" s="2"/>
      <c r="P104" s="2"/>
      <c r="Q104" s="2"/>
      <c r="R104" s="2"/>
    </row>
    <row r="105" spans="1:18" ht="18" x14ac:dyDescent="0.25">
      <c r="A105" s="68"/>
      <c r="B105" s="69"/>
      <c r="C105" s="70"/>
      <c r="D105" s="70"/>
      <c r="E105" s="70"/>
      <c r="F105" s="70"/>
      <c r="G105" s="70"/>
      <c r="H105" s="70"/>
      <c r="I105" s="70"/>
      <c r="J105" s="70"/>
      <c r="K105" s="197"/>
      <c r="L105" s="197"/>
      <c r="M105" s="70"/>
      <c r="N105" s="2"/>
      <c r="O105" s="2"/>
      <c r="P105" s="2"/>
      <c r="Q105" s="2"/>
      <c r="R105" s="2"/>
    </row>
    <row r="106" spans="1:18" ht="15.75" x14ac:dyDescent="0.25">
      <c r="A106" s="71"/>
      <c r="B106" s="72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x14ac:dyDescent="0.2">
      <c r="A107" s="2"/>
      <c r="B107" s="72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72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x14ac:dyDescent="0.2">
      <c r="A109" s="2"/>
      <c r="B109" s="72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72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72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x14ac:dyDescent="0.2">
      <c r="A112" s="2"/>
      <c r="B112" s="72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x14ac:dyDescent="0.2">
      <c r="A113" s="2"/>
      <c r="B113" s="72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x14ac:dyDescent="0.2">
      <c r="A114" s="2"/>
      <c r="B114" s="72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72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3"/>
      <c r="N115" s="2"/>
      <c r="O115" s="2"/>
      <c r="P115" s="2"/>
      <c r="Q115" s="2"/>
      <c r="R115" s="2"/>
    </row>
    <row r="116" spans="1:18" x14ac:dyDescent="0.2">
      <c r="A116" s="2"/>
      <c r="B116" s="72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3"/>
      <c r="N116" s="2"/>
      <c r="O116" s="2"/>
      <c r="P116" s="2"/>
      <c r="Q116" s="2"/>
      <c r="R116" s="2"/>
    </row>
    <row r="117" spans="1:18" x14ac:dyDescent="0.2">
      <c r="A117" s="2"/>
      <c r="B117" s="69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3"/>
      <c r="N117" s="2"/>
      <c r="O117" s="2"/>
      <c r="P117" s="2"/>
      <c r="Q117" s="2"/>
      <c r="R117" s="2"/>
    </row>
    <row r="118" spans="1:18" ht="15.75" x14ac:dyDescent="0.25">
      <c r="A118" s="75"/>
      <c r="B118" s="69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ht="15.75" x14ac:dyDescent="0.25">
      <c r="A119" s="75"/>
      <c r="B119" s="69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ht="15.75" x14ac:dyDescent="0.25">
      <c r="A120" s="75"/>
      <c r="B120" s="69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69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ht="15.75" x14ac:dyDescent="0.25">
      <c r="A122" s="75"/>
      <c r="B122" s="72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x14ac:dyDescent="0.2">
      <c r="A123" s="2"/>
      <c r="B123" s="72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72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x14ac:dyDescent="0.2">
      <c r="A125" s="2"/>
      <c r="B125" s="76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x14ac:dyDescent="0.2">
      <c r="A126" s="2"/>
      <c r="B126" s="76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x14ac:dyDescent="0.2">
      <c r="A127" s="2"/>
      <c r="B127" s="76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76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76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x14ac:dyDescent="0.2">
      <c r="A130" s="2"/>
      <c r="B130" s="76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76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76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76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ht="15.75" x14ac:dyDescent="0.25">
      <c r="A135" s="75"/>
      <c r="B135" s="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ht="15.75" x14ac:dyDescent="0.25">
      <c r="A138" s="75"/>
      <c r="B138" s="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ht="15.75" x14ac:dyDescent="0.25">
      <c r="A139" s="75"/>
      <c r="B139" s="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ht="15.75" x14ac:dyDescent="0.25">
      <c r="A140" s="75"/>
      <c r="B140" s="76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76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76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x14ac:dyDescent="0.2">
      <c r="A143" s="2"/>
      <c r="B143" s="76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76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76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76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76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76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76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76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76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ht="15.75" x14ac:dyDescent="0.25">
      <c r="A153" s="75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ht="15.75" x14ac:dyDescent="0.25">
      <c r="A156" s="75"/>
      <c r="B156" s="76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76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76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ht="15.75" x14ac:dyDescent="0.25">
      <c r="A162" s="75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ht="15.75" x14ac:dyDescent="0.25">
      <c r="A165" s="75"/>
      <c r="B165" s="75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49" max="12" man="1"/>
    <brk id="9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STATS'!$C$16*2</f>
        <v>188554</v>
      </c>
      <c r="D10" s="88">
        <f>'MONTHLY STATS'!$C$23*2</f>
        <v>107512</v>
      </c>
      <c r="E10" s="88">
        <f>'MONTHLY STATS'!$C$30*2</f>
        <v>636418</v>
      </c>
      <c r="F10" s="88">
        <f>'MONTHLY STATS'!$C$37*2</f>
        <v>329676</v>
      </c>
      <c r="G10" s="88">
        <f>'MONTHLY STATS'!$C$44*2</f>
        <v>185296</v>
      </c>
      <c r="H10" s="88">
        <f>'MONTHLY STATS'!$C$51*2</f>
        <v>519066</v>
      </c>
      <c r="I10" s="88">
        <f>'MONTHLY STATS'!$C$58*2</f>
        <v>359064</v>
      </c>
      <c r="J10" s="88">
        <f>'MONTHLY STATS'!$C$65*2</f>
        <v>482500</v>
      </c>
      <c r="K10" s="88">
        <f>'MONTHLY STATS'!$C$72*2</f>
        <v>662984</v>
      </c>
      <c r="L10" s="88">
        <f>'MONTHLY STATS'!$C$79*2</f>
        <v>78048</v>
      </c>
      <c r="M10" s="88">
        <f>'MONTHLY STATS'!$C$86*2</f>
        <v>637702</v>
      </c>
      <c r="N10" s="88">
        <f>'MONTHLY STATS'!$C$93*2</f>
        <v>123384</v>
      </c>
      <c r="O10" s="89">
        <f>SUM(B10:N10)</f>
        <v>4675950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STATS'!$C$17*2</f>
        <v>191396</v>
      </c>
      <c r="D11" s="88">
        <f>'MONTHLY STATS'!$C$24*2</f>
        <v>109040</v>
      </c>
      <c r="E11" s="88">
        <f>'MONTHLY STATS'!$C$31*2</f>
        <v>680530</v>
      </c>
      <c r="F11" s="88">
        <f>'MONTHLY STATS'!$C$38*2</f>
        <v>350696</v>
      </c>
      <c r="G11" s="88">
        <f>'MONTHLY STATS'!$C$45*2</f>
        <v>190612</v>
      </c>
      <c r="H11" s="88">
        <f>'MONTHLY STATS'!$C$52*2</f>
        <v>524420</v>
      </c>
      <c r="I11" s="88">
        <f>'MONTHLY STATS'!$C$59*2</f>
        <v>369866</v>
      </c>
      <c r="J11" s="88">
        <f>'MONTHLY STATS'!$C$66*2</f>
        <v>504774</v>
      </c>
      <c r="K11" s="88">
        <f>'MONTHLY STATS'!$C$73*2</f>
        <v>714686</v>
      </c>
      <c r="L11" s="88">
        <f>'MONTHLY STATS'!$C$80*2</f>
        <v>74810</v>
      </c>
      <c r="M11" s="88">
        <f>'MONTHLY STATS'!$C$87*2</f>
        <v>667478</v>
      </c>
      <c r="N11" s="88">
        <f>'MONTHLY STATS'!$C$94*2</f>
        <v>132356</v>
      </c>
      <c r="O11" s="89">
        <f>SUM(B11:N11)</f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STATS'!$C$18*2</f>
        <v>182320</v>
      </c>
      <c r="D12" s="88">
        <f>'MONTHLY STATS'!$C$25*2</f>
        <v>100240</v>
      </c>
      <c r="E12" s="88">
        <f>'MONTHLY STATS'!$C$32*2</f>
        <v>612854</v>
      </c>
      <c r="F12" s="88">
        <f>'MONTHLY STATS'!$C$39*2</f>
        <v>321766</v>
      </c>
      <c r="G12" s="88">
        <f>'MONTHLY STATS'!$C$46*2</f>
        <v>183232</v>
      </c>
      <c r="H12" s="88">
        <f>'MONTHLY STATS'!$C$53*2</f>
        <v>482426</v>
      </c>
      <c r="I12" s="88">
        <f>'MONTHLY STATS'!$C$60*2</f>
        <v>338566</v>
      </c>
      <c r="J12" s="88">
        <f>'MONTHLY STATS'!$C$67*2</f>
        <v>452412</v>
      </c>
      <c r="K12" s="88">
        <f>'MONTHLY STATS'!$C$74*2</f>
        <v>641438</v>
      </c>
      <c r="L12" s="88">
        <f>'MONTHLY STATS'!$C$81*2</f>
        <v>67730</v>
      </c>
      <c r="M12" s="88">
        <f>'MONTHLY STATS'!$C$88*2</f>
        <v>590644</v>
      </c>
      <c r="N12" s="88">
        <f>'MONTHLY STATS'!$C$95*2</f>
        <v>115382</v>
      </c>
      <c r="O12" s="89">
        <f>SUM(B12:N12)</f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STATS'!$C$19*2</f>
        <v>184276</v>
      </c>
      <c r="D13" s="88">
        <f>'MONTHLY STATS'!$C$26*2</f>
        <v>85114</v>
      </c>
      <c r="E13" s="88">
        <f>'MONTHLY STATS'!$C$33*2</f>
        <v>571300</v>
      </c>
      <c r="F13" s="88">
        <f>'MONTHLY STATS'!$C$40*2</f>
        <v>347508</v>
      </c>
      <c r="G13" s="88">
        <f>'MONTHLY STATS'!$C$47*2</f>
        <v>175004</v>
      </c>
      <c r="H13" s="88">
        <f>'MONTHLY STATS'!$C$54*2</f>
        <v>463114</v>
      </c>
      <c r="I13" s="88">
        <f>'MONTHLY STATS'!$C$61*2</f>
        <v>341770</v>
      </c>
      <c r="J13" s="88">
        <f>'MONTHLY STATS'!$C$68*2</f>
        <v>450250</v>
      </c>
      <c r="K13" s="88">
        <f>'MONTHLY STATS'!$C$75*2</f>
        <v>654500</v>
      </c>
      <c r="L13" s="88">
        <f>'MONTHLY STATS'!$C$82*2</f>
        <v>67738</v>
      </c>
      <c r="M13" s="88">
        <f>'MONTHLY STATS'!$C$89*2</f>
        <v>584912</v>
      </c>
      <c r="N13" s="88">
        <f>'MONTHLY STATS'!$C$96*2</f>
        <v>114968</v>
      </c>
      <c r="O13" s="89">
        <f>SUM(B13:N13)</f>
        <v>4380264</v>
      </c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1444132</v>
      </c>
      <c r="C23" s="89">
        <f t="shared" si="0"/>
        <v>746546</v>
      </c>
      <c r="D23" s="89">
        <f t="shared" si="0"/>
        <v>401906</v>
      </c>
      <c r="E23" s="89">
        <f t="shared" si="0"/>
        <v>2501102</v>
      </c>
      <c r="F23" s="89">
        <f t="shared" si="0"/>
        <v>1349646</v>
      </c>
      <c r="G23" s="89">
        <f>SUM(G10:G21)</f>
        <v>734144</v>
      </c>
      <c r="H23" s="89">
        <f t="shared" si="0"/>
        <v>1989026</v>
      </c>
      <c r="I23" s="89">
        <f>SUM(I10:I21)</f>
        <v>1409266</v>
      </c>
      <c r="J23" s="89">
        <f t="shared" si="0"/>
        <v>1889936</v>
      </c>
      <c r="K23" s="89">
        <f>SUM(K10:K21)</f>
        <v>2673608</v>
      </c>
      <c r="L23" s="89">
        <f t="shared" si="0"/>
        <v>288326</v>
      </c>
      <c r="M23" s="89">
        <f t="shared" si="0"/>
        <v>2480736</v>
      </c>
      <c r="N23" s="89">
        <f t="shared" si="0"/>
        <v>486090</v>
      </c>
      <c r="O23" s="89">
        <f t="shared" si="0"/>
        <v>18394464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STATS'!$K$16*0.21</f>
        <v>1403139.9395999999</v>
      </c>
      <c r="D31" s="88">
        <f>'MONTHLY STATS'!$K$23*0.21</f>
        <v>812098.99889999989</v>
      </c>
      <c r="E31" s="88">
        <f>'MONTHLY STATS'!$K$30*0.21</f>
        <v>4317520.4750999995</v>
      </c>
      <c r="F31" s="88">
        <f>'MONTHLY STATS'!$K$37*0.21</f>
        <v>2672148.2087999997</v>
      </c>
      <c r="G31" s="88">
        <f>'MONTHLY STATS'!$K$44*0.21</f>
        <v>1227660.7833</v>
      </c>
      <c r="H31" s="88">
        <f>'MONTHLY STATS'!$K$51*0.21</f>
        <v>2468440.0167</v>
      </c>
      <c r="I31" s="88">
        <f>'MONTHLY STATS'!$K$58*0.21</f>
        <v>2507634.5490000001</v>
      </c>
      <c r="J31" s="88">
        <f>'MONTHLY STATS'!$K$65*0.21</f>
        <v>3535118.2944</v>
      </c>
      <c r="K31" s="88">
        <f>'MONTHLY STATS'!$K$72*0.21</f>
        <v>4342159.0505999997</v>
      </c>
      <c r="L31" s="88">
        <f>'MONTHLY STATS'!$K$79*0.21</f>
        <v>594235.39769999997</v>
      </c>
      <c r="M31" s="88">
        <f>'MONTHLY STATS'!$K$86*0.21</f>
        <v>5058469.9388999995</v>
      </c>
      <c r="N31" s="88">
        <f>'MONTHLY STATS'!$K$93*0.21</f>
        <v>844344.35399999993</v>
      </c>
      <c r="O31" s="89">
        <f>SUM(B31:N31)</f>
        <v>32590698.054599997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STATS'!$K$17*0.21</f>
        <v>1517222.0279999999</v>
      </c>
      <c r="D32" s="88">
        <f>'MONTHLY STATS'!$K$24*0.21</f>
        <v>824302.82129999995</v>
      </c>
      <c r="E32" s="88">
        <f>'MONTHLY STATS'!$K$31*0.21</f>
        <v>4815352.5861</v>
      </c>
      <c r="F32" s="88">
        <f>'MONTHLY STATS'!$K$38*0.21</f>
        <v>2899883.0027999999</v>
      </c>
      <c r="G32" s="88">
        <f>'MONTHLY STATS'!$K$45*0.21</f>
        <v>1282179.5448</v>
      </c>
      <c r="H32" s="88">
        <f>'MONTHLY STATS'!$K$52*0.21</f>
        <v>2490679.6529999999</v>
      </c>
      <c r="I32" s="88">
        <f>'MONTHLY STATS'!$K$59*0.21</f>
        <v>2439859.9826999996</v>
      </c>
      <c r="J32" s="88">
        <f>'MONTHLY STATS'!$K$66*0.21</f>
        <v>3725145.4547999995</v>
      </c>
      <c r="K32" s="88">
        <f>'MONTHLY STATS'!$K$73*0.21</f>
        <v>4546256.2298999997</v>
      </c>
      <c r="L32" s="88">
        <f>'MONTHLY STATS'!$K$80*0.21</f>
        <v>570887.85179999995</v>
      </c>
      <c r="M32" s="88">
        <f>'MONTHLY STATS'!$K$87*0.21</f>
        <v>5355656.3277000003</v>
      </c>
      <c r="N32" s="88">
        <f>'MONTHLY STATS'!$K$94*0.21</f>
        <v>899361.20819999999</v>
      </c>
      <c r="O32" s="89">
        <f>SUM(B32:N32)</f>
        <v>34305350.396099992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STATS'!$K$18*0.21</f>
        <v>1432403.8784999999</v>
      </c>
      <c r="D33" s="88">
        <f>'MONTHLY STATS'!$K$25*0.21</f>
        <v>802099.90559999994</v>
      </c>
      <c r="E33" s="293">
        <f>(20250921.53+180818.97)*0.21</f>
        <v>4290665.5049999999</v>
      </c>
      <c r="F33" s="88">
        <f>'MONTHLY STATS'!$K$39*0.21</f>
        <v>2631985.3076999998</v>
      </c>
      <c r="G33" s="88">
        <f>'MONTHLY STATS'!$K$46*0.21</f>
        <v>1237701.7548</v>
      </c>
      <c r="H33" s="88">
        <f>'MONTHLY STATS'!$K$53*0.21</f>
        <v>2327781.3026999999</v>
      </c>
      <c r="I33" s="88">
        <f>'MONTHLY STATS'!$K$60*0.21</f>
        <v>2222638.1814000001</v>
      </c>
      <c r="J33" s="88">
        <f>'MONTHLY STATS'!$K$67*0.21</f>
        <v>3461189.7999</v>
      </c>
      <c r="K33" s="88">
        <f>'MONTHLY STATS'!$K$74*0.21</f>
        <v>4287985.0565999998</v>
      </c>
      <c r="L33" s="88">
        <f>'MONTHLY STATS'!$K$81*0.21</f>
        <v>518574.9387</v>
      </c>
      <c r="M33" s="88">
        <f>'MONTHLY STATS'!$K$88*0.21</f>
        <v>4961396.517</v>
      </c>
      <c r="N33" s="88">
        <f>'MONTHLY STATS'!$K$95*0.21</f>
        <v>745698.59069999994</v>
      </c>
      <c r="O33" s="89">
        <f>SUM(B33:N33)</f>
        <v>31546158.191100001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STATS'!$K$19*0.21</f>
        <v>1379451.6036</v>
      </c>
      <c r="D34" s="88">
        <f>'MONTHLY STATS'!$K$26*0.21</f>
        <v>634906.20689999999</v>
      </c>
      <c r="E34" s="293">
        <v>4494069.26</v>
      </c>
      <c r="F34" s="88">
        <f>'MONTHLY STATS'!$K$40*0.21</f>
        <v>2795570.0766000003</v>
      </c>
      <c r="G34" s="88">
        <f>'MONTHLY STATS'!$K$47*0.21</f>
        <v>1193795.7716999999</v>
      </c>
      <c r="H34" s="88">
        <f>'MONTHLY STATS'!$K$54*0.21</f>
        <v>2495195.0876999996</v>
      </c>
      <c r="I34" s="88">
        <f>'MONTHLY STATS'!$K$61*0.21</f>
        <v>2207456.4435000001</v>
      </c>
      <c r="J34" s="88">
        <f>'MONTHLY STATS'!$K$68*0.21</f>
        <v>3219340.9814999998</v>
      </c>
      <c r="K34" s="88">
        <f>'MONTHLY STATS'!$K$75*0.21</f>
        <v>4497683.9228999997</v>
      </c>
      <c r="L34" s="88">
        <f>'MONTHLY STATS'!$K$82*0.21</f>
        <v>519795.52379999997</v>
      </c>
      <c r="M34" s="88">
        <f>'MONTHLY STATS'!$K$89*0.21</f>
        <v>4955945.2361999992</v>
      </c>
      <c r="N34" s="88">
        <f>'MONTHLY STATS'!$K$96*0.21</f>
        <v>769743.65789999999</v>
      </c>
      <c r="O34" s="89">
        <f>SUM(B34:N34)</f>
        <v>31766415.926599994</v>
      </c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10975791.3594</v>
      </c>
      <c r="C44" s="89">
        <f t="shared" si="1"/>
        <v>5732217.4496999998</v>
      </c>
      <c r="D44" s="89">
        <f t="shared" si="1"/>
        <v>3073407.9327000002</v>
      </c>
      <c r="E44" s="89">
        <f t="shared" si="1"/>
        <v>17917607.826200001</v>
      </c>
      <c r="F44" s="89">
        <f t="shared" si="1"/>
        <v>10999586.595899999</v>
      </c>
      <c r="G44" s="89">
        <f t="shared" si="1"/>
        <v>4941337.8545999993</v>
      </c>
      <c r="H44" s="89">
        <f t="shared" si="1"/>
        <v>9782096.0601000004</v>
      </c>
      <c r="I44" s="89">
        <f>SUM(I31:I42)</f>
        <v>9377589.1566000003</v>
      </c>
      <c r="J44" s="89">
        <f t="shared" si="1"/>
        <v>13940794.5306</v>
      </c>
      <c r="K44" s="89">
        <f>SUM(K31:K42)</f>
        <v>17674084.259999998</v>
      </c>
      <c r="L44" s="89">
        <f t="shared" si="1"/>
        <v>2203493.7119999998</v>
      </c>
      <c r="M44" s="89">
        <f t="shared" si="1"/>
        <v>20331468.0198</v>
      </c>
      <c r="N44" s="89">
        <f t="shared" si="1"/>
        <v>3259147.8108000001</v>
      </c>
      <c r="O44" s="89">
        <f t="shared" si="1"/>
        <v>130208622.56839998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05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>(+D9-E9)/E9</f>
        <v>-0.2229806600470563</v>
      </c>
      <c r="G9" s="214">
        <f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>(+D10-E10)/E10</f>
        <v>-0.24942410494434217</v>
      </c>
      <c r="G10" s="214">
        <f>D10/C10</f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>(+D11-E11)/E11</f>
        <v>-1.4924227294636221E-3</v>
      </c>
      <c r="G11" s="214">
        <f>D11/C11</f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>(+D12-E12)/E12</f>
        <v>-0.22853238140873552</v>
      </c>
      <c r="G12" s="214">
        <f>D12/C12</f>
        <v>0.13438448533759667</v>
      </c>
      <c r="H12" s="122"/>
    </row>
    <row r="13" spans="1:8" ht="15.75" thickBot="1" x14ac:dyDescent="0.25">
      <c r="A13" s="132"/>
      <c r="B13" s="133"/>
      <c r="C13" s="203"/>
      <c r="D13" s="203"/>
      <c r="E13" s="203"/>
      <c r="F13" s="131"/>
      <c r="G13" s="214"/>
      <c r="H13" s="122"/>
    </row>
    <row r="14" spans="1:8" ht="17.25" thickTop="1" thickBot="1" x14ac:dyDescent="0.3">
      <c r="A14" s="134" t="s">
        <v>14</v>
      </c>
      <c r="B14" s="135"/>
      <c r="C14" s="200">
        <f>SUM(C9:C13)</f>
        <v>62593916</v>
      </c>
      <c r="D14" s="200">
        <f>SUM(D9:D13)</f>
        <v>8259484.4000000004</v>
      </c>
      <c r="E14" s="200">
        <f>SUM(E9:E13)</f>
        <v>10209347.5</v>
      </c>
      <c r="F14" s="136">
        <f>(+D14-E14)/E14</f>
        <v>-0.1909880234755453</v>
      </c>
      <c r="G14" s="211">
        <f>D14/C14</f>
        <v>0.13195346972699393</v>
      </c>
      <c r="H14" s="122"/>
    </row>
    <row r="15" spans="1:8" ht="15.75" customHeight="1" thickTop="1" x14ac:dyDescent="0.25">
      <c r="A15" s="137"/>
      <c r="B15" s="138"/>
      <c r="C15" s="204"/>
      <c r="D15" s="204"/>
      <c r="E15" s="204"/>
      <c r="F15" s="139"/>
      <c r="G15" s="215"/>
      <c r="H15" s="122"/>
    </row>
    <row r="16" spans="1:8" ht="15.75" x14ac:dyDescent="0.25">
      <c r="A16" s="19" t="s">
        <v>15</v>
      </c>
      <c r="B16" s="130">
        <f>DATE(2024,7,1)</f>
        <v>45474</v>
      </c>
      <c r="C16" s="203">
        <v>2084705</v>
      </c>
      <c r="D16" s="203">
        <v>481789</v>
      </c>
      <c r="E16" s="203">
        <v>614728</v>
      </c>
      <c r="F16" s="131">
        <f>(+D16-E16)/E16</f>
        <v>-0.21625662081440897</v>
      </c>
      <c r="G16" s="214">
        <f>D16/C16</f>
        <v>0.23110655944126388</v>
      </c>
      <c r="H16" s="122"/>
    </row>
    <row r="17" spans="1:8" ht="15.75" x14ac:dyDescent="0.25">
      <c r="A17" s="19"/>
      <c r="B17" s="130">
        <f>DATE(2024,8,1)</f>
        <v>45505</v>
      </c>
      <c r="C17" s="203">
        <v>2432555</v>
      </c>
      <c r="D17" s="203">
        <v>713769.5</v>
      </c>
      <c r="E17" s="203">
        <v>388628</v>
      </c>
      <c r="F17" s="131">
        <f>(+D17-E17)/E17</f>
        <v>0.83663940838025053</v>
      </c>
      <c r="G17" s="214">
        <f>D17/C17</f>
        <v>0.29342378692362558</v>
      </c>
      <c r="H17" s="122"/>
    </row>
    <row r="18" spans="1:8" ht="15.75" x14ac:dyDescent="0.25">
      <c r="A18" s="19"/>
      <c r="B18" s="130">
        <f>DATE(2024,9,1)</f>
        <v>45536</v>
      </c>
      <c r="C18" s="203">
        <v>2226166</v>
      </c>
      <c r="D18" s="203">
        <v>548040</v>
      </c>
      <c r="E18" s="203">
        <v>596038.5</v>
      </c>
      <c r="F18" s="131">
        <f>(+D18-E18)/E18</f>
        <v>-8.0529194003407495E-2</v>
      </c>
      <c r="G18" s="214">
        <f>D18/C18</f>
        <v>0.24618110239757501</v>
      </c>
      <c r="H18" s="122"/>
    </row>
    <row r="19" spans="1:8" ht="15.75" x14ac:dyDescent="0.25">
      <c r="A19" s="19"/>
      <c r="B19" s="130">
        <f>DATE(2024,10,1)</f>
        <v>45566</v>
      </c>
      <c r="C19" s="203">
        <v>2136231</v>
      </c>
      <c r="D19" s="203">
        <v>525427.5</v>
      </c>
      <c r="E19" s="203">
        <v>457507</v>
      </c>
      <c r="F19" s="131">
        <f>(+D19-E19)/E19</f>
        <v>0.14845783780357458</v>
      </c>
      <c r="G19" s="214">
        <f>D19/C19</f>
        <v>0.24596005769039023</v>
      </c>
      <c r="H19" s="122"/>
    </row>
    <row r="20" spans="1:8" ht="15.75" thickBot="1" x14ac:dyDescent="0.25">
      <c r="A20" s="132"/>
      <c r="B20" s="130"/>
      <c r="C20" s="203"/>
      <c r="D20" s="203"/>
      <c r="E20" s="203"/>
      <c r="F20" s="131"/>
      <c r="G20" s="214"/>
      <c r="H20" s="122"/>
    </row>
    <row r="21" spans="1:8" ht="17.25" thickTop="1" thickBot="1" x14ac:dyDescent="0.3">
      <c r="A21" s="134" t="s">
        <v>14</v>
      </c>
      <c r="B21" s="135"/>
      <c r="C21" s="200">
        <f>SUM(C16:C20)</f>
        <v>8879657</v>
      </c>
      <c r="D21" s="200">
        <f>SUM(D16:D20)</f>
        <v>2269026</v>
      </c>
      <c r="E21" s="200">
        <f>SUM(E16:E20)</f>
        <v>2056901.5</v>
      </c>
      <c r="F21" s="136">
        <f>(+D21-E21)/E21</f>
        <v>0.103128176045377</v>
      </c>
      <c r="G21" s="211">
        <f>D21/C21</f>
        <v>0.25553081611147815</v>
      </c>
      <c r="H21" s="122"/>
    </row>
    <row r="22" spans="1:8" ht="15.75" customHeight="1" thickTop="1" x14ac:dyDescent="0.25">
      <c r="A22" s="254"/>
      <c r="B22" s="138"/>
      <c r="C22" s="204"/>
      <c r="D22" s="204"/>
      <c r="E22" s="204"/>
      <c r="F22" s="139"/>
      <c r="G22" s="218"/>
      <c r="H22" s="122"/>
    </row>
    <row r="23" spans="1:8" ht="15.75" x14ac:dyDescent="0.25">
      <c r="A23" s="19" t="s">
        <v>62</v>
      </c>
      <c r="B23" s="130">
        <f>DATE(2024,7,1)</f>
        <v>45474</v>
      </c>
      <c r="C23" s="203">
        <v>1293032</v>
      </c>
      <c r="D23" s="203">
        <v>281475</v>
      </c>
      <c r="E23" s="203">
        <v>166322.5</v>
      </c>
      <c r="F23" s="131">
        <f>(+D23-E23)/E23</f>
        <v>0.6923446917885433</v>
      </c>
      <c r="G23" s="214">
        <f>D23/C23</f>
        <v>0.2176860278786604</v>
      </c>
      <c r="H23" s="122"/>
    </row>
    <row r="24" spans="1:8" ht="15.75" x14ac:dyDescent="0.25">
      <c r="A24" s="19"/>
      <c r="B24" s="130">
        <f>DATE(2024,8,1)</f>
        <v>45505</v>
      </c>
      <c r="C24" s="203">
        <v>1364653</v>
      </c>
      <c r="D24" s="203">
        <v>304278.5</v>
      </c>
      <c r="E24" s="203">
        <v>264487</v>
      </c>
      <c r="F24" s="131">
        <f>(+D24-E24)/E24</f>
        <v>0.15044784809839426</v>
      </c>
      <c r="G24" s="214">
        <f>D24/C24</f>
        <v>0.22297133410471379</v>
      </c>
      <c r="H24" s="122"/>
    </row>
    <row r="25" spans="1:8" ht="15.75" x14ac:dyDescent="0.25">
      <c r="A25" s="19"/>
      <c r="B25" s="130">
        <f>DATE(2024,9,1)</f>
        <v>45536</v>
      </c>
      <c r="C25" s="203">
        <v>1205397</v>
      </c>
      <c r="D25" s="203">
        <v>260316</v>
      </c>
      <c r="E25" s="203">
        <v>353812</v>
      </c>
      <c r="F25" s="131">
        <f>(+D25-E25)/E25</f>
        <v>-0.264253332278159</v>
      </c>
      <c r="G25" s="214">
        <f>D25/C25</f>
        <v>0.21595872563147245</v>
      </c>
      <c r="H25" s="122"/>
    </row>
    <row r="26" spans="1:8" ht="15.75" x14ac:dyDescent="0.25">
      <c r="A26" s="19"/>
      <c r="B26" s="130">
        <f>DATE(2024,10,1)</f>
        <v>45566</v>
      </c>
      <c r="C26" s="203">
        <v>1047982</v>
      </c>
      <c r="D26" s="203">
        <v>198689</v>
      </c>
      <c r="E26" s="203">
        <v>292380</v>
      </c>
      <c r="F26" s="131">
        <f>(+D26-E26)/E26</f>
        <v>-0.32044257473151377</v>
      </c>
      <c r="G26" s="214">
        <f>D26/C26</f>
        <v>0.18959199680910549</v>
      </c>
      <c r="H26" s="122"/>
    </row>
    <row r="27" spans="1:8" ht="15.75" thickBot="1" x14ac:dyDescent="0.25">
      <c r="A27" s="132"/>
      <c r="B27" s="130"/>
      <c r="C27" s="203"/>
      <c r="D27" s="203"/>
      <c r="E27" s="203"/>
      <c r="F27" s="131"/>
      <c r="G27" s="214"/>
      <c r="H27" s="122"/>
    </row>
    <row r="28" spans="1:8" ht="17.25" thickTop="1" thickBot="1" x14ac:dyDescent="0.3">
      <c r="A28" s="140" t="s">
        <v>14</v>
      </c>
      <c r="B28" s="141"/>
      <c r="C28" s="205">
        <f>SUM(C23:C27)</f>
        <v>4911064</v>
      </c>
      <c r="D28" s="205">
        <f>SUM(D23:D27)</f>
        <v>1044758.5</v>
      </c>
      <c r="E28" s="205">
        <f>SUM(E23:E27)</f>
        <v>1077001.5</v>
      </c>
      <c r="F28" s="142">
        <f>(+D28-E28)/E28</f>
        <v>-2.9937748461817369E-2</v>
      </c>
      <c r="G28" s="216">
        <f>D28/C28</f>
        <v>0.21273567194400236</v>
      </c>
      <c r="H28" s="122"/>
    </row>
    <row r="29" spans="1:8" ht="15.75" thickTop="1" x14ac:dyDescent="0.2">
      <c r="A29" s="132"/>
      <c r="B29" s="133"/>
      <c r="C29" s="203"/>
      <c r="D29" s="203"/>
      <c r="E29" s="203"/>
      <c r="F29" s="131"/>
      <c r="G29" s="217"/>
      <c r="H29" s="122"/>
    </row>
    <row r="30" spans="1:8" ht="15.75" x14ac:dyDescent="0.25">
      <c r="A30" s="176" t="s">
        <v>58</v>
      </c>
      <c r="B30" s="130">
        <f>DATE(2024,7,1)</f>
        <v>45474</v>
      </c>
      <c r="C30" s="203">
        <v>16481677</v>
      </c>
      <c r="D30" s="203">
        <v>2924457.34</v>
      </c>
      <c r="E30" s="203">
        <v>3803022</v>
      </c>
      <c r="F30" s="131">
        <f>(+D30-E30)/E30</f>
        <v>-0.23101750660395867</v>
      </c>
      <c r="G30" s="214">
        <f>D30/C30</f>
        <v>0.17743687975440847</v>
      </c>
      <c r="H30" s="122"/>
    </row>
    <row r="31" spans="1:8" ht="15.75" x14ac:dyDescent="0.25">
      <c r="A31" s="176"/>
      <c r="B31" s="130">
        <f>DATE(2024,8,1)</f>
        <v>45505</v>
      </c>
      <c r="C31" s="203">
        <v>16878247</v>
      </c>
      <c r="D31" s="203">
        <v>4174786.65</v>
      </c>
      <c r="E31" s="203">
        <v>2558007.38</v>
      </c>
      <c r="F31" s="131">
        <f>(+D31-E31)/E31</f>
        <v>0.63204636649640944</v>
      </c>
      <c r="G31" s="214">
        <f>D31/C31</f>
        <v>0.24734717118430605</v>
      </c>
      <c r="H31" s="122"/>
    </row>
    <row r="32" spans="1:8" ht="15.75" x14ac:dyDescent="0.25">
      <c r="A32" s="176"/>
      <c r="B32" s="130">
        <f>DATE(2024,9,1)</f>
        <v>45536</v>
      </c>
      <c r="C32" s="203">
        <v>17130312</v>
      </c>
      <c r="D32" s="203">
        <v>3154365.16</v>
      </c>
      <c r="E32" s="203">
        <v>3090684.15</v>
      </c>
      <c r="F32" s="131">
        <f>(+D32-E32)/E32</f>
        <v>2.0604179175021893E-2</v>
      </c>
      <c r="G32" s="214">
        <f>D32/C32</f>
        <v>0.18413938753713302</v>
      </c>
      <c r="H32" s="122"/>
    </row>
    <row r="33" spans="1:8" ht="15.75" x14ac:dyDescent="0.25">
      <c r="A33" s="176"/>
      <c r="B33" s="130">
        <f>DATE(2024,10,1)</f>
        <v>45566</v>
      </c>
      <c r="C33" s="203">
        <v>15450000</v>
      </c>
      <c r="D33" s="203">
        <v>3337567.1</v>
      </c>
      <c r="E33" s="203">
        <v>2879319</v>
      </c>
      <c r="F33" s="131">
        <f>(+D33-E33)/E33</f>
        <v>0.15915155632286665</v>
      </c>
      <c r="G33" s="214">
        <f>D33/C33</f>
        <v>0.21602376051779937</v>
      </c>
      <c r="H33" s="122"/>
    </row>
    <row r="34" spans="1:8" ht="15.75" customHeight="1" thickBot="1" x14ac:dyDescent="0.25">
      <c r="A34" s="132"/>
      <c r="B34" s="133"/>
      <c r="C34" s="203"/>
      <c r="D34" s="203"/>
      <c r="E34" s="203"/>
      <c r="F34" s="131"/>
      <c r="G34" s="214"/>
      <c r="H34" s="122"/>
    </row>
    <row r="35" spans="1:8" ht="17.25" customHeight="1" thickTop="1" thickBot="1" x14ac:dyDescent="0.3">
      <c r="A35" s="140" t="s">
        <v>14</v>
      </c>
      <c r="B35" s="141"/>
      <c r="C35" s="205">
        <f>SUM(C30:C34)</f>
        <v>65940236</v>
      </c>
      <c r="D35" s="205">
        <f>SUM(D30:D34)</f>
        <v>13591176.25</v>
      </c>
      <c r="E35" s="205">
        <f>SUM(E30:E34)</f>
        <v>12331032.529999999</v>
      </c>
      <c r="F35" s="142">
        <f>(+D35-E35)/E35</f>
        <v>0.10219287938250218</v>
      </c>
      <c r="G35" s="216">
        <f>D35/C35</f>
        <v>0.20611355182289612</v>
      </c>
      <c r="H35" s="122"/>
    </row>
    <row r="36" spans="1:8" ht="15.75" customHeight="1" thickTop="1" x14ac:dyDescent="0.2">
      <c r="A36" s="132"/>
      <c r="B36" s="133"/>
      <c r="C36" s="203"/>
      <c r="D36" s="203"/>
      <c r="E36" s="203"/>
      <c r="F36" s="131"/>
      <c r="G36" s="217"/>
      <c r="H36" s="122"/>
    </row>
    <row r="37" spans="1:8" ht="15" customHeight="1" x14ac:dyDescent="0.25">
      <c r="A37" s="129" t="s">
        <v>60</v>
      </c>
      <c r="B37" s="130">
        <f>DATE(2024,7,1)</f>
        <v>45474</v>
      </c>
      <c r="C37" s="203">
        <v>14778119</v>
      </c>
      <c r="D37" s="203">
        <v>2983132</v>
      </c>
      <c r="E37" s="203">
        <v>3308388.5</v>
      </c>
      <c r="F37" s="131">
        <f>(+D37-E37)/E37</f>
        <v>-9.8312667934857101E-2</v>
      </c>
      <c r="G37" s="214">
        <f>D37/C37</f>
        <v>0.20186141416238426</v>
      </c>
      <c r="H37" s="122"/>
    </row>
    <row r="38" spans="1:8" ht="15" customHeight="1" x14ac:dyDescent="0.25">
      <c r="A38" s="129"/>
      <c r="B38" s="130">
        <f>DATE(2024,8,1)</f>
        <v>45505</v>
      </c>
      <c r="C38" s="203">
        <v>14088991</v>
      </c>
      <c r="D38" s="203">
        <v>3594985</v>
      </c>
      <c r="E38" s="203">
        <v>3099426.5</v>
      </c>
      <c r="F38" s="131">
        <f>(+D38-E38)/E38</f>
        <v>0.15988715976971868</v>
      </c>
      <c r="G38" s="214">
        <f>D38/C38</f>
        <v>0.25516270114730005</v>
      </c>
      <c r="H38" s="122"/>
    </row>
    <row r="39" spans="1:8" ht="15" customHeight="1" x14ac:dyDescent="0.25">
      <c r="A39" s="129"/>
      <c r="B39" s="130">
        <f>DATE(2024,9,1)</f>
        <v>45536</v>
      </c>
      <c r="C39" s="203">
        <v>13973200.310000001</v>
      </c>
      <c r="D39" s="203">
        <v>3439229.31</v>
      </c>
      <c r="E39" s="203">
        <v>3032057</v>
      </c>
      <c r="F39" s="131">
        <f>(+D39-E39)/E39</f>
        <v>0.13428913440611442</v>
      </c>
      <c r="G39" s="214">
        <f>D39/C39</f>
        <v>0.24613039487730637</v>
      </c>
      <c r="H39" s="122"/>
    </row>
    <row r="40" spans="1:8" ht="15" customHeight="1" x14ac:dyDescent="0.25">
      <c r="A40" s="129"/>
      <c r="B40" s="130">
        <f>DATE(2024,10,1)</f>
        <v>45566</v>
      </c>
      <c r="C40" s="203">
        <v>15272132</v>
      </c>
      <c r="D40" s="203">
        <v>3362463</v>
      </c>
      <c r="E40" s="203">
        <v>2838722.5</v>
      </c>
      <c r="F40" s="131">
        <f>(+D40-E40)/E40</f>
        <v>0.18449866092934411</v>
      </c>
      <c r="G40" s="214">
        <f>D40/C40</f>
        <v>0.22016984923912392</v>
      </c>
      <c r="H40" s="122"/>
    </row>
    <row r="41" spans="1:8" ht="15.75" thickBot="1" x14ac:dyDescent="0.25">
      <c r="A41" s="132"/>
      <c r="B41" s="130"/>
      <c r="C41" s="203"/>
      <c r="D41" s="203"/>
      <c r="E41" s="203"/>
      <c r="F41" s="131"/>
      <c r="G41" s="214"/>
      <c r="H41" s="122"/>
    </row>
    <row r="42" spans="1:8" ht="17.25" customHeight="1" thickTop="1" thickBot="1" x14ac:dyDescent="0.3">
      <c r="A42" s="140" t="s">
        <v>14</v>
      </c>
      <c r="B42" s="141"/>
      <c r="C42" s="206">
        <f>SUM(C37:C41)</f>
        <v>58112442.310000002</v>
      </c>
      <c r="D42" s="260">
        <f>SUM(D37:D41)</f>
        <v>13379809.310000001</v>
      </c>
      <c r="E42" s="205">
        <f>SUM(E37:E41)</f>
        <v>12278594.5</v>
      </c>
      <c r="F42" s="267">
        <f>(+D42-E42)/E42</f>
        <v>8.9685738054139708E-2</v>
      </c>
      <c r="G42" s="266">
        <f>D42/C42</f>
        <v>0.23024001019653584</v>
      </c>
      <c r="H42" s="122"/>
    </row>
    <row r="43" spans="1:8" ht="15.75" customHeight="1" thickTop="1" x14ac:dyDescent="0.25">
      <c r="A43" s="129"/>
      <c r="B43" s="133"/>
      <c r="C43" s="203"/>
      <c r="D43" s="203"/>
      <c r="E43" s="203"/>
      <c r="F43" s="131"/>
      <c r="G43" s="217"/>
      <c r="H43" s="122"/>
    </row>
    <row r="44" spans="1:8" ht="15.75" x14ac:dyDescent="0.25">
      <c r="A44" s="129" t="s">
        <v>64</v>
      </c>
      <c r="B44" s="130">
        <f>DATE(2024,7,1)</f>
        <v>45474</v>
      </c>
      <c r="C44" s="203">
        <v>3271046</v>
      </c>
      <c r="D44" s="203">
        <v>749499</v>
      </c>
      <c r="E44" s="203">
        <v>707897</v>
      </c>
      <c r="F44" s="131">
        <f>(+D44-E44)/E44</f>
        <v>5.876843665109472E-2</v>
      </c>
      <c r="G44" s="214">
        <f>D44/C44</f>
        <v>0.22913129317044151</v>
      </c>
      <c r="H44" s="122"/>
    </row>
    <row r="45" spans="1:8" ht="15.75" x14ac:dyDescent="0.25">
      <c r="A45" s="129"/>
      <c r="B45" s="130">
        <f>DATE(2024,8,1)</f>
        <v>45505</v>
      </c>
      <c r="C45" s="203">
        <v>3343771</v>
      </c>
      <c r="D45" s="203">
        <v>714655.5</v>
      </c>
      <c r="E45" s="203">
        <v>871889</v>
      </c>
      <c r="F45" s="131">
        <f>(+D45-E45)/E45</f>
        <v>-0.1803366024803616</v>
      </c>
      <c r="G45" s="214">
        <f>D45/C45</f>
        <v>0.21372740537554755</v>
      </c>
      <c r="H45" s="122"/>
    </row>
    <row r="46" spans="1:8" ht="15.75" x14ac:dyDescent="0.25">
      <c r="A46" s="129"/>
      <c r="B46" s="130">
        <f>DATE(2024,9,1)</f>
        <v>45536</v>
      </c>
      <c r="C46" s="203">
        <v>2841222</v>
      </c>
      <c r="D46" s="203">
        <v>930975</v>
      </c>
      <c r="E46" s="203">
        <v>529240.5</v>
      </c>
      <c r="F46" s="131">
        <f>(+D46-E46)/E46</f>
        <v>0.75907739487057402</v>
      </c>
      <c r="G46" s="214">
        <f>D46/C46</f>
        <v>0.32766710943389854</v>
      </c>
      <c r="H46" s="122"/>
    </row>
    <row r="47" spans="1:8" ht="15.75" x14ac:dyDescent="0.25">
      <c r="A47" s="129"/>
      <c r="B47" s="130">
        <f>DATE(2024,10,1)</f>
        <v>45566</v>
      </c>
      <c r="C47" s="203">
        <v>2745387</v>
      </c>
      <c r="D47" s="203">
        <v>723018.5</v>
      </c>
      <c r="E47" s="203">
        <v>555726</v>
      </c>
      <c r="F47" s="131">
        <f>(+D47-E47)/E47</f>
        <v>0.30103414272501194</v>
      </c>
      <c r="G47" s="214">
        <f>D47/C47</f>
        <v>0.26335758856583791</v>
      </c>
      <c r="H47" s="122"/>
    </row>
    <row r="48" spans="1:8" ht="15.75" customHeight="1" thickBot="1" x14ac:dyDescent="0.3">
      <c r="A48" s="129"/>
      <c r="B48" s="130"/>
      <c r="C48" s="203"/>
      <c r="D48" s="203"/>
      <c r="E48" s="203"/>
      <c r="F48" s="131"/>
      <c r="G48" s="214"/>
      <c r="H48" s="122"/>
    </row>
    <row r="49" spans="1:8" ht="17.25" thickTop="1" thickBot="1" x14ac:dyDescent="0.3">
      <c r="A49" s="140" t="s">
        <v>14</v>
      </c>
      <c r="B49" s="141"/>
      <c r="C49" s="206">
        <f>SUM(C44:C48)</f>
        <v>12201426</v>
      </c>
      <c r="D49" s="260">
        <f>SUM(D44:D48)</f>
        <v>3118148</v>
      </c>
      <c r="E49" s="206">
        <f>SUM(E44:E48)</f>
        <v>2664752.5</v>
      </c>
      <c r="F49" s="267">
        <f>(+D49-E49)/E49</f>
        <v>0.17014544502725862</v>
      </c>
      <c r="G49" s="266">
        <f>D49/C49</f>
        <v>0.2555560309098297</v>
      </c>
      <c r="H49" s="122"/>
    </row>
    <row r="50" spans="1:8" ht="15.75" customHeight="1" thickTop="1" x14ac:dyDescent="0.25">
      <c r="A50" s="129"/>
      <c r="B50" s="133"/>
      <c r="C50" s="203"/>
      <c r="D50" s="203"/>
      <c r="E50" s="203"/>
      <c r="F50" s="131"/>
      <c r="G50" s="217"/>
      <c r="H50" s="122"/>
    </row>
    <row r="51" spans="1:8" ht="15.75" x14ac:dyDescent="0.25">
      <c r="A51" s="129" t="s">
        <v>67</v>
      </c>
      <c r="B51" s="130">
        <f>DATE(2024,7,1)</f>
        <v>45474</v>
      </c>
      <c r="C51" s="203">
        <v>11086800</v>
      </c>
      <c r="D51" s="203">
        <v>1112358.5</v>
      </c>
      <c r="E51" s="203">
        <v>826564</v>
      </c>
      <c r="F51" s="131">
        <f>(+D51-E51)/E51</f>
        <v>0.34576209464723845</v>
      </c>
      <c r="G51" s="214">
        <f>D51/C51</f>
        <v>0.10033179095861745</v>
      </c>
      <c r="H51" s="122"/>
    </row>
    <row r="52" spans="1:8" ht="15.75" x14ac:dyDescent="0.25">
      <c r="A52" s="129"/>
      <c r="B52" s="130">
        <f>DATE(2024,8,1)</f>
        <v>45505</v>
      </c>
      <c r="C52" s="203">
        <v>9584251</v>
      </c>
      <c r="D52" s="203">
        <v>743956</v>
      </c>
      <c r="E52" s="203">
        <v>916100.5</v>
      </c>
      <c r="F52" s="131">
        <f>(+D52-E52)/E52</f>
        <v>-0.18791006008620234</v>
      </c>
      <c r="G52" s="214">
        <f>D52/C52</f>
        <v>7.7622758418993826E-2</v>
      </c>
      <c r="H52" s="122"/>
    </row>
    <row r="53" spans="1:8" ht="15.75" x14ac:dyDescent="0.25">
      <c r="A53" s="129"/>
      <c r="B53" s="130">
        <f>DATE(2024,9,1)</f>
        <v>45536</v>
      </c>
      <c r="C53" s="203">
        <v>8024758</v>
      </c>
      <c r="D53" s="203">
        <v>865028.5</v>
      </c>
      <c r="E53" s="203">
        <v>1270044.5</v>
      </c>
      <c r="F53" s="131">
        <f>(+D53-E53)/E53</f>
        <v>-0.31889906219821429</v>
      </c>
      <c r="G53" s="214">
        <f>D53/C53</f>
        <v>0.10779496403505252</v>
      </c>
      <c r="H53" s="122"/>
    </row>
    <row r="54" spans="1:8" ht="15.75" x14ac:dyDescent="0.25">
      <c r="A54" s="129"/>
      <c r="B54" s="130">
        <f>DATE(2024,10,1)</f>
        <v>45566</v>
      </c>
      <c r="C54" s="203">
        <v>6319429</v>
      </c>
      <c r="D54" s="203">
        <v>1110684</v>
      </c>
      <c r="E54" s="203">
        <v>1035116.5</v>
      </c>
      <c r="F54" s="131">
        <f>(+D54-E54)/E54</f>
        <v>7.3003859951995737E-2</v>
      </c>
      <c r="G54" s="214">
        <f>D54/C54</f>
        <v>0.17575701855341677</v>
      </c>
      <c r="H54" s="122"/>
    </row>
    <row r="55" spans="1:8" ht="15.75" customHeight="1" thickBot="1" x14ac:dyDescent="0.3">
      <c r="A55" s="129"/>
      <c r="B55" s="130"/>
      <c r="C55" s="203"/>
      <c r="D55" s="203"/>
      <c r="E55" s="203"/>
      <c r="F55" s="131"/>
      <c r="G55" s="214"/>
      <c r="H55" s="122"/>
    </row>
    <row r="56" spans="1:8" ht="17.25" thickTop="1" thickBot="1" x14ac:dyDescent="0.3">
      <c r="A56" s="140" t="s">
        <v>14</v>
      </c>
      <c r="B56" s="141"/>
      <c r="C56" s="206">
        <f>SUM(C51:C55)</f>
        <v>35015238</v>
      </c>
      <c r="D56" s="260">
        <f>SUM(D51:D55)</f>
        <v>3832027</v>
      </c>
      <c r="E56" s="206">
        <f>SUM(E51:E55)</f>
        <v>4047825.5</v>
      </c>
      <c r="F56" s="268">
        <f>(+D56-E56)/E56</f>
        <v>-5.3312204293391598E-2</v>
      </c>
      <c r="G56" s="266">
        <f>D56/C56</f>
        <v>0.10943883917053485</v>
      </c>
      <c r="H56" s="122"/>
    </row>
    <row r="57" spans="1:8" ht="15.75" customHeight="1" thickTop="1" x14ac:dyDescent="0.25">
      <c r="A57" s="129"/>
      <c r="B57" s="138"/>
      <c r="C57" s="204"/>
      <c r="D57" s="204"/>
      <c r="E57" s="204"/>
      <c r="F57" s="139"/>
      <c r="G57" s="215"/>
      <c r="H57" s="122"/>
    </row>
    <row r="58" spans="1:8" ht="15.75" x14ac:dyDescent="0.25">
      <c r="A58" s="129" t="s">
        <v>69</v>
      </c>
      <c r="B58" s="130">
        <f>DATE(2024,7,1)</f>
        <v>45474</v>
      </c>
      <c r="C58" s="203">
        <v>6094984</v>
      </c>
      <c r="D58" s="203">
        <v>1491620.4</v>
      </c>
      <c r="E58" s="203">
        <v>1705016.95</v>
      </c>
      <c r="F58" s="131">
        <f>(+D58-E58)/E58</f>
        <v>-0.12515802262259038</v>
      </c>
      <c r="G58" s="214">
        <f>D58/C58</f>
        <v>0.24472917402244204</v>
      </c>
      <c r="H58" s="122"/>
    </row>
    <row r="59" spans="1:8" ht="15.75" x14ac:dyDescent="0.25">
      <c r="A59" s="129"/>
      <c r="B59" s="130">
        <f>DATE(2024,8,1)</f>
        <v>45505</v>
      </c>
      <c r="C59" s="203">
        <v>6126161</v>
      </c>
      <c r="D59" s="203">
        <v>1342748.66</v>
      </c>
      <c r="E59" s="203">
        <v>1401382.35</v>
      </c>
      <c r="F59" s="131">
        <f>(+D59-E59)/E59</f>
        <v>-4.1839894729657594E-2</v>
      </c>
      <c r="G59" s="214">
        <f>D59/C59</f>
        <v>0.21918272471128328</v>
      </c>
      <c r="H59" s="122"/>
    </row>
    <row r="60" spans="1:8" ht="15.75" x14ac:dyDescent="0.25">
      <c r="A60" s="129"/>
      <c r="B60" s="130">
        <f>DATE(2024,9,1)</f>
        <v>45536</v>
      </c>
      <c r="C60" s="203">
        <v>5616372</v>
      </c>
      <c r="D60" s="203">
        <v>1469217.16</v>
      </c>
      <c r="E60" s="203">
        <v>1626153.96</v>
      </c>
      <c r="F60" s="131">
        <f>(+D60-E60)/E60</f>
        <v>-9.6507959184873274E-2</v>
      </c>
      <c r="G60" s="214">
        <f>D60/C60</f>
        <v>0.26159541426386995</v>
      </c>
      <c r="H60" s="122"/>
    </row>
    <row r="61" spans="1:8" ht="15.75" x14ac:dyDescent="0.25">
      <c r="A61" s="129"/>
      <c r="B61" s="130">
        <f>DATE(2024,10,1)</f>
        <v>45566</v>
      </c>
      <c r="C61" s="203">
        <v>5392183</v>
      </c>
      <c r="D61" s="203">
        <v>1142918.93</v>
      </c>
      <c r="E61" s="203">
        <v>1039039</v>
      </c>
      <c r="F61" s="131">
        <f>(+D61-E61)/E61</f>
        <v>9.9976930606069589E-2</v>
      </c>
      <c r="G61" s="214">
        <f>D61/C61</f>
        <v>0.21195848323397035</v>
      </c>
      <c r="H61" s="122"/>
    </row>
    <row r="62" spans="1:8" ht="15.75" customHeight="1" thickBot="1" x14ac:dyDescent="0.3">
      <c r="A62" s="129"/>
      <c r="B62" s="130"/>
      <c r="C62" s="203"/>
      <c r="D62" s="203"/>
      <c r="E62" s="203"/>
      <c r="F62" s="131"/>
      <c r="G62" s="214"/>
      <c r="H62" s="122"/>
    </row>
    <row r="63" spans="1:8" ht="17.25" thickTop="1" thickBot="1" x14ac:dyDescent="0.3">
      <c r="A63" s="140" t="s">
        <v>14</v>
      </c>
      <c r="B63" s="141"/>
      <c r="C63" s="205">
        <f>SUM(C58:C62)</f>
        <v>23229700</v>
      </c>
      <c r="D63" s="205">
        <f>SUM(D58:D62)</f>
        <v>5446505.1499999994</v>
      </c>
      <c r="E63" s="205">
        <f>SUM(E58:E62)</f>
        <v>5771592.2599999998</v>
      </c>
      <c r="F63" s="142">
        <f>(+D63-E63)/E63</f>
        <v>-5.6325377011299887E-2</v>
      </c>
      <c r="G63" s="216">
        <f>D63/C63</f>
        <v>0.2344629999526468</v>
      </c>
      <c r="H63" s="122"/>
    </row>
    <row r="64" spans="1:8" ht="15.75" customHeight="1" thickTop="1" x14ac:dyDescent="0.25">
      <c r="A64" s="137"/>
      <c r="B64" s="138"/>
      <c r="C64" s="204"/>
      <c r="D64" s="204"/>
      <c r="E64" s="204"/>
      <c r="F64" s="139"/>
      <c r="G64" s="215"/>
      <c r="H64" s="122"/>
    </row>
    <row r="65" spans="1:8" ht="15.75" x14ac:dyDescent="0.25">
      <c r="A65" s="129" t="s">
        <v>16</v>
      </c>
      <c r="B65" s="130">
        <f>DATE(2024,7,1)</f>
        <v>45474</v>
      </c>
      <c r="C65" s="203">
        <v>10271681</v>
      </c>
      <c r="D65" s="203">
        <v>2089350</v>
      </c>
      <c r="E65" s="203">
        <v>2105009.5</v>
      </c>
      <c r="F65" s="131">
        <f>(+D65-E65)/E65</f>
        <v>-7.4391588256490053E-3</v>
      </c>
      <c r="G65" s="214">
        <f>D65/C65</f>
        <v>0.20340877019058518</v>
      </c>
      <c r="H65" s="122"/>
    </row>
    <row r="66" spans="1:8" ht="15.75" x14ac:dyDescent="0.25">
      <c r="A66" s="129"/>
      <c r="B66" s="130">
        <f>DATE(2024,8,1)</f>
        <v>45505</v>
      </c>
      <c r="C66" s="203">
        <v>10387348</v>
      </c>
      <c r="D66" s="203">
        <v>2032596</v>
      </c>
      <c r="E66" s="203">
        <v>1767561.15</v>
      </c>
      <c r="F66" s="131">
        <f>(+D66-E66)/E66</f>
        <v>0.1499438081675421</v>
      </c>
      <c r="G66" s="214">
        <f>D66/C66</f>
        <v>0.19567997529301992</v>
      </c>
      <c r="H66" s="122"/>
    </row>
    <row r="67" spans="1:8" ht="15.75" x14ac:dyDescent="0.25">
      <c r="A67" s="129"/>
      <c r="B67" s="130">
        <f>DATE(2024,9,1)</f>
        <v>45536</v>
      </c>
      <c r="C67" s="203">
        <v>9975436</v>
      </c>
      <c r="D67" s="203">
        <v>2006849.5</v>
      </c>
      <c r="E67" s="203">
        <v>2123175</v>
      </c>
      <c r="F67" s="131">
        <f>(+D67-E67)/E67</f>
        <v>-5.4788465387921391E-2</v>
      </c>
      <c r="G67" s="214">
        <f>D67/C67</f>
        <v>0.20117912640610394</v>
      </c>
      <c r="H67" s="122"/>
    </row>
    <row r="68" spans="1:8" ht="15.75" x14ac:dyDescent="0.25">
      <c r="A68" s="129"/>
      <c r="B68" s="130">
        <f>DATE(2024,10,1)</f>
        <v>45566</v>
      </c>
      <c r="C68" s="203">
        <v>9251581</v>
      </c>
      <c r="D68" s="203">
        <v>1749191</v>
      </c>
      <c r="E68" s="203">
        <v>1980886.5</v>
      </c>
      <c r="F68" s="131">
        <f>(+D68-E68)/E68</f>
        <v>-0.11696556062146922</v>
      </c>
      <c r="G68" s="214">
        <f>D68/C68</f>
        <v>0.18906941418985576</v>
      </c>
      <c r="H68" s="122"/>
    </row>
    <row r="69" spans="1:8" ht="15.75" customHeight="1" thickBot="1" x14ac:dyDescent="0.3">
      <c r="A69" s="129"/>
      <c r="B69" s="130"/>
      <c r="C69" s="203"/>
      <c r="D69" s="203"/>
      <c r="E69" s="203"/>
      <c r="F69" s="131"/>
      <c r="G69" s="214"/>
      <c r="H69" s="122"/>
    </row>
    <row r="70" spans="1:8" ht="17.25" thickTop="1" thickBot="1" x14ac:dyDescent="0.3">
      <c r="A70" s="140" t="s">
        <v>14</v>
      </c>
      <c r="B70" s="141"/>
      <c r="C70" s="205">
        <f>SUM(C65:C69)</f>
        <v>39886046</v>
      </c>
      <c r="D70" s="205">
        <f>SUM(D65:D69)</f>
        <v>7877986.5</v>
      </c>
      <c r="E70" s="205">
        <f>SUM(E65:E69)</f>
        <v>7976632.1500000004</v>
      </c>
      <c r="F70" s="142">
        <f>(+D70-E70)/E70</f>
        <v>-1.2366829527170858E-2</v>
      </c>
      <c r="G70" s="216">
        <f>D70/C70</f>
        <v>0.19751234554560759</v>
      </c>
      <c r="H70" s="122"/>
    </row>
    <row r="71" spans="1:8" ht="15.75" customHeight="1" thickTop="1" x14ac:dyDescent="0.25">
      <c r="A71" s="137"/>
      <c r="B71" s="138"/>
      <c r="C71" s="204"/>
      <c r="D71" s="204"/>
      <c r="E71" s="204"/>
      <c r="F71" s="139"/>
      <c r="G71" s="215"/>
      <c r="H71" s="122"/>
    </row>
    <row r="72" spans="1:8" ht="15.75" x14ac:dyDescent="0.25">
      <c r="A72" s="129" t="s">
        <v>53</v>
      </c>
      <c r="B72" s="130">
        <f>DATE(2024,7,1)</f>
        <v>45474</v>
      </c>
      <c r="C72" s="203">
        <v>12525863</v>
      </c>
      <c r="D72" s="203">
        <v>2603604.12</v>
      </c>
      <c r="E72" s="203">
        <v>2697018.32</v>
      </c>
      <c r="F72" s="131">
        <f>(+D72-E72)/E72</f>
        <v>-3.4636101396597015E-2</v>
      </c>
      <c r="G72" s="214">
        <f>D72/C72</f>
        <v>0.20785826254047327</v>
      </c>
      <c r="H72" s="122"/>
    </row>
    <row r="73" spans="1:8" ht="15.75" x14ac:dyDescent="0.25">
      <c r="A73" s="129"/>
      <c r="B73" s="130">
        <f>DATE(2024,8,1)</f>
        <v>45505</v>
      </c>
      <c r="C73" s="203">
        <v>13140688</v>
      </c>
      <c r="D73" s="203">
        <v>2949818.5</v>
      </c>
      <c r="E73" s="203">
        <v>2176274.1</v>
      </c>
      <c r="F73" s="131">
        <f>(+D73-E73)/E73</f>
        <v>0.35544438083419727</v>
      </c>
      <c r="G73" s="214">
        <f>D73/C73</f>
        <v>0.22447976087705607</v>
      </c>
      <c r="H73" s="122"/>
    </row>
    <row r="74" spans="1:8" ht="15.75" x14ac:dyDescent="0.25">
      <c r="A74" s="129"/>
      <c r="B74" s="130">
        <f>DATE(2024,9,1)</f>
        <v>45536</v>
      </c>
      <c r="C74" s="203">
        <v>13252840</v>
      </c>
      <c r="D74" s="203">
        <v>2576080.2400000002</v>
      </c>
      <c r="E74" s="203">
        <v>3641267.7</v>
      </c>
      <c r="F74" s="131">
        <f>(+D74-E74)/E74</f>
        <v>-0.29253203767468122</v>
      </c>
      <c r="G74" s="214">
        <f>D74/C74</f>
        <v>0.19437948696279442</v>
      </c>
      <c r="H74" s="122"/>
    </row>
    <row r="75" spans="1:8" ht="15.75" x14ac:dyDescent="0.25">
      <c r="A75" s="129"/>
      <c r="B75" s="130">
        <f>DATE(2024,10,1)</f>
        <v>45566</v>
      </c>
      <c r="C75" s="203">
        <v>13175409</v>
      </c>
      <c r="D75" s="203">
        <v>2936056.53</v>
      </c>
      <c r="E75" s="203">
        <v>2255484.27</v>
      </c>
      <c r="F75" s="131">
        <f>(+D75-E75)/E75</f>
        <v>0.30174108019826701</v>
      </c>
      <c r="G75" s="214">
        <f>D75/C75</f>
        <v>0.22284367263285715</v>
      </c>
      <c r="H75" s="122"/>
    </row>
    <row r="76" spans="1:8" ht="15.75" thickBot="1" x14ac:dyDescent="0.25">
      <c r="A76" s="132"/>
      <c r="B76" s="130"/>
      <c r="C76" s="203"/>
      <c r="D76" s="203"/>
      <c r="E76" s="203"/>
      <c r="F76" s="131"/>
      <c r="G76" s="214"/>
      <c r="H76" s="122"/>
    </row>
    <row r="77" spans="1:8" ht="17.25" thickTop="1" thickBot="1" x14ac:dyDescent="0.3">
      <c r="A77" s="140" t="s">
        <v>14</v>
      </c>
      <c r="B77" s="141"/>
      <c r="C77" s="206">
        <f>SUM(C72:C76)</f>
        <v>52094800</v>
      </c>
      <c r="D77" s="206">
        <f>SUM(D72:D76)</f>
        <v>11065559.390000001</v>
      </c>
      <c r="E77" s="206">
        <f>SUM(E72:E76)</f>
        <v>10770044.390000001</v>
      </c>
      <c r="F77" s="142">
        <f>(+D77-E77)/E77</f>
        <v>2.7438605571058372E-2</v>
      </c>
      <c r="G77" s="266">
        <f>D77/C77</f>
        <v>0.21241197566743708</v>
      </c>
      <c r="H77" s="122"/>
    </row>
    <row r="78" spans="1:8" ht="15.75" customHeight="1" thickTop="1" x14ac:dyDescent="0.25">
      <c r="A78" s="137"/>
      <c r="B78" s="138"/>
      <c r="C78" s="204"/>
      <c r="D78" s="204"/>
      <c r="E78" s="204"/>
      <c r="F78" s="139"/>
      <c r="G78" s="218"/>
      <c r="H78" s="122"/>
    </row>
    <row r="79" spans="1:8" ht="15.75" x14ac:dyDescent="0.25">
      <c r="A79" s="129" t="s">
        <v>54</v>
      </c>
      <c r="B79" s="130">
        <f>DATE(2024,7,1)</f>
        <v>45474</v>
      </c>
      <c r="C79" s="203">
        <v>0</v>
      </c>
      <c r="D79" s="203">
        <v>0</v>
      </c>
      <c r="E79" s="203">
        <v>54168.5</v>
      </c>
      <c r="F79" s="131">
        <f>(+D79-E79)/E79</f>
        <v>-1</v>
      </c>
      <c r="G79" s="214">
        <v>0</v>
      </c>
      <c r="H79" s="122"/>
    </row>
    <row r="80" spans="1:8" ht="15.75" x14ac:dyDescent="0.25">
      <c r="A80" s="129"/>
      <c r="B80" s="130">
        <f>DATE(2024,8,1)</f>
        <v>45505</v>
      </c>
      <c r="C80" s="203">
        <v>0</v>
      </c>
      <c r="D80" s="203">
        <v>0</v>
      </c>
      <c r="E80" s="203">
        <v>48279.5</v>
      </c>
      <c r="F80" s="131">
        <f>(+D80-E80)/E80</f>
        <v>-1</v>
      </c>
      <c r="G80" s="214">
        <v>0</v>
      </c>
      <c r="H80" s="122"/>
    </row>
    <row r="81" spans="1:8" ht="15.75" x14ac:dyDescent="0.25">
      <c r="A81" s="129"/>
      <c r="B81" s="130">
        <f>DATE(2024,9,1)</f>
        <v>45536</v>
      </c>
      <c r="C81" s="203">
        <v>0</v>
      </c>
      <c r="D81" s="203">
        <v>0</v>
      </c>
      <c r="E81" s="203">
        <v>44777.5</v>
      </c>
      <c r="F81" s="131">
        <v>-1</v>
      </c>
      <c r="G81" s="214">
        <v>0</v>
      </c>
      <c r="H81" s="122"/>
    </row>
    <row r="82" spans="1:8" ht="15.75" x14ac:dyDescent="0.25">
      <c r="A82" s="129"/>
      <c r="B82" s="130">
        <f>DATE(2024,10,1)</f>
        <v>45566</v>
      </c>
      <c r="C82" s="203">
        <v>0</v>
      </c>
      <c r="D82" s="203">
        <v>0</v>
      </c>
      <c r="E82" s="203">
        <v>43819.5</v>
      </c>
      <c r="F82" s="131">
        <v>-1</v>
      </c>
      <c r="G82" s="214">
        <v>0</v>
      </c>
      <c r="H82" s="122"/>
    </row>
    <row r="83" spans="1:8" ht="15.75" thickBot="1" x14ac:dyDescent="0.25">
      <c r="A83" s="132"/>
      <c r="B83" s="133"/>
      <c r="C83" s="203"/>
      <c r="D83" s="203"/>
      <c r="E83" s="203"/>
      <c r="F83" s="131"/>
      <c r="G83" s="214"/>
      <c r="H83" s="122"/>
    </row>
    <row r="84" spans="1:8" ht="17.25" thickTop="1" thickBot="1" x14ac:dyDescent="0.3">
      <c r="A84" s="143" t="s">
        <v>14</v>
      </c>
      <c r="B84" s="144"/>
      <c r="C84" s="206">
        <f>SUM(C79:C83)</f>
        <v>0</v>
      </c>
      <c r="D84" s="206">
        <f>SUM(D79:D83)</f>
        <v>0</v>
      </c>
      <c r="E84" s="206">
        <f>SUM(E79:E83)</f>
        <v>191045</v>
      </c>
      <c r="F84" s="142">
        <f>(+D84-E84)/E84</f>
        <v>-1</v>
      </c>
      <c r="G84" s="216">
        <v>0</v>
      </c>
      <c r="H84" s="122"/>
    </row>
    <row r="85" spans="1:8" ht="15.75" customHeight="1" thickTop="1" x14ac:dyDescent="0.25">
      <c r="A85" s="129"/>
      <c r="B85" s="133"/>
      <c r="C85" s="203"/>
      <c r="D85" s="203"/>
      <c r="E85" s="203"/>
      <c r="F85" s="131"/>
      <c r="G85" s="217"/>
      <c r="H85" s="122"/>
    </row>
    <row r="86" spans="1:8" ht="15.75" x14ac:dyDescent="0.25">
      <c r="A86" s="129" t="s">
        <v>37</v>
      </c>
      <c r="B86" s="130">
        <f>DATE(2024,7,1)</f>
        <v>45474</v>
      </c>
      <c r="C86" s="203">
        <v>20074379</v>
      </c>
      <c r="D86" s="203">
        <v>4532513.72</v>
      </c>
      <c r="E86" s="203">
        <v>4690410.88</v>
      </c>
      <c r="F86" s="131">
        <f>(+D86-E86)/E86</f>
        <v>-3.3663822645746584E-2</v>
      </c>
      <c r="G86" s="214">
        <f>D86/C86</f>
        <v>0.22578599915842976</v>
      </c>
      <c r="H86" s="122"/>
    </row>
    <row r="87" spans="1:8" ht="15.75" x14ac:dyDescent="0.25">
      <c r="A87" s="129"/>
      <c r="B87" s="130">
        <f>DATE(2024,8,1)</f>
        <v>45505</v>
      </c>
      <c r="C87" s="203">
        <v>20524592</v>
      </c>
      <c r="D87" s="203">
        <v>4951353.17</v>
      </c>
      <c r="E87" s="203">
        <v>3109199.97</v>
      </c>
      <c r="F87" s="131">
        <f>(+D87-E87)/E87</f>
        <v>0.59248463198717949</v>
      </c>
      <c r="G87" s="214">
        <f>D87/C87</f>
        <v>0.24124002903443828</v>
      </c>
      <c r="H87" s="122"/>
    </row>
    <row r="88" spans="1:8" ht="15.75" x14ac:dyDescent="0.25">
      <c r="A88" s="129"/>
      <c r="B88" s="130">
        <f>DATE(2024,9,1)</f>
        <v>45536</v>
      </c>
      <c r="C88" s="203">
        <v>19563697</v>
      </c>
      <c r="D88" s="203">
        <v>4582987.34</v>
      </c>
      <c r="E88" s="203">
        <v>4835353.0999999996</v>
      </c>
      <c r="F88" s="131">
        <f>(+D88-E88)/E88</f>
        <v>-5.219179546577473E-2</v>
      </c>
      <c r="G88" s="214">
        <f>D88/C88</f>
        <v>0.2342597792227103</v>
      </c>
      <c r="H88" s="122"/>
    </row>
    <row r="89" spans="1:8" ht="15.75" x14ac:dyDescent="0.25">
      <c r="A89" s="129"/>
      <c r="B89" s="130">
        <f>DATE(2024,10,1)</f>
        <v>45566</v>
      </c>
      <c r="C89" s="203">
        <v>18176735</v>
      </c>
      <c r="D89" s="203">
        <v>4731206.4800000004</v>
      </c>
      <c r="E89" s="203">
        <v>4925406.22</v>
      </c>
      <c r="F89" s="131">
        <f>(+D89-E89)/E89</f>
        <v>-3.9428167206074491E-2</v>
      </c>
      <c r="G89" s="214">
        <f>D89/C89</f>
        <v>0.26028912673260629</v>
      </c>
      <c r="H89" s="122"/>
    </row>
    <row r="90" spans="1:8" ht="15.75" thickBot="1" x14ac:dyDescent="0.25">
      <c r="A90" s="132"/>
      <c r="B90" s="133"/>
      <c r="C90" s="203"/>
      <c r="D90" s="203"/>
      <c r="E90" s="203"/>
      <c r="F90" s="131"/>
      <c r="G90" s="214"/>
      <c r="H90" s="122"/>
    </row>
    <row r="91" spans="1:8" ht="17.25" thickTop="1" thickBot="1" x14ac:dyDescent="0.3">
      <c r="A91" s="140" t="s">
        <v>14</v>
      </c>
      <c r="B91" s="141"/>
      <c r="C91" s="205">
        <f>SUM(C86:C90)</f>
        <v>78339403</v>
      </c>
      <c r="D91" s="206">
        <f>SUM(D86:D90)</f>
        <v>18798060.710000001</v>
      </c>
      <c r="E91" s="205">
        <f>SUM(E86:E90)</f>
        <v>17560370.169999998</v>
      </c>
      <c r="F91" s="142">
        <f>(+D91-E91)/E91</f>
        <v>7.0482030163262946E-2</v>
      </c>
      <c r="G91" s="216">
        <f>D91/C91</f>
        <v>0.23995665003982736</v>
      </c>
      <c r="H91" s="122"/>
    </row>
    <row r="92" spans="1:8" ht="15.75" customHeight="1" thickTop="1" x14ac:dyDescent="0.25">
      <c r="A92" s="129"/>
      <c r="B92" s="133"/>
      <c r="C92" s="203"/>
      <c r="D92" s="203"/>
      <c r="E92" s="203"/>
      <c r="F92" s="131"/>
      <c r="G92" s="217"/>
      <c r="H92" s="122"/>
    </row>
    <row r="93" spans="1:8" ht="15.75" x14ac:dyDescent="0.25">
      <c r="A93" s="129" t="s">
        <v>57</v>
      </c>
      <c r="B93" s="130">
        <f>DATE(2024,7,1)</f>
        <v>45474</v>
      </c>
      <c r="C93" s="203">
        <v>584831</v>
      </c>
      <c r="D93" s="203">
        <v>133926.5</v>
      </c>
      <c r="E93" s="203">
        <v>167507.5</v>
      </c>
      <c r="F93" s="131">
        <f>(+D93-E93)/E93</f>
        <v>-0.20047460561467398</v>
      </c>
      <c r="G93" s="214">
        <f>D93/C93</f>
        <v>0.22900034368903152</v>
      </c>
      <c r="H93" s="122"/>
    </row>
    <row r="94" spans="1:8" ht="15.75" x14ac:dyDescent="0.25">
      <c r="A94" s="129"/>
      <c r="B94" s="130">
        <f>DATE(2024,8,1)</f>
        <v>45505</v>
      </c>
      <c r="C94" s="203">
        <v>723929</v>
      </c>
      <c r="D94" s="203">
        <v>188568.5</v>
      </c>
      <c r="E94" s="203">
        <v>211410</v>
      </c>
      <c r="F94" s="131">
        <f>(+D94-E94)/E94</f>
        <v>-0.10804361193888652</v>
      </c>
      <c r="G94" s="214">
        <f>D94/C94</f>
        <v>0.26047927351991701</v>
      </c>
      <c r="H94" s="122"/>
    </row>
    <row r="95" spans="1:8" ht="15.75" x14ac:dyDescent="0.25">
      <c r="A95" s="129"/>
      <c r="B95" s="130">
        <f>DATE(2024,9,1)</f>
        <v>45536</v>
      </c>
      <c r="C95" s="203">
        <v>577445</v>
      </c>
      <c r="D95" s="203">
        <v>118770</v>
      </c>
      <c r="E95" s="203">
        <v>169350</v>
      </c>
      <c r="F95" s="131">
        <f>(+D95-E95)/E95</f>
        <v>-0.29867139061116033</v>
      </c>
      <c r="G95" s="214">
        <f>D95/C95</f>
        <v>0.20568192641723454</v>
      </c>
      <c r="H95" s="122"/>
    </row>
    <row r="96" spans="1:8" ht="15.75" x14ac:dyDescent="0.25">
      <c r="A96" s="129"/>
      <c r="B96" s="130">
        <f>DATE(2024,10,1)</f>
        <v>45566</v>
      </c>
      <c r="C96" s="203">
        <v>598796</v>
      </c>
      <c r="D96" s="203">
        <v>142953</v>
      </c>
      <c r="E96" s="203">
        <v>88179.5</v>
      </c>
      <c r="F96" s="131">
        <f>(+D96-E96)/E96</f>
        <v>0.62115911294575266</v>
      </c>
      <c r="G96" s="214">
        <f>D96/C96</f>
        <v>0.23873405967975739</v>
      </c>
      <c r="H96" s="122"/>
    </row>
    <row r="97" spans="1:8" ht="15.75" thickBot="1" x14ac:dyDescent="0.25">
      <c r="A97" s="132"/>
      <c r="B97" s="133"/>
      <c r="C97" s="203"/>
      <c r="D97" s="203"/>
      <c r="E97" s="203"/>
      <c r="F97" s="131"/>
      <c r="G97" s="214"/>
      <c r="H97" s="122"/>
    </row>
    <row r="98" spans="1:8" ht="17.25" thickTop="1" thickBot="1" x14ac:dyDescent="0.3">
      <c r="A98" s="134" t="s">
        <v>14</v>
      </c>
      <c r="B98" s="135"/>
      <c r="C98" s="200">
        <f>SUM(C93:C97)</f>
        <v>2485001</v>
      </c>
      <c r="D98" s="206">
        <f>SUM(D93:D97)</f>
        <v>584218</v>
      </c>
      <c r="E98" s="206">
        <f>SUM(E93:E97)</f>
        <v>636447</v>
      </c>
      <c r="F98" s="142">
        <f>(+D98-E98)/E98</f>
        <v>-8.2063392552718453E-2</v>
      </c>
      <c r="G98" s="216">
        <f>D98/C98</f>
        <v>0.23509769211360479</v>
      </c>
      <c r="H98" s="122"/>
    </row>
    <row r="99" spans="1:8" ht="16.5" thickTop="1" thickBot="1" x14ac:dyDescent="0.25">
      <c r="A99" s="145"/>
      <c r="B99" s="138"/>
      <c r="C99" s="204"/>
      <c r="D99" s="204"/>
      <c r="E99" s="204"/>
      <c r="F99" s="139"/>
      <c r="G99" s="215"/>
      <c r="H99" s="122"/>
    </row>
    <row r="100" spans="1:8" ht="17.25" thickTop="1" thickBot="1" x14ac:dyDescent="0.3">
      <c r="A100" s="146" t="s">
        <v>38</v>
      </c>
      <c r="B100" s="120"/>
      <c r="C100" s="200">
        <f>C98+C91+C70+C56+C42+C28+C14+C35+C84+C21+C63+C77+C49</f>
        <v>443688929.31</v>
      </c>
      <c r="D100" s="200">
        <f>D98+D91+D70+D56+D42+D28+D14+D35+D84+D21+D63+D77+D49</f>
        <v>89266759.210000008</v>
      </c>
      <c r="E100" s="200">
        <f>E98+E91+E70+E56+E42+E28+E14+E35+E84+E21+E63+E77+E49</f>
        <v>87571586.5</v>
      </c>
      <c r="F100" s="136">
        <f>(+D100-E100)/E100</f>
        <v>1.9357565367392405E-2</v>
      </c>
      <c r="G100" s="211">
        <f>D100/C100</f>
        <v>0.2011922166929489</v>
      </c>
      <c r="H100" s="122"/>
    </row>
    <row r="101" spans="1:8" ht="17.25" thickTop="1" thickBot="1" x14ac:dyDescent="0.3">
      <c r="A101" s="146"/>
      <c r="B101" s="120"/>
      <c r="C101" s="200"/>
      <c r="D101" s="200"/>
      <c r="E101" s="200"/>
      <c r="F101" s="136"/>
      <c r="G101" s="211"/>
      <c r="H101" s="122"/>
    </row>
    <row r="102" spans="1:8" ht="17.25" thickTop="1" thickBot="1" x14ac:dyDescent="0.3">
      <c r="A102" s="264" t="s">
        <v>39</v>
      </c>
      <c r="B102" s="265"/>
      <c r="C102" s="205">
        <f>+C12+C19+C26+C33+C40+C47+C54+C61+C68+C75+C82+C89+C96</f>
        <v>104349867</v>
      </c>
      <c r="D102" s="205">
        <f>+D12+D19+D26+D33+D40+D47+D54+D61+D68+D75+D82+D89+D96</f>
        <v>21946915.539999999</v>
      </c>
      <c r="E102" s="205">
        <f>+E12+E19+E26+E33+E40+E47+E54+E61+E68+E75+E82+E89+E96</f>
        <v>20966859.989999998</v>
      </c>
      <c r="F102" s="267">
        <f>(+D102-E102)/E102</f>
        <v>4.6743076954175858E-2</v>
      </c>
      <c r="G102" s="216">
        <f>D102/C102</f>
        <v>0.21032049365237809</v>
      </c>
      <c r="H102" s="122"/>
    </row>
    <row r="103" spans="1:8" ht="16.5" thickTop="1" x14ac:dyDescent="0.25">
      <c r="A103" s="255"/>
      <c r="B103" s="257"/>
      <c r="C103" s="258"/>
      <c r="D103" s="258"/>
      <c r="E103" s="258"/>
      <c r="F103" s="259"/>
      <c r="G103" s="256"/>
      <c r="H103" s="256"/>
    </row>
    <row r="104" spans="1:8" ht="18.75" x14ac:dyDescent="0.3">
      <c r="A104" s="262" t="s">
        <v>40</v>
      </c>
      <c r="B104" s="116"/>
      <c r="C104" s="207"/>
      <c r="D104" s="207"/>
      <c r="E104" s="207"/>
      <c r="F104" s="147"/>
      <c r="G104" s="219"/>
    </row>
    <row r="105" spans="1:8" ht="15.75" x14ac:dyDescent="0.25">
      <c r="A105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49" max="7" man="1"/>
    <brk id="9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thickBot="1" x14ac:dyDescent="0.25">
      <c r="A14" s="166"/>
      <c r="B14" s="167"/>
      <c r="C14" s="225"/>
      <c r="D14" s="225"/>
      <c r="E14" s="225"/>
      <c r="F14" s="165"/>
      <c r="G14" s="240"/>
      <c r="H14" s="241"/>
    </row>
    <row r="15" spans="1:8" ht="17.25" thickTop="1" thickBot="1" x14ac:dyDescent="0.3">
      <c r="A15" s="168" t="s">
        <v>14</v>
      </c>
      <c r="B15" s="154"/>
      <c r="C15" s="222">
        <f>SUM(C10:C14)</f>
        <v>0</v>
      </c>
      <c r="D15" s="222">
        <f>SUM(D10:D14)</f>
        <v>0</v>
      </c>
      <c r="E15" s="222">
        <f>SUM(E10:E14)</f>
        <v>0</v>
      </c>
      <c r="F15" s="175">
        <v>0</v>
      </c>
      <c r="G15" s="244">
        <v>0</v>
      </c>
      <c r="H15" s="245">
        <v>0</v>
      </c>
    </row>
    <row r="16" spans="1:8" ht="15.75" thickTop="1" x14ac:dyDescent="0.2">
      <c r="A16" s="170"/>
      <c r="B16" s="171"/>
      <c r="C16" s="226"/>
      <c r="D16" s="226"/>
      <c r="E16" s="226"/>
      <c r="F16" s="172"/>
      <c r="G16" s="242"/>
      <c r="H16" s="243"/>
    </row>
    <row r="17" spans="1:8" ht="15.75" x14ac:dyDescent="0.25">
      <c r="A17" s="19" t="s">
        <v>48</v>
      </c>
      <c r="B17" s="164">
        <f>DATE(24,7,1)</f>
        <v>8949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41">
        <v>0</v>
      </c>
    </row>
    <row r="18" spans="1:8" ht="15.75" x14ac:dyDescent="0.25">
      <c r="A18" s="19"/>
      <c r="B18" s="164">
        <f>DATE(24,8,1)</f>
        <v>8980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41">
        <v>0</v>
      </c>
    </row>
    <row r="19" spans="1:8" ht="15.75" x14ac:dyDescent="0.25">
      <c r="A19" s="19"/>
      <c r="B19" s="164">
        <f>DATE(24,9,1)</f>
        <v>9011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41">
        <v>0</v>
      </c>
    </row>
    <row r="20" spans="1:8" ht="15.75" x14ac:dyDescent="0.25">
      <c r="A20" s="19"/>
      <c r="B20" s="164">
        <f>DATE(24,10,1)</f>
        <v>9041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41">
        <v>0</v>
      </c>
    </row>
    <row r="21" spans="1:8" ht="15.75" thickBot="1" x14ac:dyDescent="0.25">
      <c r="A21" s="166"/>
      <c r="B21" s="164"/>
      <c r="C21" s="225"/>
      <c r="D21" s="225"/>
      <c r="E21" s="225"/>
      <c r="F21" s="165"/>
      <c r="G21" s="240"/>
      <c r="H21" s="241"/>
    </row>
    <row r="22" spans="1:8" ht="17.25" thickTop="1" thickBot="1" x14ac:dyDescent="0.3">
      <c r="A22" s="168" t="s">
        <v>14</v>
      </c>
      <c r="B22" s="154"/>
      <c r="C22" s="222">
        <f>SUM(C17:C21)</f>
        <v>0</v>
      </c>
      <c r="D22" s="222">
        <f>SUM(D17:D21)</f>
        <v>0</v>
      </c>
      <c r="E22" s="222">
        <f>SUM(E17:E21)</f>
        <v>0</v>
      </c>
      <c r="F22" s="169">
        <v>0</v>
      </c>
      <c r="G22" s="235">
        <v>0</v>
      </c>
      <c r="H22" s="236">
        <v>0</v>
      </c>
    </row>
    <row r="23" spans="1:8" ht="15.75" thickTop="1" x14ac:dyDescent="0.2">
      <c r="A23" s="170"/>
      <c r="B23" s="171"/>
      <c r="C23" s="226"/>
      <c r="D23" s="226"/>
      <c r="E23" s="226"/>
      <c r="F23" s="172"/>
      <c r="G23" s="242"/>
      <c r="H23" s="243"/>
    </row>
    <row r="24" spans="1:8" ht="15.75" x14ac:dyDescent="0.25">
      <c r="A24" s="19" t="s">
        <v>62</v>
      </c>
      <c r="B24" s="164">
        <f>DATE(24,7,1)</f>
        <v>8949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41">
        <v>0</v>
      </c>
    </row>
    <row r="25" spans="1:8" ht="15.75" x14ac:dyDescent="0.25">
      <c r="A25" s="19"/>
      <c r="B25" s="164">
        <f>DATE(24,8,1)</f>
        <v>8980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41">
        <v>0</v>
      </c>
    </row>
    <row r="26" spans="1:8" ht="15.75" x14ac:dyDescent="0.25">
      <c r="A26" s="19"/>
      <c r="B26" s="164">
        <f>DATE(24,9,1)</f>
        <v>9011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x14ac:dyDescent="0.25">
      <c r="A27" s="19"/>
      <c r="B27" s="164">
        <f>DATE(24,10,1)</f>
        <v>9041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41">
        <v>0</v>
      </c>
    </row>
    <row r="28" spans="1:8" ht="15.75" thickBot="1" x14ac:dyDescent="0.25">
      <c r="A28" s="166"/>
      <c r="B28" s="164"/>
      <c r="C28" s="225"/>
      <c r="D28" s="225"/>
      <c r="E28" s="225"/>
      <c r="F28" s="165"/>
      <c r="G28" s="240"/>
      <c r="H28" s="241"/>
    </row>
    <row r="29" spans="1:8" ht="17.25" thickTop="1" thickBot="1" x14ac:dyDescent="0.3">
      <c r="A29" s="173" t="s">
        <v>14</v>
      </c>
      <c r="B29" s="174"/>
      <c r="C29" s="227">
        <f>SUM(C24:C28)</f>
        <v>0</v>
      </c>
      <c r="D29" s="227">
        <f>SUM(D24:D28)</f>
        <v>0</v>
      </c>
      <c r="E29" s="227">
        <f>SUM(E24:E28)</f>
        <v>0</v>
      </c>
      <c r="F29" s="175">
        <v>0</v>
      </c>
      <c r="G29" s="244">
        <v>0</v>
      </c>
      <c r="H29" s="245">
        <v>0</v>
      </c>
    </row>
    <row r="30" spans="1:8" ht="15.75" thickTop="1" x14ac:dyDescent="0.2">
      <c r="A30" s="166"/>
      <c r="B30" s="167"/>
      <c r="C30" s="225"/>
      <c r="D30" s="225"/>
      <c r="E30" s="225"/>
      <c r="F30" s="165"/>
      <c r="G30" s="240"/>
      <c r="H30" s="241"/>
    </row>
    <row r="31" spans="1:8" ht="15.75" x14ac:dyDescent="0.25">
      <c r="A31" s="176" t="s">
        <v>58</v>
      </c>
      <c r="B31" s="164">
        <f>DATE(24,7,1)</f>
        <v>8949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88">
        <v>0</v>
      </c>
    </row>
    <row r="32" spans="1:8" ht="15.75" x14ac:dyDescent="0.25">
      <c r="A32" s="176"/>
      <c r="B32" s="164">
        <f>DATE(24,8,1)</f>
        <v>8980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88">
        <v>0</v>
      </c>
    </row>
    <row r="33" spans="1:8" ht="15.75" x14ac:dyDescent="0.25">
      <c r="A33" s="176"/>
      <c r="B33" s="164">
        <f>DATE(24,9,1)</f>
        <v>9011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88">
        <v>0</v>
      </c>
    </row>
    <row r="34" spans="1:8" ht="15.75" x14ac:dyDescent="0.25">
      <c r="A34" s="176"/>
      <c r="B34" s="164">
        <f>DATE(24,10,1)</f>
        <v>9041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88">
        <v>0</v>
      </c>
    </row>
    <row r="35" spans="1:8" ht="15.75" thickBot="1" x14ac:dyDescent="0.25">
      <c r="A35" s="166"/>
      <c r="B35" s="167"/>
      <c r="C35" s="225"/>
      <c r="D35" s="225"/>
      <c r="E35" s="225"/>
      <c r="F35" s="165"/>
      <c r="G35" s="240"/>
      <c r="H35" s="241"/>
    </row>
    <row r="36" spans="1:8" ht="17.25" thickTop="1" thickBot="1" x14ac:dyDescent="0.3">
      <c r="A36" s="173" t="s">
        <v>14</v>
      </c>
      <c r="B36" s="177"/>
      <c r="C36" s="227">
        <f>SUM(C31:C35)</f>
        <v>0</v>
      </c>
      <c r="D36" s="227">
        <f>SUM(D31:D35)</f>
        <v>0</v>
      </c>
      <c r="E36" s="227">
        <f>SUM(E31:E35)</f>
        <v>0</v>
      </c>
      <c r="F36" s="175">
        <v>0</v>
      </c>
      <c r="G36" s="244">
        <v>0</v>
      </c>
      <c r="H36" s="245">
        <v>0</v>
      </c>
    </row>
    <row r="37" spans="1:8" ht="15.75" thickTop="1" x14ac:dyDescent="0.2">
      <c r="A37" s="166"/>
      <c r="B37" s="167"/>
      <c r="C37" s="225"/>
      <c r="D37" s="225"/>
      <c r="E37" s="225"/>
      <c r="F37" s="165"/>
      <c r="G37" s="240"/>
      <c r="H37" s="241"/>
    </row>
    <row r="38" spans="1:8" ht="15.75" x14ac:dyDescent="0.25">
      <c r="A38" s="163" t="s">
        <v>60</v>
      </c>
      <c r="B38" s="164">
        <f>DATE(24,7,1)</f>
        <v>8949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41">
        <v>0</v>
      </c>
    </row>
    <row r="39" spans="1:8" ht="15.75" x14ac:dyDescent="0.25">
      <c r="A39" s="163"/>
      <c r="B39" s="164">
        <f>DATE(24,8,1)</f>
        <v>8980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41">
        <v>0</v>
      </c>
    </row>
    <row r="40" spans="1:8" ht="15.75" x14ac:dyDescent="0.25">
      <c r="A40" s="163"/>
      <c r="B40" s="164">
        <f>DATE(24,9,1)</f>
        <v>9011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63"/>
      <c r="B41" s="164">
        <f>DATE(24,10,1)</f>
        <v>9041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41">
        <v>0</v>
      </c>
    </row>
    <row r="42" spans="1:8" ht="15.75" thickBot="1" x14ac:dyDescent="0.25">
      <c r="A42" s="166"/>
      <c r="B42" s="164"/>
      <c r="C42" s="225"/>
      <c r="D42" s="225"/>
      <c r="E42" s="225"/>
      <c r="F42" s="165"/>
      <c r="G42" s="240"/>
      <c r="H42" s="241"/>
    </row>
    <row r="43" spans="1:8" ht="17.25" thickTop="1" thickBot="1" x14ac:dyDescent="0.3">
      <c r="A43" s="173" t="s">
        <v>14</v>
      </c>
      <c r="B43" s="174"/>
      <c r="C43" s="227">
        <f>SUM(C38:C42)</f>
        <v>0</v>
      </c>
      <c r="D43" s="229">
        <f>SUM(D38:D42)</f>
        <v>0</v>
      </c>
      <c r="E43" s="270">
        <f>SUM(E38:E42)</f>
        <v>0</v>
      </c>
      <c r="F43" s="175">
        <v>0</v>
      </c>
      <c r="G43" s="244">
        <v>0</v>
      </c>
      <c r="H43" s="245">
        <v>0</v>
      </c>
    </row>
    <row r="44" spans="1:8" ht="15.75" thickTop="1" x14ac:dyDescent="0.2">
      <c r="A44" s="166"/>
      <c r="B44" s="167"/>
      <c r="C44" s="225"/>
      <c r="D44" s="225"/>
      <c r="E44" s="225"/>
      <c r="F44" s="165"/>
      <c r="G44" s="240"/>
      <c r="H44" s="241"/>
    </row>
    <row r="45" spans="1:8" ht="15.75" x14ac:dyDescent="0.25">
      <c r="A45" s="163" t="s">
        <v>64</v>
      </c>
      <c r="B45" s="164">
        <f>DATE(24,7,1)</f>
        <v>8949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41">
        <v>0</v>
      </c>
    </row>
    <row r="46" spans="1:8" ht="15.75" x14ac:dyDescent="0.25">
      <c r="A46" s="163"/>
      <c r="B46" s="164">
        <f>DATE(24,8,1)</f>
        <v>8980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41">
        <v>0</v>
      </c>
    </row>
    <row r="47" spans="1:8" ht="15.75" x14ac:dyDescent="0.25">
      <c r="A47" s="163"/>
      <c r="B47" s="164">
        <f>DATE(24,9,1)</f>
        <v>9011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41">
        <v>0</v>
      </c>
    </row>
    <row r="48" spans="1:8" ht="15.75" x14ac:dyDescent="0.25">
      <c r="A48" s="163"/>
      <c r="B48" s="164">
        <f>DATE(24,10,1)</f>
        <v>9041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41">
        <v>0</v>
      </c>
    </row>
    <row r="49" spans="1:8" ht="15.75" thickBot="1" x14ac:dyDescent="0.25">
      <c r="A49" s="166"/>
      <c r="B49" s="164"/>
      <c r="C49" s="225"/>
      <c r="D49" s="225"/>
      <c r="E49" s="225"/>
      <c r="F49" s="165"/>
      <c r="G49" s="240"/>
      <c r="H49" s="241"/>
    </row>
    <row r="50" spans="1:8" ht="17.25" thickTop="1" thickBot="1" x14ac:dyDescent="0.3">
      <c r="A50" s="173" t="s">
        <v>14</v>
      </c>
      <c r="B50" s="174"/>
      <c r="C50" s="227">
        <f>SUM(C45:C49)</f>
        <v>0</v>
      </c>
      <c r="D50" s="229">
        <f>SUM(D45:D49)</f>
        <v>0</v>
      </c>
      <c r="E50" s="270">
        <f>SUM(E45:E49)</f>
        <v>0</v>
      </c>
      <c r="F50" s="175">
        <v>0</v>
      </c>
      <c r="G50" s="244">
        <v>0</v>
      </c>
      <c r="H50" s="245">
        <v>0</v>
      </c>
    </row>
    <row r="51" spans="1:8" ht="15.75" thickTop="1" x14ac:dyDescent="0.2">
      <c r="A51" s="166"/>
      <c r="B51" s="167"/>
      <c r="C51" s="225"/>
      <c r="D51" s="225"/>
      <c r="E51" s="225"/>
      <c r="F51" s="165"/>
      <c r="G51" s="240"/>
      <c r="H51" s="241"/>
    </row>
    <row r="52" spans="1:8" ht="15.75" x14ac:dyDescent="0.25">
      <c r="A52" s="163" t="s">
        <v>67</v>
      </c>
      <c r="B52" s="164">
        <f>DATE(24,7,1)</f>
        <v>8949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41">
        <v>0</v>
      </c>
    </row>
    <row r="53" spans="1:8" ht="15.75" x14ac:dyDescent="0.25">
      <c r="A53" s="163"/>
      <c r="B53" s="164">
        <f>DATE(24,8,1)</f>
        <v>8980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41">
        <v>0</v>
      </c>
    </row>
    <row r="54" spans="1:8" ht="15.75" x14ac:dyDescent="0.25">
      <c r="A54" s="163"/>
      <c r="B54" s="164">
        <f>DATE(24,9,1)</f>
        <v>9011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41">
        <v>0</v>
      </c>
    </row>
    <row r="55" spans="1:8" ht="15.75" x14ac:dyDescent="0.25">
      <c r="A55" s="163"/>
      <c r="B55" s="164">
        <f>DATE(24,10,1)</f>
        <v>9041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41">
        <v>0</v>
      </c>
    </row>
    <row r="56" spans="1:8" ht="15.75" thickBot="1" x14ac:dyDescent="0.25">
      <c r="A56" s="166"/>
      <c r="B56" s="164"/>
      <c r="C56" s="225"/>
      <c r="D56" s="225"/>
      <c r="E56" s="225"/>
      <c r="F56" s="165"/>
      <c r="G56" s="240"/>
      <c r="H56" s="241"/>
    </row>
    <row r="57" spans="1:8" ht="17.25" thickTop="1" thickBot="1" x14ac:dyDescent="0.3">
      <c r="A57" s="173" t="s">
        <v>14</v>
      </c>
      <c r="B57" s="174"/>
      <c r="C57" s="227">
        <f>SUM(C52:C56)</f>
        <v>0</v>
      </c>
      <c r="D57" s="229">
        <f>SUM(D52:D56)</f>
        <v>0</v>
      </c>
      <c r="E57" s="270">
        <f>SUM(E52:E56)</f>
        <v>0</v>
      </c>
      <c r="F57" s="175">
        <v>0</v>
      </c>
      <c r="G57" s="244">
        <v>0</v>
      </c>
      <c r="H57" s="245">
        <v>0</v>
      </c>
    </row>
    <row r="58" spans="1:8" ht="15.75" thickTop="1" x14ac:dyDescent="0.2">
      <c r="A58" s="166"/>
      <c r="B58" s="167"/>
      <c r="C58" s="225"/>
      <c r="D58" s="225"/>
      <c r="E58" s="225"/>
      <c r="F58" s="165"/>
      <c r="G58" s="240"/>
      <c r="H58" s="241"/>
    </row>
    <row r="59" spans="1:8" ht="15.75" x14ac:dyDescent="0.25">
      <c r="A59" s="163" t="s">
        <v>69</v>
      </c>
      <c r="B59" s="164">
        <f>DATE(24,7,1)</f>
        <v>8949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41">
        <v>0</v>
      </c>
    </row>
    <row r="60" spans="1:8" ht="15.75" x14ac:dyDescent="0.25">
      <c r="A60" s="163"/>
      <c r="B60" s="164">
        <f>DATE(24,8,1)</f>
        <v>8980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41">
        <v>0</v>
      </c>
    </row>
    <row r="61" spans="1:8" ht="15.75" x14ac:dyDescent="0.25">
      <c r="A61" s="163"/>
      <c r="B61" s="164">
        <f>DATE(24,9,1)</f>
        <v>9011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41">
        <v>0</v>
      </c>
    </row>
    <row r="62" spans="1:8" ht="15.75" x14ac:dyDescent="0.25">
      <c r="A62" s="163"/>
      <c r="B62" s="164">
        <f>DATE(24,10,1)</f>
        <v>9041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41">
        <v>0</v>
      </c>
    </row>
    <row r="63" spans="1:8" ht="15.75" thickBot="1" x14ac:dyDescent="0.25">
      <c r="A63" s="166"/>
      <c r="B63" s="164"/>
      <c r="C63" s="225"/>
      <c r="D63" s="225"/>
      <c r="E63" s="225"/>
      <c r="F63" s="165"/>
      <c r="G63" s="240"/>
      <c r="H63" s="241"/>
    </row>
    <row r="64" spans="1:8" ht="17.25" thickTop="1" thickBot="1" x14ac:dyDescent="0.3">
      <c r="A64" s="173" t="s">
        <v>14</v>
      </c>
      <c r="B64" s="174"/>
      <c r="C64" s="227">
        <f>SUM(C59:C63)</f>
        <v>0</v>
      </c>
      <c r="D64" s="229">
        <f>SUM(D59:D63)</f>
        <v>0</v>
      </c>
      <c r="E64" s="270">
        <f>SUM(E59:E63)</f>
        <v>0</v>
      </c>
      <c r="F64" s="175">
        <v>0</v>
      </c>
      <c r="G64" s="248">
        <v>0</v>
      </c>
      <c r="H64" s="269">
        <v>0</v>
      </c>
    </row>
    <row r="65" spans="1:8" ht="15.75" thickTop="1" x14ac:dyDescent="0.2">
      <c r="A65" s="166"/>
      <c r="B65" s="178"/>
      <c r="C65" s="228"/>
      <c r="D65" s="228"/>
      <c r="E65" s="228"/>
      <c r="F65" s="179"/>
      <c r="G65" s="246"/>
      <c r="H65" s="247"/>
    </row>
    <row r="66" spans="1:8" ht="15.75" x14ac:dyDescent="0.25">
      <c r="A66" s="163" t="s">
        <v>16</v>
      </c>
      <c r="B66" s="164">
        <f>DATE(24,7,1)</f>
        <v>8949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41">
        <v>0</v>
      </c>
    </row>
    <row r="67" spans="1:8" ht="15.75" x14ac:dyDescent="0.25">
      <c r="A67" s="163"/>
      <c r="B67" s="164">
        <f>DATE(24,8,1)</f>
        <v>8980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41">
        <v>0</v>
      </c>
    </row>
    <row r="68" spans="1:8" ht="15.75" x14ac:dyDescent="0.25">
      <c r="A68" s="163"/>
      <c r="B68" s="164">
        <f>DATE(24,9,1)</f>
        <v>9011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41">
        <v>0</v>
      </c>
    </row>
    <row r="69" spans="1:8" ht="15.75" x14ac:dyDescent="0.25">
      <c r="A69" s="163"/>
      <c r="B69" s="164">
        <f>DATE(24,10,1)</f>
        <v>9041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41">
        <v>0</v>
      </c>
    </row>
    <row r="70" spans="1:8" ht="16.5" thickBot="1" x14ac:dyDescent="0.3">
      <c r="A70" s="163"/>
      <c r="B70" s="164"/>
      <c r="C70" s="225"/>
      <c r="D70" s="225"/>
      <c r="E70" s="225"/>
      <c r="F70" s="165"/>
      <c r="G70" s="240"/>
      <c r="H70" s="241"/>
    </row>
    <row r="71" spans="1:8" ht="17.25" thickTop="1" thickBot="1" x14ac:dyDescent="0.3">
      <c r="A71" s="173" t="s">
        <v>14</v>
      </c>
      <c r="B71" s="180"/>
      <c r="C71" s="227">
        <f>SUM(C66:C70)</f>
        <v>0</v>
      </c>
      <c r="D71" s="227">
        <f>SUM(D66:D70)</f>
        <v>0</v>
      </c>
      <c r="E71" s="227">
        <f>SUM(E66:E70)</f>
        <v>0</v>
      </c>
      <c r="F71" s="175">
        <v>0</v>
      </c>
      <c r="G71" s="244">
        <v>0</v>
      </c>
      <c r="H71" s="245">
        <v>0</v>
      </c>
    </row>
    <row r="72" spans="1:8" ht="15.75" thickTop="1" x14ac:dyDescent="0.2">
      <c r="A72" s="170"/>
      <c r="B72" s="171"/>
      <c r="C72" s="226"/>
      <c r="D72" s="226"/>
      <c r="E72" s="226"/>
      <c r="F72" s="172"/>
      <c r="G72" s="242"/>
      <c r="H72" s="243"/>
    </row>
    <row r="73" spans="1:8" ht="15.75" x14ac:dyDescent="0.25">
      <c r="A73" s="163" t="s">
        <v>53</v>
      </c>
      <c r="B73" s="164">
        <f>DATE(24,7,1)</f>
        <v>8949</v>
      </c>
      <c r="C73" s="225">
        <v>1481325</v>
      </c>
      <c r="D73" s="225">
        <v>68164.28</v>
      </c>
      <c r="E73" s="225">
        <v>0</v>
      </c>
      <c r="F73" s="165">
        <v>1</v>
      </c>
      <c r="G73" s="240">
        <f>+D73/C73</f>
        <v>4.6015749413531801E-2</v>
      </c>
      <c r="H73" s="288">
        <f>1-G73</f>
        <v>0.95398425058646819</v>
      </c>
    </row>
    <row r="74" spans="1:8" ht="15.75" x14ac:dyDescent="0.25">
      <c r="A74" s="163"/>
      <c r="B74" s="164">
        <f>DATE(24,8,1)</f>
        <v>8980</v>
      </c>
      <c r="C74" s="225">
        <v>1838291</v>
      </c>
      <c r="D74" s="225">
        <v>71751.61</v>
      </c>
      <c r="E74" s="225">
        <v>0</v>
      </c>
      <c r="F74" s="165">
        <v>1</v>
      </c>
      <c r="G74" s="240">
        <f>+D74/C74</f>
        <v>3.9031693023574614E-2</v>
      </c>
      <c r="H74" s="288">
        <f>1-G74</f>
        <v>0.96096830697642543</v>
      </c>
    </row>
    <row r="75" spans="1:8" ht="15.75" x14ac:dyDescent="0.25">
      <c r="A75" s="163"/>
      <c r="B75" s="164">
        <f>DATE(24,9,1)</f>
        <v>9011</v>
      </c>
      <c r="C75" s="225">
        <v>1248806</v>
      </c>
      <c r="D75" s="225">
        <v>43866.52</v>
      </c>
      <c r="E75" s="225">
        <v>0</v>
      </c>
      <c r="F75" s="165">
        <v>1</v>
      </c>
      <c r="G75" s="240">
        <f>+D75/C75</f>
        <v>3.5126769089834607E-2</v>
      </c>
      <c r="H75" s="288">
        <f>1-G75</f>
        <v>0.96487323091016541</v>
      </c>
    </row>
    <row r="76" spans="1:8" ht="15.75" x14ac:dyDescent="0.25">
      <c r="A76" s="163"/>
      <c r="B76" s="164">
        <f>DATE(24,10,1)</f>
        <v>9041</v>
      </c>
      <c r="C76" s="225">
        <v>1657478</v>
      </c>
      <c r="D76" s="225">
        <v>65540.570000000007</v>
      </c>
      <c r="E76" s="225">
        <v>0</v>
      </c>
      <c r="F76" s="165">
        <v>1</v>
      </c>
      <c r="G76" s="240">
        <f>+D76/C76</f>
        <v>3.9542346866745744E-2</v>
      </c>
      <c r="H76" s="288">
        <f>1-G76</f>
        <v>0.96045765313325426</v>
      </c>
    </row>
    <row r="77" spans="1:8" ht="15.75" thickBot="1" x14ac:dyDescent="0.25">
      <c r="A77" s="166"/>
      <c r="B77" s="167"/>
      <c r="C77" s="225"/>
      <c r="D77" s="225"/>
      <c r="E77" s="225"/>
      <c r="F77" s="165"/>
      <c r="G77" s="240"/>
      <c r="H77" s="241"/>
    </row>
    <row r="78" spans="1:8" ht="17.25" thickTop="1" thickBot="1" x14ac:dyDescent="0.3">
      <c r="A78" s="173" t="s">
        <v>14</v>
      </c>
      <c r="B78" s="174"/>
      <c r="C78" s="227">
        <f>SUM(C73:C77)</f>
        <v>6225900</v>
      </c>
      <c r="D78" s="227">
        <f>SUM(D73:D77)</f>
        <v>249322.98</v>
      </c>
      <c r="E78" s="227">
        <f>SUM(E73:E77)</f>
        <v>0</v>
      </c>
      <c r="F78" s="175">
        <v>1</v>
      </c>
      <c r="G78" s="290">
        <f>+D78/C78</f>
        <v>4.0046094540548353E-2</v>
      </c>
      <c r="H78" s="291">
        <f>1-G78</f>
        <v>0.9599539054594517</v>
      </c>
    </row>
    <row r="79" spans="1:8" ht="15.75" thickTop="1" x14ac:dyDescent="0.2">
      <c r="A79" s="166"/>
      <c r="B79" s="167"/>
      <c r="C79" s="225"/>
      <c r="D79" s="225"/>
      <c r="E79" s="225"/>
      <c r="F79" s="165"/>
      <c r="G79" s="240"/>
      <c r="H79" s="241"/>
    </row>
    <row r="80" spans="1:8" ht="15.75" x14ac:dyDescent="0.25">
      <c r="A80" s="163" t="s">
        <v>54</v>
      </c>
      <c r="B80" s="164">
        <f>DATE(24,7,1)</f>
        <v>8949</v>
      </c>
      <c r="C80" s="225">
        <v>0</v>
      </c>
      <c r="D80" s="225">
        <v>0</v>
      </c>
      <c r="E80" s="225">
        <v>0</v>
      </c>
      <c r="F80" s="165">
        <v>0</v>
      </c>
      <c r="G80" s="240">
        <v>0</v>
      </c>
      <c r="H80" s="241">
        <v>0</v>
      </c>
    </row>
    <row r="81" spans="1:8" ht="15.75" x14ac:dyDescent="0.25">
      <c r="A81" s="163"/>
      <c r="B81" s="164">
        <f>DATE(24,8,1)</f>
        <v>8980</v>
      </c>
      <c r="C81" s="225">
        <v>0</v>
      </c>
      <c r="D81" s="225">
        <v>0</v>
      </c>
      <c r="E81" s="225">
        <v>0</v>
      </c>
      <c r="F81" s="165">
        <v>0</v>
      </c>
      <c r="G81" s="240">
        <v>0</v>
      </c>
      <c r="H81" s="241">
        <v>0</v>
      </c>
    </row>
    <row r="82" spans="1:8" ht="15.75" x14ac:dyDescent="0.25">
      <c r="A82" s="163"/>
      <c r="B82" s="164">
        <f>DATE(24,9,1)</f>
        <v>9011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ht="15.75" x14ac:dyDescent="0.25">
      <c r="A83" s="163"/>
      <c r="B83" s="164">
        <f>DATE(24,10,1)</f>
        <v>9041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41">
        <v>0</v>
      </c>
    </row>
    <row r="84" spans="1:8" ht="15.75" thickBot="1" x14ac:dyDescent="0.25">
      <c r="A84" s="166"/>
      <c r="B84" s="167"/>
      <c r="C84" s="225"/>
      <c r="D84" s="225"/>
      <c r="E84" s="225"/>
      <c r="F84" s="165"/>
      <c r="G84" s="240"/>
      <c r="H84" s="241"/>
    </row>
    <row r="85" spans="1:8" ht="17.25" thickTop="1" thickBot="1" x14ac:dyDescent="0.3">
      <c r="A85" s="181" t="s">
        <v>14</v>
      </c>
      <c r="B85" s="182"/>
      <c r="C85" s="229">
        <f>SUM(C80:C84)</f>
        <v>0</v>
      </c>
      <c r="D85" s="229">
        <f>SUM(D80:D84)</f>
        <v>0</v>
      </c>
      <c r="E85" s="229">
        <f>SUM(E80:E84)</f>
        <v>0</v>
      </c>
      <c r="F85" s="175">
        <v>0</v>
      </c>
      <c r="G85" s="244">
        <v>0</v>
      </c>
      <c r="H85" s="245">
        <v>0</v>
      </c>
    </row>
    <row r="86" spans="1:8" ht="15.75" thickTop="1" x14ac:dyDescent="0.2">
      <c r="A86" s="166"/>
      <c r="B86" s="167"/>
      <c r="C86" s="225"/>
      <c r="D86" s="225"/>
      <c r="E86" s="225"/>
      <c r="F86" s="165"/>
      <c r="G86" s="240"/>
      <c r="H86" s="241"/>
    </row>
    <row r="87" spans="1:8" ht="15.75" x14ac:dyDescent="0.25">
      <c r="A87" s="163" t="s">
        <v>37</v>
      </c>
      <c r="B87" s="164">
        <f>DATE(24,7,1)</f>
        <v>8949</v>
      </c>
      <c r="C87" s="225">
        <v>0</v>
      </c>
      <c r="D87" s="225">
        <v>0</v>
      </c>
      <c r="E87" s="225">
        <v>179389.2</v>
      </c>
      <c r="F87" s="165">
        <f>+(D87-E87)/E87</f>
        <v>-1</v>
      </c>
      <c r="G87" s="240">
        <v>0</v>
      </c>
      <c r="H87" s="288">
        <v>0</v>
      </c>
    </row>
    <row r="88" spans="1:8" ht="15.75" x14ac:dyDescent="0.25">
      <c r="A88" s="163"/>
      <c r="B88" s="164">
        <f>DATE(24,8,1)</f>
        <v>8980</v>
      </c>
      <c r="C88" s="225">
        <v>0</v>
      </c>
      <c r="D88" s="225">
        <v>0</v>
      </c>
      <c r="E88" s="225">
        <v>198288.36</v>
      </c>
      <c r="F88" s="165">
        <f>+(D88-E88)/E88</f>
        <v>-1</v>
      </c>
      <c r="G88" s="240">
        <v>0</v>
      </c>
      <c r="H88" s="288">
        <v>0</v>
      </c>
    </row>
    <row r="89" spans="1:8" ht="15.75" x14ac:dyDescent="0.25">
      <c r="A89" s="163"/>
      <c r="B89" s="164">
        <f>DATE(24,9,1)</f>
        <v>9011</v>
      </c>
      <c r="C89" s="225">
        <v>0</v>
      </c>
      <c r="D89" s="225">
        <v>0</v>
      </c>
      <c r="E89" s="225">
        <v>223122.42</v>
      </c>
      <c r="F89" s="165">
        <f>+(D89-E89)/E89</f>
        <v>-1</v>
      </c>
      <c r="G89" s="240">
        <v>0</v>
      </c>
      <c r="H89" s="288">
        <v>0</v>
      </c>
    </row>
    <row r="90" spans="1:8" ht="15.75" x14ac:dyDescent="0.25">
      <c r="A90" s="163"/>
      <c r="B90" s="164">
        <f>DATE(24,10,1)</f>
        <v>9041</v>
      </c>
      <c r="C90" s="225">
        <v>0</v>
      </c>
      <c r="D90" s="225">
        <v>0</v>
      </c>
      <c r="E90" s="225">
        <v>233641.67</v>
      </c>
      <c r="F90" s="165">
        <f>+(D90-E90)/E90</f>
        <v>-1</v>
      </c>
      <c r="G90" s="240">
        <v>0</v>
      </c>
      <c r="H90" s="288">
        <v>0</v>
      </c>
    </row>
    <row r="91" spans="1:8" ht="15.75" thickBot="1" x14ac:dyDescent="0.25">
      <c r="A91" s="166"/>
      <c r="B91" s="167"/>
      <c r="C91" s="225"/>
      <c r="D91" s="225"/>
      <c r="E91" s="225"/>
      <c r="F91" s="165"/>
      <c r="G91" s="240"/>
      <c r="H91" s="241"/>
    </row>
    <row r="92" spans="1:8" ht="17.25" thickTop="1" thickBot="1" x14ac:dyDescent="0.3">
      <c r="A92" s="173" t="s">
        <v>14</v>
      </c>
      <c r="B92" s="174"/>
      <c r="C92" s="227">
        <f>SUM(C87:C91)</f>
        <v>0</v>
      </c>
      <c r="D92" s="227">
        <f>SUM(D87:D91)</f>
        <v>0</v>
      </c>
      <c r="E92" s="227">
        <f>SUM(E87:E91)</f>
        <v>834441.65</v>
      </c>
      <c r="F92" s="175">
        <f>+(D92-E92)/E92</f>
        <v>-1</v>
      </c>
      <c r="G92" s="244">
        <v>0</v>
      </c>
      <c r="H92" s="245">
        <v>0</v>
      </c>
    </row>
    <row r="93" spans="1:8" ht="15.75" thickTop="1" x14ac:dyDescent="0.2">
      <c r="A93" s="166"/>
      <c r="B93" s="167"/>
      <c r="C93" s="225"/>
      <c r="D93" s="225"/>
      <c r="E93" s="225"/>
      <c r="F93" s="165"/>
      <c r="G93" s="240"/>
      <c r="H93" s="241"/>
    </row>
    <row r="94" spans="1:8" ht="15.75" x14ac:dyDescent="0.25">
      <c r="A94" s="163" t="s">
        <v>57</v>
      </c>
      <c r="B94" s="164">
        <f>DATE(24,7,1)</f>
        <v>8949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41">
        <v>0</v>
      </c>
    </row>
    <row r="95" spans="1:8" ht="15.75" x14ac:dyDescent="0.25">
      <c r="A95" s="163"/>
      <c r="B95" s="164">
        <f>DATE(24,8,1)</f>
        <v>8980</v>
      </c>
      <c r="C95" s="225">
        <v>0</v>
      </c>
      <c r="D95" s="225">
        <v>0</v>
      </c>
      <c r="E95" s="225">
        <v>0</v>
      </c>
      <c r="F95" s="165">
        <v>0</v>
      </c>
      <c r="G95" s="240">
        <v>0</v>
      </c>
      <c r="H95" s="241">
        <v>0</v>
      </c>
    </row>
    <row r="96" spans="1:8" ht="15.75" x14ac:dyDescent="0.25">
      <c r="A96" s="163"/>
      <c r="B96" s="164">
        <f>DATE(24,9,1)</f>
        <v>9011</v>
      </c>
      <c r="C96" s="225">
        <v>0</v>
      </c>
      <c r="D96" s="225">
        <v>0</v>
      </c>
      <c r="E96" s="225">
        <v>0</v>
      </c>
      <c r="F96" s="165">
        <v>0</v>
      </c>
      <c r="G96" s="240">
        <v>0</v>
      </c>
      <c r="H96" s="241">
        <v>0</v>
      </c>
    </row>
    <row r="97" spans="1:8" ht="15.75" x14ac:dyDescent="0.25">
      <c r="A97" s="163"/>
      <c r="B97" s="164">
        <f>DATE(24,10,1)</f>
        <v>9041</v>
      </c>
      <c r="C97" s="225">
        <v>107742</v>
      </c>
      <c r="D97" s="225">
        <v>9398.39</v>
      </c>
      <c r="E97" s="225">
        <v>0</v>
      </c>
      <c r="F97" s="165">
        <v>1</v>
      </c>
      <c r="G97" s="240">
        <f>+D97/C97</f>
        <v>8.7230513634422968E-2</v>
      </c>
      <c r="H97" s="288">
        <f>1-G97</f>
        <v>0.91276948636557709</v>
      </c>
    </row>
    <row r="98" spans="1:8" ht="15.75" thickBot="1" x14ac:dyDescent="0.25">
      <c r="A98" s="166"/>
      <c r="B98" s="167"/>
      <c r="C98" s="225"/>
      <c r="D98" s="225"/>
      <c r="E98" s="225"/>
      <c r="F98" s="165"/>
      <c r="G98" s="240"/>
      <c r="H98" s="241"/>
    </row>
    <row r="99" spans="1:8" ht="17.25" thickTop="1" thickBot="1" x14ac:dyDescent="0.3">
      <c r="A99" s="168" t="s">
        <v>14</v>
      </c>
      <c r="B99" s="154"/>
      <c r="C99" s="222">
        <f>SUM(C94:C98)</f>
        <v>107742</v>
      </c>
      <c r="D99" s="222">
        <f>SUM(D94:D98)</f>
        <v>9398.39</v>
      </c>
      <c r="E99" s="222">
        <f>SUM(E94:E98)</f>
        <v>0</v>
      </c>
      <c r="F99" s="175">
        <v>1</v>
      </c>
      <c r="G99" s="290">
        <f>+D99/C99</f>
        <v>8.7230513634422968E-2</v>
      </c>
      <c r="H99" s="291">
        <f>1-G99</f>
        <v>0.91276948636557709</v>
      </c>
    </row>
    <row r="100" spans="1:8" ht="16.5" thickTop="1" thickBot="1" x14ac:dyDescent="0.25">
      <c r="A100" s="170"/>
      <c r="B100" s="171"/>
      <c r="C100" s="226"/>
      <c r="D100" s="226"/>
      <c r="E100" s="226"/>
      <c r="F100" s="172"/>
      <c r="G100" s="242"/>
      <c r="H100" s="243"/>
    </row>
    <row r="101" spans="1:8" ht="17.25" thickTop="1" thickBot="1" x14ac:dyDescent="0.3">
      <c r="A101" s="183" t="s">
        <v>38</v>
      </c>
      <c r="B101" s="154"/>
      <c r="C101" s="222">
        <f>C99+C92+C71+C57+C43+C29+C15+C36+C85+C22+C64+C78+C50</f>
        <v>6333642</v>
      </c>
      <c r="D101" s="222">
        <f>D99+D92+D71+D57+D43+D29+D15+D36+D85+D22+D64+D78+D50</f>
        <v>258721.37</v>
      </c>
      <c r="E101" s="222">
        <f>E99+E92+E71+E57+E43+E29+E15+E36+E85+E22+E64+E78+E50</f>
        <v>834441.65</v>
      </c>
      <c r="F101" s="175">
        <f>+(D101-E101)/E101</f>
        <v>-0.68994672066045604</v>
      </c>
      <c r="G101" s="235">
        <f>D101/C101</f>
        <v>4.0848751792412645E-2</v>
      </c>
      <c r="H101" s="236">
        <f>1-G101</f>
        <v>0.95915124820758735</v>
      </c>
    </row>
    <row r="102" spans="1:8" ht="17.25" thickTop="1" thickBot="1" x14ac:dyDescent="0.3">
      <c r="A102" s="183"/>
      <c r="B102" s="154"/>
      <c r="C102" s="222"/>
      <c r="D102" s="222"/>
      <c r="E102" s="222"/>
      <c r="F102" s="169"/>
      <c r="G102" s="235"/>
      <c r="H102" s="236"/>
    </row>
    <row r="103" spans="1:8" ht="17.25" thickTop="1" thickBot="1" x14ac:dyDescent="0.3">
      <c r="A103" s="183" t="s">
        <v>39</v>
      </c>
      <c r="B103" s="154"/>
      <c r="C103" s="222">
        <f>+C13+C20+C27+C34+C41+C48+C55+C62+C69+C76+C83+C90+C97</f>
        <v>1765220</v>
      </c>
      <c r="D103" s="222">
        <f>+D13+D20+D27+D34+D41+D48+D55+D62+D69+D76+D83+D90+D97</f>
        <v>74938.960000000006</v>
      </c>
      <c r="E103" s="222">
        <f>+E13+E20+E27+E34+E41+E48+E55+E62+E69+E76+E83+E90+E97</f>
        <v>233641.67</v>
      </c>
      <c r="F103" s="175">
        <f>+(D103-E103)/E103</f>
        <v>-0.67925687228652321</v>
      </c>
      <c r="G103" s="235">
        <f>D103/C103</f>
        <v>4.2453042680232499E-2</v>
      </c>
      <c r="H103" s="245">
        <f>1-G103</f>
        <v>0.95754695731976747</v>
      </c>
    </row>
    <row r="104" spans="1:8" ht="16.5" thickTop="1" x14ac:dyDescent="0.25">
      <c r="A104" s="184"/>
      <c r="B104" s="185"/>
      <c r="C104" s="230"/>
      <c r="D104" s="230"/>
      <c r="E104" s="230"/>
      <c r="F104" s="186"/>
      <c r="G104" s="249"/>
      <c r="H104" s="249"/>
    </row>
    <row r="105" spans="1:8" ht="18.75" x14ac:dyDescent="0.3">
      <c r="A105" s="187" t="s">
        <v>49</v>
      </c>
      <c r="B105" s="188"/>
      <c r="C105" s="231"/>
      <c r="D105" s="231"/>
      <c r="E105" s="231"/>
      <c r="F105" s="189"/>
      <c r="G105" s="250"/>
      <c r="H105" s="250"/>
    </row>
    <row r="106" spans="1:8" ht="15.75" x14ac:dyDescent="0.25">
      <c r="A106" s="190"/>
      <c r="B106" s="188"/>
      <c r="C106" s="231"/>
      <c r="D106" s="231"/>
      <c r="E106" s="231"/>
      <c r="F106" s="189"/>
      <c r="G106" s="256"/>
      <c r="H106" s="256"/>
    </row>
  </sheetData>
  <printOptions horizontalCentered="1"/>
  <pageMargins left="0.7" right="0.45" top="0.25" bottom="0.25" header="0.3" footer="0.3"/>
  <pageSetup scale="65" orientation="landscape" r:id="rId1"/>
  <rowBreaks count="2" manualBreakCount="2">
    <brk id="50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7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118534778.8</v>
      </c>
      <c r="D10" s="225">
        <v>11227961.560000001</v>
      </c>
      <c r="E10" s="225">
        <v>12225071.779999999</v>
      </c>
      <c r="F10" s="165">
        <f>(+D10-E10)/E10</f>
        <v>-8.1562729278306031E-2</v>
      </c>
      <c r="G10" s="240">
        <f>D10/C10</f>
        <v>9.4722930043549383E-2</v>
      </c>
      <c r="H10" s="241">
        <f>1-G10</f>
        <v>0.90527706995645063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>(+D11-E11)/E11</f>
        <v>5.4713810434131475E-2</v>
      </c>
      <c r="G11" s="240">
        <f>D11/C11</f>
        <v>9.3913961842514132E-2</v>
      </c>
      <c r="H11" s="241">
        <f>1-G11</f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>(+D12-E12)/E12</f>
        <v>-2.5377891829949685E-2</v>
      </c>
      <c r="G12" s="240">
        <f>D12/C12</f>
        <v>9.2580516366126173E-2</v>
      </c>
      <c r="H12" s="241">
        <f>1-G12</f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>(+D13-E13)/E13</f>
        <v>1.2045750416859836E-2</v>
      </c>
      <c r="G13" s="240">
        <f>D13/C13</f>
        <v>9.2884268553482363E-2</v>
      </c>
      <c r="H13" s="241">
        <f>1-G13</f>
        <v>0.90711573144651769</v>
      </c>
      <c r="I13" s="156"/>
    </row>
    <row r="14" spans="1:9" ht="15.75" thickBot="1" x14ac:dyDescent="0.25">
      <c r="A14" s="166"/>
      <c r="B14" s="167"/>
      <c r="C14" s="225"/>
      <c r="D14" s="225"/>
      <c r="E14" s="225"/>
      <c r="F14" s="165"/>
      <c r="G14" s="240"/>
      <c r="H14" s="241"/>
      <c r="I14" s="156"/>
    </row>
    <row r="15" spans="1:9" ht="17.25" thickTop="1" thickBot="1" x14ac:dyDescent="0.3">
      <c r="A15" s="168" t="s">
        <v>14</v>
      </c>
      <c r="B15" s="154"/>
      <c r="C15" s="222">
        <f>SUM(C10:C14)</f>
        <v>470415269.15000004</v>
      </c>
      <c r="D15" s="222">
        <f>SUM(D10:D14)</f>
        <v>44006188.739999995</v>
      </c>
      <c r="E15" s="222">
        <f>SUM(E10:E14)</f>
        <v>44545926.75</v>
      </c>
      <c r="F15" s="169">
        <f>(+D15-E15)/E15</f>
        <v>-1.2116439130992047E-2</v>
      </c>
      <c r="G15" s="235">
        <f>D15/C15</f>
        <v>9.3547534754803763E-2</v>
      </c>
      <c r="H15" s="236">
        <f>1-G15</f>
        <v>0.90645246524519618</v>
      </c>
      <c r="I15" s="156"/>
    </row>
    <row r="16" spans="1:9" ht="15.75" thickTop="1" x14ac:dyDescent="0.2">
      <c r="A16" s="170"/>
      <c r="B16" s="171"/>
      <c r="C16" s="226"/>
      <c r="D16" s="226"/>
      <c r="E16" s="226"/>
      <c r="F16" s="172"/>
      <c r="G16" s="242"/>
      <c r="H16" s="243"/>
      <c r="I16" s="156"/>
    </row>
    <row r="17" spans="1:9" ht="15.75" x14ac:dyDescent="0.25">
      <c r="A17" s="19" t="s">
        <v>48</v>
      </c>
      <c r="B17" s="164">
        <f>DATE(24,7,1)</f>
        <v>8949</v>
      </c>
      <c r="C17" s="225">
        <v>64713519.609999999</v>
      </c>
      <c r="D17" s="225">
        <v>6199829.7599999998</v>
      </c>
      <c r="E17" s="225">
        <v>7575374.3200000003</v>
      </c>
      <c r="F17" s="165">
        <f>(+D17-E17)/E17</f>
        <v>-0.18158106806265389</v>
      </c>
      <c r="G17" s="240">
        <f>D17/C17</f>
        <v>9.5804243029333824E-2</v>
      </c>
      <c r="H17" s="241">
        <f>1-G17</f>
        <v>0.90419575697066623</v>
      </c>
      <c r="I17" s="156"/>
    </row>
    <row r="18" spans="1:9" ht="15.75" x14ac:dyDescent="0.25">
      <c r="A18" s="19"/>
      <c r="B18" s="164">
        <f>DATE(24,8,1)</f>
        <v>8980</v>
      </c>
      <c r="C18" s="225">
        <v>65418921.670000002</v>
      </c>
      <c r="D18" s="225">
        <v>6511097.2999999998</v>
      </c>
      <c r="E18" s="225">
        <v>7089689.0300000003</v>
      </c>
      <c r="F18" s="165">
        <f>(+D18-E18)/E18</f>
        <v>-8.1610311475114217E-2</v>
      </c>
      <c r="G18" s="240">
        <f>D18/C18</f>
        <v>9.9529266667595928E-2</v>
      </c>
      <c r="H18" s="241">
        <f>1-G18</f>
        <v>0.90047073333240402</v>
      </c>
      <c r="I18" s="156"/>
    </row>
    <row r="19" spans="1:9" ht="15.75" x14ac:dyDescent="0.25">
      <c r="A19" s="19"/>
      <c r="B19" s="164">
        <f>DATE(24,9,1)</f>
        <v>9011</v>
      </c>
      <c r="C19" s="225">
        <v>60663890.479999997</v>
      </c>
      <c r="D19" s="225">
        <v>6272930.8499999996</v>
      </c>
      <c r="E19" s="225">
        <v>6608716.9299999997</v>
      </c>
      <c r="F19" s="165">
        <f>(+D19-E19)/E19</f>
        <v>-5.080957219936489E-2</v>
      </c>
      <c r="G19" s="240">
        <f>D19/C19</f>
        <v>0.10340469100095211</v>
      </c>
      <c r="H19" s="241">
        <f>1-G19</f>
        <v>0.89659530899904794</v>
      </c>
      <c r="I19" s="156"/>
    </row>
    <row r="20" spans="1:9" ht="15.75" x14ac:dyDescent="0.25">
      <c r="A20" s="19"/>
      <c r="B20" s="164">
        <f>DATE(24,10,1)</f>
        <v>9041</v>
      </c>
      <c r="C20" s="225">
        <v>63207732.729999997</v>
      </c>
      <c r="D20" s="225">
        <v>6043389.6600000001</v>
      </c>
      <c r="E20" s="225">
        <v>6073572.6299999999</v>
      </c>
      <c r="F20" s="165">
        <f>(+D20-E20)/E20</f>
        <v>-4.9695577609318456E-3</v>
      </c>
      <c r="G20" s="240">
        <f>D20/C20</f>
        <v>9.5611555722384806E-2</v>
      </c>
      <c r="H20" s="241">
        <f>1-G20</f>
        <v>0.90438844427761522</v>
      </c>
      <c r="I20" s="156"/>
    </row>
    <row r="21" spans="1:9" ht="15.75" thickBot="1" x14ac:dyDescent="0.25">
      <c r="A21" s="166"/>
      <c r="B21" s="164"/>
      <c r="C21" s="225"/>
      <c r="D21" s="225"/>
      <c r="E21" s="225"/>
      <c r="F21" s="165"/>
      <c r="G21" s="240"/>
      <c r="H21" s="241"/>
      <c r="I21" s="156"/>
    </row>
    <row r="22" spans="1:9" ht="17.25" thickTop="1" thickBot="1" x14ac:dyDescent="0.3">
      <c r="A22" s="168" t="s">
        <v>14</v>
      </c>
      <c r="B22" s="154"/>
      <c r="C22" s="222">
        <f>SUM(C17:C21)</f>
        <v>254004064.48999998</v>
      </c>
      <c r="D22" s="222">
        <f>SUM(D17:D21)</f>
        <v>25027247.569999997</v>
      </c>
      <c r="E22" s="222">
        <f>SUM(E17:E21)</f>
        <v>27347352.91</v>
      </c>
      <c r="F22" s="169">
        <f>(+D22-E22)/E22</f>
        <v>-8.4838388111473109E-2</v>
      </c>
      <c r="G22" s="235">
        <f>D22/C22</f>
        <v>9.8530894063647192E-2</v>
      </c>
      <c r="H22" s="236">
        <f>1-G22</f>
        <v>0.90146910593635277</v>
      </c>
      <c r="I22" s="156"/>
    </row>
    <row r="23" spans="1:9" ht="15.75" thickTop="1" x14ac:dyDescent="0.2">
      <c r="A23" s="170"/>
      <c r="B23" s="171"/>
      <c r="C23" s="226"/>
      <c r="D23" s="226"/>
      <c r="E23" s="226"/>
      <c r="F23" s="172"/>
      <c r="G23" s="242"/>
      <c r="H23" s="243"/>
      <c r="I23" s="156"/>
    </row>
    <row r="24" spans="1:9" ht="15.75" x14ac:dyDescent="0.25">
      <c r="A24" s="19" t="s">
        <v>62</v>
      </c>
      <c r="B24" s="164">
        <f>DATE(24,7,1)</f>
        <v>8949</v>
      </c>
      <c r="C24" s="225">
        <v>34246805.920000002</v>
      </c>
      <c r="D24" s="225">
        <v>3585663.09</v>
      </c>
      <c r="E24" s="225">
        <v>3728602.99</v>
      </c>
      <c r="F24" s="165">
        <f>(+D24-E24)/E24</f>
        <v>-3.8336047142417909E-2</v>
      </c>
      <c r="G24" s="240">
        <f>D24/C24</f>
        <v>0.10470065729271373</v>
      </c>
      <c r="H24" s="241">
        <f>1-G24</f>
        <v>0.89529934270728628</v>
      </c>
      <c r="I24" s="156"/>
    </row>
    <row r="25" spans="1:9" ht="15.75" x14ac:dyDescent="0.25">
      <c r="A25" s="19"/>
      <c r="B25" s="164">
        <f>DATE(24,8,1)</f>
        <v>8980</v>
      </c>
      <c r="C25" s="225">
        <v>33907448.079999998</v>
      </c>
      <c r="D25" s="225">
        <v>3620973.03</v>
      </c>
      <c r="E25" s="225">
        <v>3492885.71</v>
      </c>
      <c r="F25" s="165">
        <f>(+D25-E25)/E25</f>
        <v>3.6670916438316513E-2</v>
      </c>
      <c r="G25" s="240">
        <f>D25/C25</f>
        <v>0.10678990118798701</v>
      </c>
      <c r="H25" s="241">
        <f>1-G25</f>
        <v>0.89321009881201296</v>
      </c>
      <c r="I25" s="156"/>
    </row>
    <row r="26" spans="1:9" ht="15.75" x14ac:dyDescent="0.25">
      <c r="A26" s="19"/>
      <c r="B26" s="164">
        <f>DATE(24,9,1)</f>
        <v>9011</v>
      </c>
      <c r="C26" s="225">
        <v>33139127.579999998</v>
      </c>
      <c r="D26" s="225">
        <v>3559207.36</v>
      </c>
      <c r="E26" s="225">
        <v>3669671.06</v>
      </c>
      <c r="F26" s="165">
        <f>(+D26-E26)/E26</f>
        <v>-3.0101798824442916E-2</v>
      </c>
      <c r="G26" s="240">
        <f>D26/C26</f>
        <v>0.10740196317503661</v>
      </c>
      <c r="H26" s="241">
        <f>1-G26</f>
        <v>0.89259803682496341</v>
      </c>
      <c r="I26" s="156"/>
    </row>
    <row r="27" spans="1:9" ht="15.75" x14ac:dyDescent="0.25">
      <c r="A27" s="19"/>
      <c r="B27" s="164">
        <f>DATE(24,10,1)</f>
        <v>9041</v>
      </c>
      <c r="C27" s="225">
        <v>27157039.420000002</v>
      </c>
      <c r="D27" s="225">
        <v>2824673.89</v>
      </c>
      <c r="E27" s="225">
        <v>3409284.9</v>
      </c>
      <c r="F27" s="165">
        <f>(+D27-E27)/E27</f>
        <v>-0.17147613858847638</v>
      </c>
      <c r="G27" s="240">
        <f>D27/C27</f>
        <v>0.10401258569885745</v>
      </c>
      <c r="H27" s="241">
        <f>1-G27</f>
        <v>0.89598741430114259</v>
      </c>
      <c r="I27" s="156"/>
    </row>
    <row r="28" spans="1:9" ht="15.75" thickBot="1" x14ac:dyDescent="0.25">
      <c r="A28" s="166"/>
      <c r="B28" s="164"/>
      <c r="C28" s="225"/>
      <c r="D28" s="225"/>
      <c r="E28" s="225"/>
      <c r="F28" s="165"/>
      <c r="G28" s="240"/>
      <c r="H28" s="241"/>
      <c r="I28" s="156"/>
    </row>
    <row r="29" spans="1:9" ht="17.25" thickTop="1" thickBot="1" x14ac:dyDescent="0.3">
      <c r="A29" s="173" t="s">
        <v>14</v>
      </c>
      <c r="B29" s="174"/>
      <c r="C29" s="227">
        <f>SUM(C24:C28)</f>
        <v>128450421</v>
      </c>
      <c r="D29" s="227">
        <f>SUM(D24:D28)</f>
        <v>13590517.369999999</v>
      </c>
      <c r="E29" s="227">
        <f>SUM(E24:E28)</f>
        <v>14300444.66</v>
      </c>
      <c r="F29" s="175">
        <f>(+D29-E29)/E29</f>
        <v>-4.9643721358242084E-2</v>
      </c>
      <c r="G29" s="244">
        <f>D29/C29</f>
        <v>0.1058036031660807</v>
      </c>
      <c r="H29" s="245">
        <f>1-G29</f>
        <v>0.89419639683391927</v>
      </c>
      <c r="I29" s="156"/>
    </row>
    <row r="30" spans="1:9" ht="15.75" thickTop="1" x14ac:dyDescent="0.2">
      <c r="A30" s="166"/>
      <c r="B30" s="167"/>
      <c r="C30" s="225"/>
      <c r="D30" s="225"/>
      <c r="E30" s="225"/>
      <c r="F30" s="165"/>
      <c r="G30" s="240"/>
      <c r="H30" s="241"/>
      <c r="I30" s="156"/>
    </row>
    <row r="31" spans="1:9" ht="15.75" x14ac:dyDescent="0.25">
      <c r="A31" s="176" t="s">
        <v>58</v>
      </c>
      <c r="B31" s="164">
        <f>DATE(24,7,1)</f>
        <v>8949</v>
      </c>
      <c r="C31" s="225">
        <v>202610536.06999999</v>
      </c>
      <c r="D31" s="225">
        <v>17635163.969999999</v>
      </c>
      <c r="E31" s="225">
        <v>18456668.579999998</v>
      </c>
      <c r="F31" s="165">
        <f>(+D31-E31)/E31</f>
        <v>-4.4509907432059417E-2</v>
      </c>
      <c r="G31" s="240">
        <f>D31/C31</f>
        <v>8.7039718230187288E-2</v>
      </c>
      <c r="H31" s="241">
        <f>1-G31</f>
        <v>0.9129602817698127</v>
      </c>
      <c r="I31" s="156"/>
    </row>
    <row r="32" spans="1:9" ht="15.75" x14ac:dyDescent="0.25">
      <c r="A32" s="176"/>
      <c r="B32" s="164">
        <f>DATE(24,8,1)</f>
        <v>8980</v>
      </c>
      <c r="C32" s="225">
        <v>208101818.58000001</v>
      </c>
      <c r="D32" s="225">
        <v>18755463.760000002</v>
      </c>
      <c r="E32" s="225">
        <v>17397451.300000001</v>
      </c>
      <c r="F32" s="165">
        <f>(+D32-E32)/E32</f>
        <v>7.8058126824588431E-2</v>
      </c>
      <c r="G32" s="240">
        <f>D32/C32</f>
        <v>9.012638086480676E-2</v>
      </c>
      <c r="H32" s="241">
        <f>1-G32</f>
        <v>0.90987361913519327</v>
      </c>
      <c r="I32" s="156"/>
    </row>
    <row r="33" spans="1:9" ht="15.75" x14ac:dyDescent="0.25">
      <c r="A33" s="176"/>
      <c r="B33" s="164">
        <f>DATE(24,9,1)</f>
        <v>9011</v>
      </c>
      <c r="C33" s="225">
        <v>192825170.84999999</v>
      </c>
      <c r="D33" s="225">
        <v>17096556.370000001</v>
      </c>
      <c r="E33" s="225">
        <v>17402399.579999998</v>
      </c>
      <c r="F33" s="165">
        <f>(+D33-E33)/E33</f>
        <v>-1.7574772294706567E-2</v>
      </c>
      <c r="G33" s="240">
        <f>D33/C33</f>
        <v>8.8663509512974983E-2</v>
      </c>
      <c r="H33" s="241">
        <f>1-G33</f>
        <v>0.91133649048702503</v>
      </c>
      <c r="I33" s="156"/>
    </row>
    <row r="34" spans="1:9" ht="15.75" x14ac:dyDescent="0.25">
      <c r="A34" s="176"/>
      <c r="B34" s="164">
        <f>DATE(24,10,1)</f>
        <v>9041</v>
      </c>
      <c r="C34" s="225">
        <v>202608930.46000001</v>
      </c>
      <c r="D34" s="225">
        <v>18243581.699999999</v>
      </c>
      <c r="E34" s="225">
        <v>16465993.380000001</v>
      </c>
      <c r="F34" s="165">
        <f>(+D34-E34)/E34</f>
        <v>0.10795512174559117</v>
      </c>
      <c r="G34" s="240">
        <f>D34/C34</f>
        <v>9.0043324638159186E-2</v>
      </c>
      <c r="H34" s="241">
        <f>1-G34</f>
        <v>0.90995667536184077</v>
      </c>
      <c r="I34" s="156"/>
    </row>
    <row r="35" spans="1:9" ht="15.75" thickBot="1" x14ac:dyDescent="0.25">
      <c r="A35" s="166"/>
      <c r="B35" s="167"/>
      <c r="C35" s="225"/>
      <c r="D35" s="225"/>
      <c r="E35" s="225"/>
      <c r="F35" s="165"/>
      <c r="G35" s="240"/>
      <c r="H35" s="241"/>
      <c r="I35" s="156"/>
    </row>
    <row r="36" spans="1:9" ht="17.25" thickTop="1" thickBot="1" x14ac:dyDescent="0.3">
      <c r="A36" s="173" t="s">
        <v>14</v>
      </c>
      <c r="B36" s="177"/>
      <c r="C36" s="227">
        <f>SUM(C31:C35)</f>
        <v>806146455.96000004</v>
      </c>
      <c r="D36" s="227">
        <f>SUM(D31:D35)</f>
        <v>71730765.800000012</v>
      </c>
      <c r="E36" s="227">
        <f>SUM(E31:E35)</f>
        <v>69722512.839999989</v>
      </c>
      <c r="F36" s="175">
        <f>(+D36-E36)/E36</f>
        <v>2.880350805210628E-2</v>
      </c>
      <c r="G36" s="244">
        <f>D36/C36</f>
        <v>8.8979819075901509E-2</v>
      </c>
      <c r="H36" s="245">
        <f>1-G36</f>
        <v>0.91102018092409853</v>
      </c>
      <c r="I36" s="156"/>
    </row>
    <row r="37" spans="1:9" ht="15.75" thickTop="1" x14ac:dyDescent="0.2">
      <c r="A37" s="166"/>
      <c r="B37" s="167"/>
      <c r="C37" s="225"/>
      <c r="D37" s="225"/>
      <c r="E37" s="225"/>
      <c r="F37" s="165"/>
      <c r="G37" s="240"/>
      <c r="H37" s="241"/>
      <c r="I37" s="156"/>
    </row>
    <row r="38" spans="1:9" ht="15.75" x14ac:dyDescent="0.25">
      <c r="A38" s="163" t="s">
        <v>60</v>
      </c>
      <c r="B38" s="164">
        <f>DATE(24,7,1)</f>
        <v>8949</v>
      </c>
      <c r="C38" s="225">
        <v>99443642.319999993</v>
      </c>
      <c r="D38" s="225">
        <v>9741383.2799999993</v>
      </c>
      <c r="E38" s="225">
        <v>12067335.59</v>
      </c>
      <c r="F38" s="165">
        <f>(+D38-E38)/E38</f>
        <v>-0.1927477936328777</v>
      </c>
      <c r="G38" s="240">
        <f>D38/C38</f>
        <v>9.7958834297854583E-2</v>
      </c>
      <c r="H38" s="241">
        <f>1-G38</f>
        <v>0.90204116570214543</v>
      </c>
      <c r="I38" s="156"/>
    </row>
    <row r="39" spans="1:9" ht="15.75" x14ac:dyDescent="0.25">
      <c r="A39" s="163"/>
      <c r="B39" s="164">
        <f>DATE(24,8,1)</f>
        <v>8980</v>
      </c>
      <c r="C39" s="225">
        <v>105627378.45999999</v>
      </c>
      <c r="D39" s="225">
        <v>10213981.68</v>
      </c>
      <c r="E39" s="225">
        <v>10973674.99</v>
      </c>
      <c r="F39" s="165">
        <f>(+D39-E39)/E39</f>
        <v>-6.9228705123150408E-2</v>
      </c>
      <c r="G39" s="240">
        <f>D39/C39</f>
        <v>9.6698240824635531E-2</v>
      </c>
      <c r="H39" s="241">
        <f>1-G39</f>
        <v>0.90330175917536448</v>
      </c>
      <c r="I39" s="156"/>
    </row>
    <row r="40" spans="1:9" ht="15.75" x14ac:dyDescent="0.25">
      <c r="A40" s="163"/>
      <c r="B40" s="164">
        <f>DATE(24,9,1)</f>
        <v>9011</v>
      </c>
      <c r="C40" s="225">
        <v>100621148.75</v>
      </c>
      <c r="D40" s="225">
        <v>9094034.0600000005</v>
      </c>
      <c r="E40" s="225">
        <v>10801103.67</v>
      </c>
      <c r="F40" s="165">
        <f>(+D40-E40)/E40</f>
        <v>-0.15804584995710899</v>
      </c>
      <c r="G40" s="240">
        <f>D40/C40</f>
        <v>9.0378952864022047E-2</v>
      </c>
      <c r="H40" s="241">
        <f>1-G40</f>
        <v>0.90962104713597791</v>
      </c>
      <c r="I40" s="156"/>
    </row>
    <row r="41" spans="1:9" ht="15.75" x14ac:dyDescent="0.25">
      <c r="A41" s="163"/>
      <c r="B41" s="164">
        <f>DATE(24,10,1)</f>
        <v>9041</v>
      </c>
      <c r="C41" s="225">
        <v>105572616.09</v>
      </c>
      <c r="D41" s="225">
        <v>9949775.4600000009</v>
      </c>
      <c r="E41" s="225">
        <v>10564246.92</v>
      </c>
      <c r="F41" s="165">
        <f>(+D41-E41)/E41</f>
        <v>-5.8165192905203229E-2</v>
      </c>
      <c r="G41" s="240">
        <f>D41/C41</f>
        <v>9.4245798091409219E-2</v>
      </c>
      <c r="H41" s="241">
        <f>1-G41</f>
        <v>0.90575420190859079</v>
      </c>
      <c r="I41" s="156"/>
    </row>
    <row r="42" spans="1:9" ht="15.75" thickBot="1" x14ac:dyDescent="0.25">
      <c r="A42" s="166"/>
      <c r="B42" s="164"/>
      <c r="C42" s="225"/>
      <c r="D42" s="225"/>
      <c r="E42" s="225"/>
      <c r="F42" s="165"/>
      <c r="G42" s="240"/>
      <c r="H42" s="241"/>
      <c r="I42" s="156"/>
    </row>
    <row r="43" spans="1:9" ht="17.25" thickTop="1" thickBot="1" x14ac:dyDescent="0.3">
      <c r="A43" s="173" t="s">
        <v>14</v>
      </c>
      <c r="B43" s="174"/>
      <c r="C43" s="227">
        <f>SUM(C38:C42)</f>
        <v>411264785.62</v>
      </c>
      <c r="D43" s="229">
        <f>SUM(D38:D42)</f>
        <v>38999174.480000004</v>
      </c>
      <c r="E43" s="270">
        <f>SUM(E38:E42)</f>
        <v>44406361.170000002</v>
      </c>
      <c r="F43" s="271">
        <f>(+D43-E43)/E43</f>
        <v>-0.1217660386380179</v>
      </c>
      <c r="G43" s="248">
        <f>D43/C43</f>
        <v>9.4827410086197897E-2</v>
      </c>
      <c r="H43" s="269">
        <f>1-G43</f>
        <v>0.90517258991380212</v>
      </c>
      <c r="I43" s="156"/>
    </row>
    <row r="44" spans="1:9" ht="15.75" thickTop="1" x14ac:dyDescent="0.2">
      <c r="A44" s="166"/>
      <c r="B44" s="167"/>
      <c r="C44" s="225"/>
      <c r="D44" s="225"/>
      <c r="E44" s="225"/>
      <c r="F44" s="165"/>
      <c r="G44" s="240"/>
      <c r="H44" s="241"/>
      <c r="I44" s="156"/>
    </row>
    <row r="45" spans="1:9" ht="15.75" x14ac:dyDescent="0.25">
      <c r="A45" s="163" t="s">
        <v>64</v>
      </c>
      <c r="B45" s="164">
        <f>DATE(24,7,1)</f>
        <v>8949</v>
      </c>
      <c r="C45" s="225">
        <v>49733278</v>
      </c>
      <c r="D45" s="225">
        <v>5096504.7300000004</v>
      </c>
      <c r="E45" s="225">
        <v>5575819.8300000001</v>
      </c>
      <c r="F45" s="165">
        <f>(+D45-E45)/E45</f>
        <v>-8.5963161402939303E-2</v>
      </c>
      <c r="G45" s="240">
        <f>D45/C45</f>
        <v>0.10247675067788616</v>
      </c>
      <c r="H45" s="241">
        <f>1-G45</f>
        <v>0.8975232493221138</v>
      </c>
      <c r="I45" s="156"/>
    </row>
    <row r="46" spans="1:9" ht="15.75" x14ac:dyDescent="0.25">
      <c r="A46" s="163"/>
      <c r="B46" s="164">
        <f>DATE(24,8,1)</f>
        <v>8980</v>
      </c>
      <c r="C46" s="225">
        <v>51492711.810000002</v>
      </c>
      <c r="D46" s="225">
        <v>5390961.3799999999</v>
      </c>
      <c r="E46" s="225">
        <v>5122977.68</v>
      </c>
      <c r="F46" s="165">
        <f>(+D46-E46)/E46</f>
        <v>5.2310143970801019E-2</v>
      </c>
      <c r="G46" s="240">
        <f>D46/C46</f>
        <v>0.10469367781389721</v>
      </c>
      <c r="H46" s="241">
        <f>1-G46</f>
        <v>0.89530632218610284</v>
      </c>
      <c r="I46" s="156"/>
    </row>
    <row r="47" spans="1:9" ht="15.75" x14ac:dyDescent="0.25">
      <c r="A47" s="163"/>
      <c r="B47" s="164">
        <f>DATE(24,9,1)</f>
        <v>9011</v>
      </c>
      <c r="C47" s="225">
        <v>50284933.159999996</v>
      </c>
      <c r="D47" s="225">
        <v>4962842.88</v>
      </c>
      <c r="E47" s="225">
        <v>4693957.13</v>
      </c>
      <c r="F47" s="165">
        <f>(+D47-E47)/E47</f>
        <v>5.7283384264738696E-2</v>
      </c>
      <c r="G47" s="240">
        <f>D47/C47</f>
        <v>9.8694431276440023E-2</v>
      </c>
      <c r="H47" s="241">
        <f>1-G47</f>
        <v>0.90130556872355994</v>
      </c>
      <c r="I47" s="156"/>
    </row>
    <row r="48" spans="1:9" ht="15.75" x14ac:dyDescent="0.25">
      <c r="A48" s="163"/>
      <c r="B48" s="164">
        <f>DATE(24,10,1)</f>
        <v>9041</v>
      </c>
      <c r="C48" s="225">
        <v>48940334.909999996</v>
      </c>
      <c r="D48" s="225">
        <v>4961723.2699999996</v>
      </c>
      <c r="E48" s="225">
        <v>4687600.6900000004</v>
      </c>
      <c r="F48" s="165">
        <f>(+D48-E48)/E48</f>
        <v>5.8478227589816127E-2</v>
      </c>
      <c r="G48" s="240">
        <f>D48/C48</f>
        <v>0.10138310820971044</v>
      </c>
      <c r="H48" s="241">
        <f>1-G48</f>
        <v>0.89861689179028958</v>
      </c>
      <c r="I48" s="156"/>
    </row>
    <row r="49" spans="1:9" ht="15.75" thickBot="1" x14ac:dyDescent="0.25">
      <c r="A49" s="166"/>
      <c r="B49" s="164"/>
      <c r="C49" s="225"/>
      <c r="D49" s="225"/>
      <c r="E49" s="225"/>
      <c r="F49" s="165"/>
      <c r="G49" s="240"/>
      <c r="H49" s="241"/>
      <c r="I49" s="156"/>
    </row>
    <row r="50" spans="1:9" ht="17.25" thickTop="1" thickBot="1" x14ac:dyDescent="0.3">
      <c r="A50" s="173" t="s">
        <v>14</v>
      </c>
      <c r="B50" s="174"/>
      <c r="C50" s="227">
        <f>SUM(C45:C49)</f>
        <v>200451257.88</v>
      </c>
      <c r="D50" s="229">
        <f>SUM(D45:D49)</f>
        <v>20412032.259999998</v>
      </c>
      <c r="E50" s="270">
        <f>SUM(E45:E49)</f>
        <v>20080355.330000002</v>
      </c>
      <c r="F50" s="271">
        <f>(+D50-E50)/E50</f>
        <v>1.6517483109697341E-2</v>
      </c>
      <c r="G50" s="248">
        <f>D50/C50</f>
        <v>0.10183040244237153</v>
      </c>
      <c r="H50" s="269">
        <f>1-G50</f>
        <v>0.89816959755762849</v>
      </c>
      <c r="I50" s="156"/>
    </row>
    <row r="51" spans="1:9" ht="15.75" thickTop="1" x14ac:dyDescent="0.2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5.75" x14ac:dyDescent="0.25">
      <c r="A52" s="289" t="s">
        <v>67</v>
      </c>
      <c r="B52" s="164">
        <f>DATE(24,7,1)</f>
        <v>8949</v>
      </c>
      <c r="C52" s="225">
        <v>96961191.780000001</v>
      </c>
      <c r="D52" s="225">
        <v>10642117.77</v>
      </c>
      <c r="E52" s="225">
        <v>9977929.8800000008</v>
      </c>
      <c r="F52" s="165">
        <f>(+D52-E52)/E52</f>
        <v>6.656570029934894E-2</v>
      </c>
      <c r="G52" s="240">
        <f>D52/C52</f>
        <v>0.10975646621739574</v>
      </c>
      <c r="H52" s="241">
        <f>1-G52</f>
        <v>0.89024353378260423</v>
      </c>
      <c r="I52" s="156"/>
    </row>
    <row r="53" spans="1:9" ht="15.75" x14ac:dyDescent="0.25">
      <c r="A53" s="289"/>
      <c r="B53" s="164">
        <f>DATE(24,8,1)</f>
        <v>8980</v>
      </c>
      <c r="C53" s="225">
        <v>103358368.09</v>
      </c>
      <c r="D53" s="225">
        <v>11116423.300000001</v>
      </c>
      <c r="E53" s="225">
        <v>9956028.8800000008</v>
      </c>
      <c r="F53" s="165">
        <f>(+D53-E53)/E53</f>
        <v>0.11655193390720657</v>
      </c>
      <c r="G53" s="240">
        <f>D53/C53</f>
        <v>0.10755223312272402</v>
      </c>
      <c r="H53" s="241">
        <f>1-G53</f>
        <v>0.89244776687727601</v>
      </c>
      <c r="I53" s="156"/>
    </row>
    <row r="54" spans="1:9" ht="15.75" x14ac:dyDescent="0.25">
      <c r="A54" s="289"/>
      <c r="B54" s="164">
        <f>DATE(24,9,1)</f>
        <v>9011</v>
      </c>
      <c r="C54" s="225">
        <v>92952299.620000005</v>
      </c>
      <c r="D54" s="225">
        <v>10219644.369999999</v>
      </c>
      <c r="E54" s="225">
        <v>10479555.779999999</v>
      </c>
      <c r="F54" s="165">
        <f>(+D54-E54)/E54</f>
        <v>-2.4801758343233914E-2</v>
      </c>
      <c r="G54" s="240">
        <f>D54/C54</f>
        <v>0.10994504075508744</v>
      </c>
      <c r="H54" s="241">
        <f>1-G54</f>
        <v>0.89005495924491251</v>
      </c>
      <c r="I54" s="156"/>
    </row>
    <row r="55" spans="1:9" ht="15.75" x14ac:dyDescent="0.25">
      <c r="A55" s="289"/>
      <c r="B55" s="164">
        <f>DATE(24,10,1)</f>
        <v>9041</v>
      </c>
      <c r="C55" s="225">
        <v>95954433.400000006</v>
      </c>
      <c r="D55" s="225">
        <v>10771197.369999999</v>
      </c>
      <c r="E55" s="225">
        <v>10708668.119999999</v>
      </c>
      <c r="F55" s="165">
        <f>(+D55-E55)/E55</f>
        <v>5.8391248378701277E-3</v>
      </c>
      <c r="G55" s="240">
        <f>D55/C55</f>
        <v>0.11225325384496511</v>
      </c>
      <c r="H55" s="241">
        <f>1-G55</f>
        <v>0.8877467461550349</v>
      </c>
      <c r="I55" s="156"/>
    </row>
    <row r="56" spans="1:9" ht="15.75" thickBot="1" x14ac:dyDescent="0.25">
      <c r="A56" s="166"/>
      <c r="B56" s="164"/>
      <c r="C56" s="225"/>
      <c r="D56" s="225"/>
      <c r="E56" s="225"/>
      <c r="F56" s="165"/>
      <c r="G56" s="240"/>
      <c r="H56" s="241"/>
      <c r="I56" s="156"/>
    </row>
    <row r="57" spans="1:9" ht="17.25" thickTop="1" thickBot="1" x14ac:dyDescent="0.3">
      <c r="A57" s="173" t="s">
        <v>14</v>
      </c>
      <c r="B57" s="174"/>
      <c r="C57" s="227">
        <f>SUM(C52:C56)</f>
        <v>389226292.88999999</v>
      </c>
      <c r="D57" s="229">
        <f>SUM(D52:D56)</f>
        <v>42749382.809999995</v>
      </c>
      <c r="E57" s="270">
        <f>SUM(E52:E56)</f>
        <v>41122182.659999996</v>
      </c>
      <c r="F57" s="271">
        <f>(+D57-E57)/E57</f>
        <v>3.9569887704010279E-2</v>
      </c>
      <c r="G57" s="248">
        <f>D57/C57</f>
        <v>0.10983169326148653</v>
      </c>
      <c r="H57" s="269">
        <f>1-G57</f>
        <v>0.89016830673851344</v>
      </c>
      <c r="I57" s="156"/>
    </row>
    <row r="58" spans="1:9" ht="15.75" thickTop="1" x14ac:dyDescent="0.2">
      <c r="A58" s="166"/>
      <c r="B58" s="167"/>
      <c r="C58" s="225"/>
      <c r="D58" s="225"/>
      <c r="E58" s="225"/>
      <c r="F58" s="165"/>
      <c r="G58" s="240"/>
      <c r="H58" s="241"/>
      <c r="I58" s="156"/>
    </row>
    <row r="59" spans="1:9" ht="15.75" x14ac:dyDescent="0.25">
      <c r="A59" s="163" t="s">
        <v>69</v>
      </c>
      <c r="B59" s="164">
        <f>DATE(24,7,1)</f>
        <v>8949</v>
      </c>
      <c r="C59" s="225">
        <v>98195046.150000006</v>
      </c>
      <c r="D59" s="225">
        <v>10449496.5</v>
      </c>
      <c r="E59" s="225">
        <v>12329543.52</v>
      </c>
      <c r="F59" s="165">
        <f>(+D59-E59)/E59</f>
        <v>-0.15248310020158798</v>
      </c>
      <c r="G59" s="240">
        <f>D59/C59</f>
        <v>0.10641571962843871</v>
      </c>
      <c r="H59" s="241">
        <f>1-G59</f>
        <v>0.89358428037156123</v>
      </c>
      <c r="I59" s="156"/>
    </row>
    <row r="60" spans="1:9" ht="15.75" x14ac:dyDescent="0.25">
      <c r="A60" s="163"/>
      <c r="B60" s="164">
        <f>DATE(24,8,1)</f>
        <v>8980</v>
      </c>
      <c r="C60" s="225">
        <v>100939375.79000001</v>
      </c>
      <c r="D60" s="225">
        <v>10275632.210000001</v>
      </c>
      <c r="E60" s="225">
        <v>11665095.210000001</v>
      </c>
      <c r="F60" s="165">
        <f>(+D60-E60)/E60</f>
        <v>-0.11911287263295298</v>
      </c>
      <c r="G60" s="240">
        <f>D60/C60</f>
        <v>0.10180003719636634</v>
      </c>
      <c r="H60" s="241">
        <f>1-G60</f>
        <v>0.89819996280363368</v>
      </c>
      <c r="I60" s="156"/>
    </row>
    <row r="61" spans="1:9" ht="15.75" x14ac:dyDescent="0.25">
      <c r="A61" s="163"/>
      <c r="B61" s="164">
        <f>DATE(24,9,1)</f>
        <v>9011</v>
      </c>
      <c r="C61" s="225">
        <v>92743358.060000002</v>
      </c>
      <c r="D61" s="225">
        <v>9114774.1799999997</v>
      </c>
      <c r="E61" s="225">
        <v>12009719.560000001</v>
      </c>
      <c r="F61" s="165">
        <f>(+D61-E61)/E61</f>
        <v>-0.24105020650457226</v>
      </c>
      <c r="G61" s="240">
        <f>D61/C61</f>
        <v>9.8279535814340763E-2</v>
      </c>
      <c r="H61" s="241">
        <f>1-G61</f>
        <v>0.90172046418565921</v>
      </c>
      <c r="I61" s="156"/>
    </row>
    <row r="62" spans="1:9" ht="15.75" x14ac:dyDescent="0.25">
      <c r="A62" s="163"/>
      <c r="B62" s="164">
        <f>DATE(24,10,1)</f>
        <v>9041</v>
      </c>
      <c r="C62" s="225">
        <v>93510318.420000002</v>
      </c>
      <c r="D62" s="225">
        <v>9368778.4199999999</v>
      </c>
      <c r="E62" s="225">
        <v>10536048.18</v>
      </c>
      <c r="F62" s="165">
        <f>(+D62-E62)/E62</f>
        <v>-0.11078819497197856</v>
      </c>
      <c r="G62" s="240">
        <f>D62/C62</f>
        <v>0.1001897820294044</v>
      </c>
      <c r="H62" s="241">
        <f>1-G62</f>
        <v>0.89981021797059557</v>
      </c>
      <c r="I62" s="156"/>
    </row>
    <row r="63" spans="1:9" ht="15.75" thickBot="1" x14ac:dyDescent="0.25">
      <c r="A63" s="166"/>
      <c r="B63" s="164"/>
      <c r="C63" s="225"/>
      <c r="D63" s="225"/>
      <c r="E63" s="225"/>
      <c r="F63" s="165"/>
      <c r="G63" s="240"/>
      <c r="H63" s="241"/>
      <c r="I63" s="156"/>
    </row>
    <row r="64" spans="1:9" ht="17.25" thickTop="1" thickBot="1" x14ac:dyDescent="0.3">
      <c r="A64" s="173" t="s">
        <v>14</v>
      </c>
      <c r="B64" s="174"/>
      <c r="C64" s="227">
        <f>SUM(C59:C63)</f>
        <v>385388098.42000002</v>
      </c>
      <c r="D64" s="229">
        <f>SUM(D59:D63)</f>
        <v>39208681.310000002</v>
      </c>
      <c r="E64" s="270">
        <f>SUM(E59:E63)</f>
        <v>46540406.469999999</v>
      </c>
      <c r="F64" s="175">
        <f>(+D64-E64)/E64</f>
        <v>-0.15753461811138317</v>
      </c>
      <c r="G64" s="248">
        <f>D64/C64</f>
        <v>0.10173817372862919</v>
      </c>
      <c r="H64" s="269">
        <f>1-G64</f>
        <v>0.89826182627137086</v>
      </c>
      <c r="I64" s="156"/>
    </row>
    <row r="65" spans="1:9" ht="15.75" thickTop="1" x14ac:dyDescent="0.2">
      <c r="A65" s="166"/>
      <c r="B65" s="178"/>
      <c r="C65" s="228"/>
      <c r="D65" s="228"/>
      <c r="E65" s="228"/>
      <c r="F65" s="179"/>
      <c r="G65" s="246"/>
      <c r="H65" s="247"/>
      <c r="I65" s="156"/>
    </row>
    <row r="66" spans="1:9" ht="15.75" x14ac:dyDescent="0.25">
      <c r="A66" s="163" t="s">
        <v>16</v>
      </c>
      <c r="B66" s="164">
        <f>DATE(24,7,1)</f>
        <v>8949</v>
      </c>
      <c r="C66" s="225">
        <v>151481252</v>
      </c>
      <c r="D66" s="225">
        <v>14744546.640000001</v>
      </c>
      <c r="E66" s="225">
        <v>15534932.51</v>
      </c>
      <c r="F66" s="165">
        <f>(+D66-E66)/E66</f>
        <v>-5.0877972562238007E-2</v>
      </c>
      <c r="G66" s="240">
        <f>D66/C66</f>
        <v>9.7335785421155618E-2</v>
      </c>
      <c r="H66" s="241">
        <f>1-G66</f>
        <v>0.90266421457884438</v>
      </c>
      <c r="I66" s="156"/>
    </row>
    <row r="67" spans="1:9" ht="15.75" x14ac:dyDescent="0.25">
      <c r="A67" s="163"/>
      <c r="B67" s="164">
        <f>DATE(24,8,1)</f>
        <v>8980</v>
      </c>
      <c r="C67" s="225">
        <v>158229059.27000001</v>
      </c>
      <c r="D67" s="225">
        <v>15706191.880000001</v>
      </c>
      <c r="E67" s="225">
        <v>14573354.48</v>
      </c>
      <c r="F67" s="165">
        <f>(+D67-E67)/E67</f>
        <v>7.7733469089403526E-2</v>
      </c>
      <c r="G67" s="240">
        <f>D67/C67</f>
        <v>9.9262372869190596E-2</v>
      </c>
      <c r="H67" s="241">
        <f>1-G67</f>
        <v>0.9007376271308094</v>
      </c>
      <c r="I67" s="156"/>
    </row>
    <row r="68" spans="1:9" ht="15.75" x14ac:dyDescent="0.25">
      <c r="A68" s="163"/>
      <c r="B68" s="164">
        <f>DATE(24,9,1)</f>
        <v>9011</v>
      </c>
      <c r="C68" s="225">
        <v>144531767.61000001</v>
      </c>
      <c r="D68" s="225">
        <v>14475006.689999999</v>
      </c>
      <c r="E68" s="225">
        <v>14733622.32</v>
      </c>
      <c r="F68" s="165">
        <f>(+D68-E68)/E68</f>
        <v>-1.7552752770711774E-2</v>
      </c>
      <c r="G68" s="240">
        <f>D68/C68</f>
        <v>0.10015103896784064</v>
      </c>
      <c r="H68" s="241">
        <f>1-G68</f>
        <v>0.89984896103215939</v>
      </c>
      <c r="I68" s="156"/>
    </row>
    <row r="69" spans="1:9" ht="15.75" x14ac:dyDescent="0.25">
      <c r="A69" s="163"/>
      <c r="B69" s="164">
        <f>DATE(24,10,1)</f>
        <v>9041</v>
      </c>
      <c r="C69" s="225">
        <v>130353025.59</v>
      </c>
      <c r="D69" s="225">
        <v>13581004.15</v>
      </c>
      <c r="E69" s="225">
        <v>13951699.710000001</v>
      </c>
      <c r="F69" s="165">
        <f>(+D69-E69)/E69</f>
        <v>-2.6569921063761232E-2</v>
      </c>
      <c r="G69" s="240">
        <f>D69/C69</f>
        <v>0.10418633620915251</v>
      </c>
      <c r="H69" s="241">
        <f>1-G69</f>
        <v>0.89581366379084748</v>
      </c>
      <c r="I69" s="156"/>
    </row>
    <row r="70" spans="1:9" ht="15.75" customHeight="1" thickBot="1" x14ac:dyDescent="0.3">
      <c r="A70" s="163"/>
      <c r="B70" s="164"/>
      <c r="C70" s="225"/>
      <c r="D70" s="225"/>
      <c r="E70" s="225"/>
      <c r="F70" s="165"/>
      <c r="G70" s="240"/>
      <c r="H70" s="241"/>
      <c r="I70" s="156"/>
    </row>
    <row r="71" spans="1:9" ht="17.25" thickTop="1" thickBot="1" x14ac:dyDescent="0.3">
      <c r="A71" s="173" t="s">
        <v>14</v>
      </c>
      <c r="B71" s="180"/>
      <c r="C71" s="227">
        <f>SUM(C66:C70)</f>
        <v>584595104.47000003</v>
      </c>
      <c r="D71" s="227">
        <f>SUM(D66:D70)</f>
        <v>58506749.359999999</v>
      </c>
      <c r="E71" s="227">
        <f>SUM(E66:E70)</f>
        <v>58793609.020000003</v>
      </c>
      <c r="F71" s="175">
        <f>(+D71-E71)/E71</f>
        <v>-4.8790959558618341E-3</v>
      </c>
      <c r="G71" s="244">
        <f>D71/C71</f>
        <v>0.10008080620696067</v>
      </c>
      <c r="H71" s="245">
        <f>1-G71</f>
        <v>0.89991919379303931</v>
      </c>
      <c r="I71" s="156"/>
    </row>
    <row r="72" spans="1:9" ht="15.75" thickTop="1" x14ac:dyDescent="0.2">
      <c r="A72" s="170"/>
      <c r="B72" s="171"/>
      <c r="C72" s="226"/>
      <c r="D72" s="226"/>
      <c r="E72" s="226"/>
      <c r="F72" s="172"/>
      <c r="G72" s="242"/>
      <c r="H72" s="243"/>
      <c r="I72" s="156"/>
    </row>
    <row r="73" spans="1:9" ht="15.75" x14ac:dyDescent="0.25">
      <c r="A73" s="163" t="s">
        <v>53</v>
      </c>
      <c r="B73" s="164">
        <f>DATE(24,7,1)</f>
        <v>8949</v>
      </c>
      <c r="C73" s="225">
        <v>199355720.71000001</v>
      </c>
      <c r="D73" s="225">
        <v>18005179.460000001</v>
      </c>
      <c r="E73" s="225">
        <v>19538214.289999999</v>
      </c>
      <c r="F73" s="165">
        <f>(+D73-E73)/E73</f>
        <v>-7.8463405470203709E-2</v>
      </c>
      <c r="G73" s="240">
        <f>D73/C73</f>
        <v>9.0316843659540041E-2</v>
      </c>
      <c r="H73" s="241">
        <f>1-G73</f>
        <v>0.90968315634045993</v>
      </c>
      <c r="I73" s="156"/>
    </row>
    <row r="74" spans="1:9" ht="15.75" x14ac:dyDescent="0.25">
      <c r="A74" s="163"/>
      <c r="B74" s="164">
        <f>DATE(24,8,1)</f>
        <v>8980</v>
      </c>
      <c r="C74" s="225">
        <v>206483807.88999999</v>
      </c>
      <c r="D74" s="225">
        <v>18627269.079999998</v>
      </c>
      <c r="E74" s="225">
        <v>18436883.300000001</v>
      </c>
      <c r="F74" s="165">
        <f>(+D74-E74)/E74</f>
        <v>1.0326353804061744E-2</v>
      </c>
      <c r="G74" s="240">
        <f>D74/C74</f>
        <v>9.0211766580376579E-2</v>
      </c>
      <c r="H74" s="241">
        <f>1-G74</f>
        <v>0.90978823341962345</v>
      </c>
      <c r="I74" s="156"/>
    </row>
    <row r="75" spans="1:9" ht="15.75" x14ac:dyDescent="0.25">
      <c r="A75" s="163"/>
      <c r="B75" s="164">
        <f>DATE(24,9,1)</f>
        <v>9011</v>
      </c>
      <c r="C75" s="225">
        <v>192127916.56</v>
      </c>
      <c r="D75" s="225">
        <v>17799029.699999999</v>
      </c>
      <c r="E75" s="225">
        <v>17898589.149999999</v>
      </c>
      <c r="F75" s="165">
        <f>(+D75-E75)/E75</f>
        <v>-5.5624188680815246E-3</v>
      </c>
      <c r="G75" s="240">
        <f>D75/C75</f>
        <v>9.2641558908704999E-2</v>
      </c>
      <c r="H75" s="241">
        <f>1-G75</f>
        <v>0.90735844109129504</v>
      </c>
      <c r="I75" s="156"/>
    </row>
    <row r="76" spans="1:9" ht="15.75" x14ac:dyDescent="0.25">
      <c r="A76" s="163"/>
      <c r="B76" s="164">
        <f>DATE(24,10,1)</f>
        <v>9041</v>
      </c>
      <c r="C76" s="225">
        <v>195930574.16</v>
      </c>
      <c r="D76" s="225">
        <v>18415945.390000001</v>
      </c>
      <c r="E76" s="225">
        <v>17243191.43</v>
      </c>
      <c r="F76" s="165">
        <f>(+D76-E76)/E76</f>
        <v>6.8012581357742366E-2</v>
      </c>
      <c r="G76" s="240">
        <f>D76/C76</f>
        <v>9.3992198353694656E-2</v>
      </c>
      <c r="H76" s="241">
        <f>1-G76</f>
        <v>0.90600780164630534</v>
      </c>
      <c r="I76" s="156"/>
    </row>
    <row r="77" spans="1:9" ht="15.75" thickBot="1" x14ac:dyDescent="0.25">
      <c r="A77" s="166"/>
      <c r="B77" s="167"/>
      <c r="C77" s="225"/>
      <c r="D77" s="225"/>
      <c r="E77" s="225"/>
      <c r="F77" s="165"/>
      <c r="G77" s="240"/>
      <c r="H77" s="241"/>
      <c r="I77" s="156"/>
    </row>
    <row r="78" spans="1:9" ht="17.25" thickTop="1" thickBot="1" x14ac:dyDescent="0.3">
      <c r="A78" s="173" t="s">
        <v>14</v>
      </c>
      <c r="B78" s="174"/>
      <c r="C78" s="227">
        <f>SUM(C73:C77)</f>
        <v>793898019.32000005</v>
      </c>
      <c r="D78" s="227">
        <f>SUM(D73:D77)</f>
        <v>72847423.629999995</v>
      </c>
      <c r="E78" s="227">
        <f>SUM(E73:E77)</f>
        <v>73116878.170000002</v>
      </c>
      <c r="F78" s="175">
        <f>(+D78-E78)/E78</f>
        <v>-3.6852577235794003E-3</v>
      </c>
      <c r="G78" s="248">
        <f>D78/C78</f>
        <v>9.1759170393693926E-2</v>
      </c>
      <c r="H78" s="269">
        <f>1-G78</f>
        <v>0.90824082960630603</v>
      </c>
      <c r="I78" s="156"/>
    </row>
    <row r="79" spans="1:9" ht="15.75" thickTop="1" x14ac:dyDescent="0.2">
      <c r="A79" s="166"/>
      <c r="B79" s="167"/>
      <c r="C79" s="225"/>
      <c r="D79" s="225"/>
      <c r="E79" s="225"/>
      <c r="F79" s="165"/>
      <c r="G79" s="240"/>
      <c r="H79" s="241"/>
      <c r="I79" s="156"/>
    </row>
    <row r="80" spans="1:9" ht="15.75" x14ac:dyDescent="0.25">
      <c r="A80" s="163" t="s">
        <v>54</v>
      </c>
      <c r="B80" s="164">
        <f>DATE(24,7,1)</f>
        <v>8949</v>
      </c>
      <c r="C80" s="225">
        <v>26342389.710000001</v>
      </c>
      <c r="D80" s="225">
        <v>2829692.37</v>
      </c>
      <c r="E80" s="225">
        <v>3124210.48</v>
      </c>
      <c r="F80" s="165">
        <f>(+D80-E80)/E80</f>
        <v>-9.4269612078120887E-2</v>
      </c>
      <c r="G80" s="240">
        <f>D80/C80</f>
        <v>0.10741972923306205</v>
      </c>
      <c r="H80" s="241">
        <f>1-G80</f>
        <v>0.89258027076693791</v>
      </c>
      <c r="I80" s="156"/>
    </row>
    <row r="81" spans="1:9" ht="15.75" x14ac:dyDescent="0.25">
      <c r="A81" s="163"/>
      <c r="B81" s="164">
        <f>DATE(24,8,1)</f>
        <v>8980</v>
      </c>
      <c r="C81" s="225">
        <v>24520575.949999999</v>
      </c>
      <c r="D81" s="225">
        <v>2718513.58</v>
      </c>
      <c r="E81" s="225">
        <v>2824739.23</v>
      </c>
      <c r="F81" s="165">
        <f>(+D81-E81)/E81</f>
        <v>-3.7605471284512131E-2</v>
      </c>
      <c r="G81" s="240">
        <f>D81/C81</f>
        <v>0.11086662831832872</v>
      </c>
      <c r="H81" s="241">
        <f>1-G81</f>
        <v>0.88913337168167128</v>
      </c>
      <c r="I81" s="156"/>
    </row>
    <row r="82" spans="1:9" ht="15.75" x14ac:dyDescent="0.25">
      <c r="A82" s="163"/>
      <c r="B82" s="164">
        <f>DATE(24,9,1)</f>
        <v>9011</v>
      </c>
      <c r="C82" s="225">
        <v>22560708.02</v>
      </c>
      <c r="D82" s="225">
        <v>2469404.4700000002</v>
      </c>
      <c r="E82" s="225">
        <v>2831375.91</v>
      </c>
      <c r="F82" s="165">
        <f>(+D82-E82)/E82</f>
        <v>-0.12784294685900607</v>
      </c>
      <c r="G82" s="240">
        <f>D82/C82</f>
        <v>0.1094559828446377</v>
      </c>
      <c r="H82" s="241">
        <f>1-G82</f>
        <v>0.89054401715536224</v>
      </c>
      <c r="I82" s="156"/>
    </row>
    <row r="83" spans="1:9" ht="15.75" x14ac:dyDescent="0.25">
      <c r="A83" s="163"/>
      <c r="B83" s="164">
        <f>DATE(24,10,1)</f>
        <v>9041</v>
      </c>
      <c r="C83" s="225">
        <v>22207272.640000001</v>
      </c>
      <c r="D83" s="225">
        <v>2475216.7799999998</v>
      </c>
      <c r="E83" s="225">
        <v>3046238.53</v>
      </c>
      <c r="F83" s="165">
        <f>(+D83-E83)/E83</f>
        <v>-0.18745142390408936</v>
      </c>
      <c r="G83" s="240">
        <f>D83/C83</f>
        <v>0.11145973754298896</v>
      </c>
      <c r="H83" s="241">
        <f>1-G83</f>
        <v>0.88854026245701101</v>
      </c>
      <c r="I83" s="156"/>
    </row>
    <row r="84" spans="1:9" ht="15.75" thickBot="1" x14ac:dyDescent="0.25">
      <c r="A84" s="166"/>
      <c r="B84" s="167"/>
      <c r="C84" s="225"/>
      <c r="D84" s="225"/>
      <c r="E84" s="225"/>
      <c r="F84" s="165"/>
      <c r="G84" s="240"/>
      <c r="H84" s="241"/>
      <c r="I84" s="156"/>
    </row>
    <row r="85" spans="1:9" ht="17.25" thickTop="1" thickBot="1" x14ac:dyDescent="0.3">
      <c r="A85" s="181" t="s">
        <v>14</v>
      </c>
      <c r="B85" s="182"/>
      <c r="C85" s="229">
        <f>SUM(C80:C84)</f>
        <v>95630946.319999993</v>
      </c>
      <c r="D85" s="229">
        <f>SUM(D80:D84)</f>
        <v>10492827.199999999</v>
      </c>
      <c r="E85" s="229">
        <f>SUM(E80:E84)</f>
        <v>11826564.15</v>
      </c>
      <c r="F85" s="175">
        <f>(+D85-E85)/E85</f>
        <v>-0.11277467682784277</v>
      </c>
      <c r="G85" s="248">
        <f>D85/C85</f>
        <v>0.1097220889657301</v>
      </c>
      <c r="H85" s="245">
        <f>1-G85</f>
        <v>0.8902779110342699</v>
      </c>
      <c r="I85" s="156"/>
    </row>
    <row r="86" spans="1:9" ht="15.75" thickTop="1" x14ac:dyDescent="0.2">
      <c r="A86" s="166"/>
      <c r="B86" s="167"/>
      <c r="C86" s="225"/>
      <c r="D86" s="225"/>
      <c r="E86" s="225"/>
      <c r="F86" s="165"/>
      <c r="G86" s="240"/>
      <c r="H86" s="241"/>
      <c r="I86" s="156"/>
    </row>
    <row r="87" spans="1:9" ht="15.75" x14ac:dyDescent="0.25">
      <c r="A87" s="163" t="s">
        <v>37</v>
      </c>
      <c r="B87" s="164">
        <f>DATE(24,7,1)</f>
        <v>8949</v>
      </c>
      <c r="C87" s="225">
        <v>214526687.88</v>
      </c>
      <c r="D87" s="225">
        <v>19555438.370000001</v>
      </c>
      <c r="E87" s="225">
        <v>20801294.73</v>
      </c>
      <c r="F87" s="165">
        <f>(+D87-E87)/E87</f>
        <v>-5.9893212233717498E-2</v>
      </c>
      <c r="G87" s="240">
        <f>D87/C87</f>
        <v>9.1156203282916237E-2</v>
      </c>
      <c r="H87" s="241">
        <f>1-G87</f>
        <v>0.90884379671708371</v>
      </c>
      <c r="I87" s="156"/>
    </row>
    <row r="88" spans="1:9" ht="15.75" x14ac:dyDescent="0.25">
      <c r="A88" s="163"/>
      <c r="B88" s="164">
        <f>DATE(24,8,1)</f>
        <v>8980</v>
      </c>
      <c r="C88" s="225">
        <v>226588625.44999999</v>
      </c>
      <c r="D88" s="225">
        <v>20551772.199999999</v>
      </c>
      <c r="E88" s="225">
        <v>20038616.34</v>
      </c>
      <c r="F88" s="165">
        <f>(+D88-E88)/E88</f>
        <v>2.5608347966404522E-2</v>
      </c>
      <c r="G88" s="240">
        <f>D88/C88</f>
        <v>9.0700811478001755E-2</v>
      </c>
      <c r="H88" s="241">
        <f>1-G88</f>
        <v>0.9092991885219982</v>
      </c>
      <c r="I88" s="156"/>
    </row>
    <row r="89" spans="1:9" ht="15.75" x14ac:dyDescent="0.25">
      <c r="A89" s="163"/>
      <c r="B89" s="164">
        <f>DATE(24,9,1)</f>
        <v>9011</v>
      </c>
      <c r="C89" s="225">
        <v>210013954.52000001</v>
      </c>
      <c r="D89" s="225">
        <v>19042710.359999999</v>
      </c>
      <c r="E89" s="225">
        <v>19545369.489999998</v>
      </c>
      <c r="F89" s="165">
        <f>(+D89-E89)/E89</f>
        <v>-2.5717555774894641E-2</v>
      </c>
      <c r="G89" s="240">
        <f>D89/C89</f>
        <v>9.0673547876965133E-2</v>
      </c>
      <c r="H89" s="241">
        <f>1-G89</f>
        <v>0.90932645212303487</v>
      </c>
      <c r="I89" s="156"/>
    </row>
    <row r="90" spans="1:9" ht="15.75" x14ac:dyDescent="0.25">
      <c r="A90" s="163"/>
      <c r="B90" s="164">
        <f>DATE(24,10,1)</f>
        <v>9041</v>
      </c>
      <c r="C90" s="225">
        <v>206575231.5</v>
      </c>
      <c r="D90" s="225">
        <v>18868532.739999998</v>
      </c>
      <c r="E90" s="225">
        <v>18492281.440000001</v>
      </c>
      <c r="F90" s="165">
        <f>(+D90-E90)/E90</f>
        <v>2.0346397020874943E-2</v>
      </c>
      <c r="G90" s="240">
        <f>D90/C90</f>
        <v>9.1339763257145365E-2</v>
      </c>
      <c r="H90" s="241">
        <f>1-G90</f>
        <v>0.90866023674285468</v>
      </c>
      <c r="I90" s="156"/>
    </row>
    <row r="91" spans="1:9" ht="15.75" thickBot="1" x14ac:dyDescent="0.25">
      <c r="A91" s="166"/>
      <c r="B91" s="167"/>
      <c r="C91" s="225"/>
      <c r="D91" s="225"/>
      <c r="E91" s="225"/>
      <c r="F91" s="165"/>
      <c r="G91" s="240"/>
      <c r="H91" s="241"/>
      <c r="I91" s="156"/>
    </row>
    <row r="92" spans="1:9" ht="17.25" thickTop="1" thickBot="1" x14ac:dyDescent="0.3">
      <c r="A92" s="173" t="s">
        <v>14</v>
      </c>
      <c r="B92" s="174"/>
      <c r="C92" s="227">
        <f>SUM(C87:C91)</f>
        <v>857704499.35000002</v>
      </c>
      <c r="D92" s="227">
        <f>SUM(D87:D91)</f>
        <v>78018453.670000002</v>
      </c>
      <c r="E92" s="227">
        <f>SUM(E87:E91)</f>
        <v>78877562</v>
      </c>
      <c r="F92" s="175">
        <f>(+D92-E92)/E92</f>
        <v>-1.0891669420512746E-2</v>
      </c>
      <c r="G92" s="244">
        <f>D92/C92</f>
        <v>9.0961926548275368E-2</v>
      </c>
      <c r="H92" s="245">
        <f>1-G92</f>
        <v>0.9090380734517246</v>
      </c>
      <c r="I92" s="156"/>
    </row>
    <row r="93" spans="1:9" ht="15.75" thickTop="1" x14ac:dyDescent="0.2">
      <c r="A93" s="166"/>
      <c r="B93" s="167"/>
      <c r="C93" s="225"/>
      <c r="D93" s="225"/>
      <c r="E93" s="225"/>
      <c r="F93" s="165"/>
      <c r="G93" s="240"/>
      <c r="H93" s="241"/>
      <c r="I93" s="156"/>
    </row>
    <row r="94" spans="1:9" ht="15.75" x14ac:dyDescent="0.25">
      <c r="A94" s="163" t="s">
        <v>57</v>
      </c>
      <c r="B94" s="164">
        <f>DATE(24,7,1)</f>
        <v>8949</v>
      </c>
      <c r="C94" s="225">
        <v>33789311.990000002</v>
      </c>
      <c r="D94" s="225">
        <v>3886760.9</v>
      </c>
      <c r="E94" s="225">
        <v>3743935.17</v>
      </c>
      <c r="F94" s="165">
        <f>(+D94-E94)/E94</f>
        <v>3.8148558539276199E-2</v>
      </c>
      <c r="G94" s="240">
        <f>D94/C94</f>
        <v>0.11502929983156486</v>
      </c>
      <c r="H94" s="241">
        <f>1-G94</f>
        <v>0.88497070016843515</v>
      </c>
      <c r="I94" s="156"/>
    </row>
    <row r="95" spans="1:9" ht="15.75" x14ac:dyDescent="0.25">
      <c r="A95" s="163"/>
      <c r="B95" s="164">
        <f>DATE(24,8,1)</f>
        <v>8980</v>
      </c>
      <c r="C95" s="225">
        <v>35967561.380000003</v>
      </c>
      <c r="D95" s="225">
        <v>4094103.92</v>
      </c>
      <c r="E95" s="225">
        <v>3650833.47</v>
      </c>
      <c r="F95" s="165">
        <f>(+D95-E95)/E95</f>
        <v>0.12141623375661659</v>
      </c>
      <c r="G95" s="240">
        <f>D95/C95</f>
        <v>0.11382767590900819</v>
      </c>
      <c r="H95" s="241">
        <f>1-G95</f>
        <v>0.88617232409099178</v>
      </c>
      <c r="I95" s="156"/>
    </row>
    <row r="96" spans="1:9" ht="15.75" x14ac:dyDescent="0.25">
      <c r="A96" s="163"/>
      <c r="B96" s="164">
        <f>DATE(24,9,1)</f>
        <v>9011</v>
      </c>
      <c r="C96" s="225">
        <v>31698488.16</v>
      </c>
      <c r="D96" s="225">
        <v>3432175.67</v>
      </c>
      <c r="E96" s="225">
        <v>3571965.85</v>
      </c>
      <c r="F96" s="165">
        <f>(+D96-E96)/E96</f>
        <v>-3.9135362954267928E-2</v>
      </c>
      <c r="G96" s="240">
        <f>D96/C96</f>
        <v>0.1082756897640004</v>
      </c>
      <c r="H96" s="241">
        <f>1-G96</f>
        <v>0.89172431023599963</v>
      </c>
      <c r="I96" s="156"/>
    </row>
    <row r="97" spans="1:9" ht="15.75" x14ac:dyDescent="0.25">
      <c r="A97" s="163"/>
      <c r="B97" s="164">
        <f>DATE(24,10,1)</f>
        <v>9041</v>
      </c>
      <c r="C97" s="225">
        <v>31975397.300000001</v>
      </c>
      <c r="D97" s="225">
        <v>3513094.6</v>
      </c>
      <c r="E97" s="225">
        <v>3454191.96</v>
      </c>
      <c r="F97" s="165">
        <f>(+D97-E97)/E97</f>
        <v>1.7052509148912539E-2</v>
      </c>
      <c r="G97" s="240">
        <f>D97/C97</f>
        <v>0.10986867706566386</v>
      </c>
      <c r="H97" s="241">
        <f>1-G97</f>
        <v>0.89013132293433617</v>
      </c>
      <c r="I97" s="156"/>
    </row>
    <row r="98" spans="1:9" ht="15.75" thickBot="1" x14ac:dyDescent="0.25">
      <c r="A98" s="166"/>
      <c r="B98" s="167"/>
      <c r="C98" s="225"/>
      <c r="D98" s="225"/>
      <c r="E98" s="225"/>
      <c r="F98" s="165"/>
      <c r="G98" s="240"/>
      <c r="H98" s="241"/>
      <c r="I98" s="156"/>
    </row>
    <row r="99" spans="1:9" ht="17.25" thickTop="1" thickBot="1" x14ac:dyDescent="0.3">
      <c r="A99" s="168" t="s">
        <v>14</v>
      </c>
      <c r="B99" s="154"/>
      <c r="C99" s="222">
        <f>SUM(C94:C98)</f>
        <v>133430758.83</v>
      </c>
      <c r="D99" s="222">
        <f>SUM(D94:D98)</f>
        <v>14926135.09</v>
      </c>
      <c r="E99" s="222">
        <f>SUM(E94:E98)</f>
        <v>14420926.449999999</v>
      </c>
      <c r="F99" s="175">
        <f>(+D99-E99)/E99</f>
        <v>3.5033022444962307E-2</v>
      </c>
      <c r="G99" s="244">
        <f>D99/C99</f>
        <v>0.111864274930917</v>
      </c>
      <c r="H99" s="245">
        <f>1-G99</f>
        <v>0.888135725069083</v>
      </c>
      <c r="I99" s="156"/>
    </row>
    <row r="100" spans="1:9" ht="16.5" thickTop="1" thickBot="1" x14ac:dyDescent="0.25">
      <c r="A100" s="170"/>
      <c r="B100" s="171"/>
      <c r="C100" s="226"/>
      <c r="D100" s="226"/>
      <c r="E100" s="226"/>
      <c r="F100" s="172"/>
      <c r="G100" s="242"/>
      <c r="H100" s="243"/>
      <c r="I100" s="156"/>
    </row>
    <row r="101" spans="1:9" ht="17.25" thickTop="1" thickBot="1" x14ac:dyDescent="0.3">
      <c r="A101" s="183" t="s">
        <v>38</v>
      </c>
      <c r="B101" s="154"/>
      <c r="C101" s="222">
        <f>C99+C92+C71+C57+C43+C29+C15+C36+C85+C22+C64+C78+C50</f>
        <v>5510605973.6999998</v>
      </c>
      <c r="D101" s="222">
        <f>D99+D92+D71+D57+D43+D29+D15+D36+D85+D22+D64+D78+D50</f>
        <v>530515579.29000002</v>
      </c>
      <c r="E101" s="222">
        <f>E99+E92+E71+E57+E43+E29+E15+E36+E85+E22+E64+E78+E50</f>
        <v>545101082.58000004</v>
      </c>
      <c r="F101" s="169">
        <f>(+D101-E101)/E101</f>
        <v>-2.6757428587310551E-2</v>
      </c>
      <c r="G101" s="235">
        <f>D101/C101</f>
        <v>9.6271731606641195E-2</v>
      </c>
      <c r="H101" s="236">
        <f>1-G101</f>
        <v>0.90372826839335885</v>
      </c>
      <c r="I101" s="156"/>
    </row>
    <row r="102" spans="1:9" ht="17.25" thickTop="1" thickBot="1" x14ac:dyDescent="0.3">
      <c r="A102" s="183"/>
      <c r="B102" s="154"/>
      <c r="C102" s="222"/>
      <c r="D102" s="222"/>
      <c r="E102" s="222"/>
      <c r="F102" s="169"/>
      <c r="G102" s="235"/>
      <c r="H102" s="236"/>
      <c r="I102" s="156"/>
    </row>
    <row r="103" spans="1:9" ht="17.25" thickTop="1" thickBot="1" x14ac:dyDescent="0.3">
      <c r="A103" s="183" t="s">
        <v>39</v>
      </c>
      <c r="B103" s="154"/>
      <c r="C103" s="222">
        <f>+C13+C20+C27+C34+C41+C48+C55+C69+C62+C76+C83+C90+C97</f>
        <v>1336075377.55</v>
      </c>
      <c r="D103" s="222">
        <f>+D13+D20+D27+D34+D41+D48+D55+D69+D62+D76+D83+D90+D97</f>
        <v>129427611.75999999</v>
      </c>
      <c r="E103" s="222">
        <f>+E13+E20+E27+E34+E41+E48+E55+E69+E62+E76+E83+E90+E97</f>
        <v>128919804.16000001</v>
      </c>
      <c r="F103" s="169">
        <f>(+D103-E103)/E103</f>
        <v>3.9389417576972769E-3</v>
      </c>
      <c r="G103" s="235">
        <f>D103/C103</f>
        <v>9.6871489389569576E-2</v>
      </c>
      <c r="H103" s="245">
        <f>1-G103</f>
        <v>0.90312851061043042</v>
      </c>
      <c r="I103" s="156"/>
    </row>
    <row r="104" spans="1:9" ht="16.5" thickTop="1" x14ac:dyDescent="0.25">
      <c r="A104" s="184"/>
      <c r="B104" s="185"/>
      <c r="C104" s="230"/>
      <c r="D104" s="230"/>
      <c r="E104" s="230"/>
      <c r="F104" s="186"/>
      <c r="G104" s="249"/>
      <c r="H104" s="249"/>
      <c r="I104" s="150"/>
    </row>
    <row r="105" spans="1:9" ht="16.5" customHeight="1" x14ac:dyDescent="0.3">
      <c r="A105" s="187" t="s">
        <v>49</v>
      </c>
      <c r="B105" s="188"/>
      <c r="C105" s="231"/>
      <c r="D105" s="231"/>
      <c r="E105" s="231"/>
      <c r="F105" s="189"/>
      <c r="G105" s="250"/>
      <c r="H105" s="250"/>
      <c r="I105" s="150"/>
    </row>
    <row r="106" spans="1:9" ht="15.75" x14ac:dyDescent="0.25">
      <c r="A106" s="190"/>
      <c r="B106" s="188"/>
      <c r="C106" s="231"/>
      <c r="D106" s="231"/>
      <c r="E106" s="231"/>
      <c r="F106" s="189"/>
      <c r="G106" s="256"/>
      <c r="H106" s="256"/>
      <c r="I106" s="150"/>
    </row>
    <row r="107" spans="1:9" ht="15.75" x14ac:dyDescent="0.25">
      <c r="A107" s="71"/>
      <c r="I107" s="150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2" manualBreakCount="2">
    <brk id="50" max="8" man="1"/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2024-11-07T15:50:22Z</cp:lastPrinted>
  <dcterms:created xsi:type="dcterms:W3CDTF">2003-09-09T14:41:43Z</dcterms:created>
  <dcterms:modified xsi:type="dcterms:W3CDTF">2024-11-08T14:49:40Z</dcterms:modified>
</cp:coreProperties>
</file>