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"/>
    </mc:Choice>
  </mc:AlternateContent>
  <bookViews>
    <workbookView xWindow="90" yWindow="150" windowWidth="7530" windowHeight="4050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STATS'!$A$1:$M$91</definedName>
    <definedName name="_xlnm.Print_Area" localSheetId="4">'SLOT STATS'!$A$1:$I$92</definedName>
    <definedName name="_xlnm.Print_Area" localSheetId="2">'TABLE STATS'!$A$1:$H$91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G84" i="4" l="1"/>
  <c r="H84" i="4"/>
  <c r="F84" i="4"/>
  <c r="G78" i="4"/>
  <c r="H78" i="4"/>
  <c r="F78" i="4"/>
  <c r="G72" i="4"/>
  <c r="H72" i="4"/>
  <c r="F72" i="4"/>
  <c r="H66" i="4"/>
  <c r="G66" i="4"/>
  <c r="F66" i="4"/>
  <c r="H60" i="4"/>
  <c r="G60" i="4"/>
  <c r="F60" i="4"/>
  <c r="G54" i="4"/>
  <c r="H54" i="4"/>
  <c r="F54" i="4"/>
  <c r="G48" i="4"/>
  <c r="H48" i="4"/>
  <c r="F48" i="4"/>
  <c r="G42" i="4"/>
  <c r="H42" i="4"/>
  <c r="F42" i="4"/>
  <c r="G36" i="4"/>
  <c r="H36" i="4"/>
  <c r="F36" i="4"/>
  <c r="G30" i="4"/>
  <c r="H30" i="4"/>
  <c r="F30" i="4"/>
  <c r="H24" i="4"/>
  <c r="G24" i="4"/>
  <c r="F24" i="4"/>
  <c r="H18" i="4"/>
  <c r="G18" i="4"/>
  <c r="F18" i="4"/>
  <c r="H12" i="4"/>
  <c r="G12" i="4"/>
  <c r="F12" i="4"/>
  <c r="M29" i="1"/>
  <c r="E90" i="4"/>
  <c r="D90" i="4"/>
  <c r="C90" i="4"/>
  <c r="B84" i="4"/>
  <c r="B78" i="4"/>
  <c r="B72" i="4"/>
  <c r="B66" i="4"/>
  <c r="B60" i="4"/>
  <c r="B54" i="4"/>
  <c r="B48" i="4"/>
  <c r="B42" i="4"/>
  <c r="B36" i="4"/>
  <c r="B30" i="4"/>
  <c r="B24" i="4"/>
  <c r="B18" i="4"/>
  <c r="B12" i="4"/>
  <c r="E90" i="5"/>
  <c r="D90" i="5"/>
  <c r="C90" i="5"/>
  <c r="F78" i="5"/>
  <c r="G66" i="5"/>
  <c r="H66" i="5"/>
  <c r="B84" i="5"/>
  <c r="B78" i="5"/>
  <c r="B72" i="5"/>
  <c r="B66" i="5"/>
  <c r="B60" i="5"/>
  <c r="B54" i="5"/>
  <c r="B48" i="5"/>
  <c r="B42" i="5"/>
  <c r="B36" i="5"/>
  <c r="B30" i="5"/>
  <c r="B24" i="5"/>
  <c r="B18" i="5"/>
  <c r="B12" i="5"/>
  <c r="E89" i="3"/>
  <c r="D89" i="3"/>
  <c r="C89" i="3"/>
  <c r="G83" i="3"/>
  <c r="F83" i="3"/>
  <c r="G77" i="3"/>
  <c r="F77" i="3"/>
  <c r="G65" i="3"/>
  <c r="F65" i="3"/>
  <c r="G59" i="3"/>
  <c r="F59" i="3"/>
  <c r="G53" i="3"/>
  <c r="F53" i="3"/>
  <c r="G47" i="3"/>
  <c r="F47" i="3"/>
  <c r="G41" i="3"/>
  <c r="F41" i="3"/>
  <c r="G35" i="3"/>
  <c r="F35" i="3"/>
  <c r="G29" i="3"/>
  <c r="F29" i="3"/>
  <c r="G23" i="3"/>
  <c r="F23" i="3"/>
  <c r="G17" i="3"/>
  <c r="F17" i="3"/>
  <c r="G11" i="3"/>
  <c r="F11" i="3"/>
  <c r="B83" i="3"/>
  <c r="B77" i="3"/>
  <c r="B71" i="3"/>
  <c r="B65" i="3"/>
  <c r="B59" i="3"/>
  <c r="B53" i="3"/>
  <c r="B47" i="3"/>
  <c r="B41" i="3"/>
  <c r="B35" i="3"/>
  <c r="B29" i="3"/>
  <c r="B23" i="3"/>
  <c r="B17" i="3"/>
  <c r="B11" i="3"/>
  <c r="E33" i="2"/>
  <c r="N33" i="2"/>
  <c r="M33" i="2"/>
  <c r="L33" i="2"/>
  <c r="K33" i="2"/>
  <c r="J33" i="2"/>
  <c r="I33" i="2"/>
  <c r="H33" i="2"/>
  <c r="G33" i="2"/>
  <c r="F33" i="2"/>
  <c r="D33" i="2"/>
  <c r="C33" i="2"/>
  <c r="B33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A33" i="2"/>
  <c r="A12" i="2"/>
  <c r="L89" i="1"/>
  <c r="G89" i="1"/>
  <c r="F89" i="1"/>
  <c r="D89" i="1"/>
  <c r="C89" i="1"/>
  <c r="M83" i="1"/>
  <c r="J83" i="1"/>
  <c r="I83" i="1"/>
  <c r="H83" i="1"/>
  <c r="E83" i="1"/>
  <c r="G83" i="1"/>
  <c r="F83" i="1"/>
  <c r="M77" i="1"/>
  <c r="J77" i="1"/>
  <c r="I77" i="1"/>
  <c r="H77" i="1"/>
  <c r="E77" i="1"/>
  <c r="G77" i="1"/>
  <c r="F77" i="1"/>
  <c r="M71" i="1"/>
  <c r="J71" i="1"/>
  <c r="I71" i="1"/>
  <c r="H71" i="1"/>
  <c r="E71" i="1"/>
  <c r="G71" i="1"/>
  <c r="F71" i="1"/>
  <c r="M65" i="1"/>
  <c r="J65" i="1"/>
  <c r="I65" i="1"/>
  <c r="H65" i="1"/>
  <c r="E65" i="1"/>
  <c r="G65" i="1"/>
  <c r="F65" i="1"/>
  <c r="M59" i="1"/>
  <c r="J59" i="1"/>
  <c r="I59" i="1"/>
  <c r="H59" i="1"/>
  <c r="E59" i="1"/>
  <c r="G59" i="1"/>
  <c r="F59" i="1"/>
  <c r="M53" i="1"/>
  <c r="J53" i="1"/>
  <c r="I53" i="1"/>
  <c r="H53" i="1"/>
  <c r="E53" i="1"/>
  <c r="G53" i="1"/>
  <c r="F53" i="1"/>
  <c r="M47" i="1"/>
  <c r="J47" i="1"/>
  <c r="I47" i="1"/>
  <c r="H47" i="1"/>
  <c r="E47" i="1"/>
  <c r="G47" i="1"/>
  <c r="F47" i="1"/>
  <c r="M41" i="1"/>
  <c r="J41" i="1"/>
  <c r="I41" i="1"/>
  <c r="H41" i="1"/>
  <c r="E41" i="1"/>
  <c r="G41" i="1"/>
  <c r="F41" i="1"/>
  <c r="M35" i="1"/>
  <c r="J35" i="1"/>
  <c r="I35" i="1"/>
  <c r="H35" i="1"/>
  <c r="E35" i="1"/>
  <c r="G35" i="1"/>
  <c r="F35" i="1"/>
  <c r="H29" i="1"/>
  <c r="E29" i="1"/>
  <c r="G29" i="1"/>
  <c r="F29" i="1"/>
  <c r="M23" i="1"/>
  <c r="J23" i="1"/>
  <c r="I23" i="1"/>
  <c r="H23" i="1"/>
  <c r="E23" i="1"/>
  <c r="G23" i="1"/>
  <c r="F23" i="1"/>
  <c r="M17" i="1"/>
  <c r="J17" i="1"/>
  <c r="I17" i="1"/>
  <c r="H17" i="1"/>
  <c r="E17" i="1"/>
  <c r="G17" i="1"/>
  <c r="F17" i="1"/>
  <c r="M11" i="1"/>
  <c r="J11" i="1"/>
  <c r="I11" i="1"/>
  <c r="H11" i="1"/>
  <c r="E11" i="1"/>
  <c r="G11" i="1"/>
  <c r="F11" i="1"/>
  <c r="B83" i="1"/>
  <c r="B77" i="1"/>
  <c r="B71" i="1"/>
  <c r="B65" i="1"/>
  <c r="B59" i="1"/>
  <c r="B53" i="1"/>
  <c r="B47" i="1"/>
  <c r="B41" i="1"/>
  <c r="B35" i="1"/>
  <c r="B29" i="1"/>
  <c r="B23" i="1"/>
  <c r="B17" i="1"/>
  <c r="B11" i="1"/>
  <c r="G17" i="4"/>
  <c r="H17" i="4"/>
  <c r="F17" i="4"/>
  <c r="G11" i="4"/>
  <c r="H11" i="4"/>
  <c r="F11" i="4"/>
  <c r="G47" i="4"/>
  <c r="H47" i="4"/>
  <c r="F47" i="4"/>
  <c r="G41" i="4"/>
  <c r="H41" i="4"/>
  <c r="F41" i="4"/>
  <c r="G35" i="4"/>
  <c r="H35" i="4"/>
  <c r="F35" i="4"/>
  <c r="G29" i="4"/>
  <c r="H29" i="4"/>
  <c r="F29" i="4"/>
  <c r="G23" i="4"/>
  <c r="H23" i="4"/>
  <c r="F23" i="4"/>
  <c r="G83" i="4"/>
  <c r="H83" i="4"/>
  <c r="F83" i="4"/>
  <c r="G77" i="4"/>
  <c r="H77" i="4"/>
  <c r="F77" i="4"/>
  <c r="G71" i="4"/>
  <c r="H71" i="4"/>
  <c r="F71" i="4"/>
  <c r="G65" i="4"/>
  <c r="H65" i="4"/>
  <c r="F65" i="4"/>
  <c r="G59" i="4"/>
  <c r="H59" i="4"/>
  <c r="F59" i="4"/>
  <c r="G53" i="4"/>
  <c r="H53" i="4"/>
  <c r="F53" i="4"/>
  <c r="B83" i="4"/>
  <c r="B77" i="4"/>
  <c r="B71" i="4"/>
  <c r="B65" i="4"/>
  <c r="B59" i="4"/>
  <c r="B53" i="4"/>
  <c r="B47" i="4"/>
  <c r="B41" i="4"/>
  <c r="B35" i="4"/>
  <c r="B29" i="4"/>
  <c r="B23" i="4"/>
  <c r="B17" i="4"/>
  <c r="B11" i="4"/>
  <c r="F77" i="5"/>
  <c r="G65" i="5"/>
  <c r="H65" i="5"/>
  <c r="B83" i="5"/>
  <c r="B77" i="5"/>
  <c r="B71" i="5"/>
  <c r="B65" i="5"/>
  <c r="B59" i="5"/>
  <c r="B53" i="5"/>
  <c r="B47" i="5"/>
  <c r="B41" i="5"/>
  <c r="B35" i="5"/>
  <c r="B29" i="5"/>
  <c r="B23" i="5"/>
  <c r="B17" i="5"/>
  <c r="B11" i="5"/>
  <c r="G28" i="3"/>
  <c r="F28" i="3"/>
  <c r="G22" i="3"/>
  <c r="F22" i="3"/>
  <c r="G16" i="3"/>
  <c r="F16" i="3"/>
  <c r="G10" i="3"/>
  <c r="F10" i="3"/>
  <c r="G46" i="3"/>
  <c r="F46" i="3"/>
  <c r="G40" i="3"/>
  <c r="F40" i="3"/>
  <c r="G34" i="3"/>
  <c r="F34" i="3"/>
  <c r="G52" i="3"/>
  <c r="F52" i="3"/>
  <c r="G58" i="3"/>
  <c r="F58" i="3"/>
  <c r="G64" i="3"/>
  <c r="F64" i="3"/>
  <c r="F70" i="3"/>
  <c r="G76" i="3"/>
  <c r="F76" i="3"/>
  <c r="G82" i="3"/>
  <c r="F82" i="3"/>
  <c r="B82" i="3"/>
  <c r="B76" i="3"/>
  <c r="B70" i="3"/>
  <c r="B64" i="3"/>
  <c r="B58" i="3"/>
  <c r="B52" i="3"/>
  <c r="B46" i="3"/>
  <c r="B40" i="3"/>
  <c r="B34" i="3"/>
  <c r="B28" i="3"/>
  <c r="B22" i="3"/>
  <c r="B16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15" i="1"/>
  <c r="J15" i="1"/>
  <c r="F21" i="1"/>
  <c r="J21" i="1"/>
  <c r="F57" i="1"/>
  <c r="J57" i="1"/>
  <c r="M82" i="1"/>
  <c r="I82" i="1"/>
  <c r="E82" i="1"/>
  <c r="G82" i="1"/>
  <c r="F82" i="1"/>
  <c r="J82" i="1"/>
  <c r="M76" i="1"/>
  <c r="I76" i="1"/>
  <c r="E76" i="1"/>
  <c r="G76" i="1"/>
  <c r="F76" i="1"/>
  <c r="M70" i="1"/>
  <c r="J70" i="1"/>
  <c r="I70" i="1"/>
  <c r="E70" i="1"/>
  <c r="G70" i="1"/>
  <c r="F70" i="1"/>
  <c r="M64" i="1"/>
  <c r="I64" i="1"/>
  <c r="E64" i="1"/>
  <c r="G64" i="1"/>
  <c r="F64" i="1"/>
  <c r="J64" i="1"/>
  <c r="M58" i="1"/>
  <c r="I58" i="1"/>
  <c r="E58" i="1"/>
  <c r="G58" i="1"/>
  <c r="F58" i="1"/>
  <c r="J58" i="1"/>
  <c r="M52" i="1"/>
  <c r="I52" i="1"/>
  <c r="E52" i="1"/>
  <c r="G52" i="1"/>
  <c r="F52" i="1"/>
  <c r="J52" i="1"/>
  <c r="M46" i="1"/>
  <c r="I46" i="1"/>
  <c r="E46" i="1"/>
  <c r="G46" i="1"/>
  <c r="F46" i="1"/>
  <c r="M40" i="1"/>
  <c r="I40" i="1"/>
  <c r="E40" i="1"/>
  <c r="F39" i="1"/>
  <c r="J39" i="1"/>
  <c r="G40" i="1"/>
  <c r="F40" i="1"/>
  <c r="J40" i="1"/>
  <c r="M34" i="1"/>
  <c r="I34" i="1"/>
  <c r="E34" i="1"/>
  <c r="G34" i="1"/>
  <c r="F34" i="1"/>
  <c r="J34" i="1"/>
  <c r="M28" i="1"/>
  <c r="I28" i="1"/>
  <c r="E28" i="1"/>
  <c r="G28" i="1"/>
  <c r="F28" i="1"/>
  <c r="J28" i="1"/>
  <c r="M22" i="1"/>
  <c r="I22" i="1"/>
  <c r="E22" i="1"/>
  <c r="G22" i="1"/>
  <c r="F22" i="1"/>
  <c r="M16" i="1"/>
  <c r="I16" i="1"/>
  <c r="E16" i="1"/>
  <c r="G16" i="1"/>
  <c r="F16" i="1"/>
  <c r="M10" i="1"/>
  <c r="I10" i="1"/>
  <c r="E10" i="1"/>
  <c r="G10" i="1"/>
  <c r="F10" i="1"/>
  <c r="J10" i="1"/>
  <c r="B82" i="1"/>
  <c r="B76" i="1"/>
  <c r="B70" i="1"/>
  <c r="B64" i="1"/>
  <c r="B58" i="1"/>
  <c r="B52" i="1"/>
  <c r="B46" i="1"/>
  <c r="B40" i="1"/>
  <c r="B34" i="1"/>
  <c r="B28" i="1"/>
  <c r="B22" i="1"/>
  <c r="B16" i="1"/>
  <c r="B10" i="1"/>
  <c r="B82" i="4"/>
  <c r="B76" i="4"/>
  <c r="B70" i="4"/>
  <c r="B64" i="4"/>
  <c r="B58" i="4"/>
  <c r="B52" i="4"/>
  <c r="B46" i="4"/>
  <c r="B40" i="4"/>
  <c r="B34" i="4"/>
  <c r="B28" i="4"/>
  <c r="B22" i="4"/>
  <c r="B16" i="4"/>
  <c r="B10" i="4"/>
  <c r="G64" i="5"/>
  <c r="H64" i="5"/>
  <c r="B82" i="5"/>
  <c r="B76" i="5"/>
  <c r="B70" i="5"/>
  <c r="B64" i="5"/>
  <c r="B58" i="5"/>
  <c r="B52" i="5"/>
  <c r="B46" i="5"/>
  <c r="B40" i="5"/>
  <c r="B34" i="5"/>
  <c r="B28" i="5"/>
  <c r="B22" i="5"/>
  <c r="B16" i="5"/>
  <c r="B10" i="5"/>
  <c r="B81" i="3"/>
  <c r="B75" i="3"/>
  <c r="B69" i="3"/>
  <c r="B63" i="3"/>
  <c r="B57" i="3"/>
  <c r="B51" i="3"/>
  <c r="B45" i="3"/>
  <c r="B39" i="3"/>
  <c r="B33" i="3"/>
  <c r="B27" i="3"/>
  <c r="B21" i="3"/>
  <c r="B15" i="3"/>
  <c r="B9" i="3"/>
  <c r="A31" i="2"/>
  <c r="A10" i="2"/>
  <c r="F81" i="1"/>
  <c r="J81" i="1"/>
  <c r="G81" i="1"/>
  <c r="F75" i="1"/>
  <c r="G75" i="1"/>
  <c r="F69" i="1"/>
  <c r="J69" i="1"/>
  <c r="G69" i="1"/>
  <c r="F63" i="1"/>
  <c r="J63" i="1"/>
  <c r="G63" i="1"/>
  <c r="G57" i="1"/>
  <c r="F51" i="1"/>
  <c r="G51" i="1"/>
  <c r="F45" i="1"/>
  <c r="J45" i="1"/>
  <c r="G45" i="1"/>
  <c r="G39" i="1"/>
  <c r="H39" i="1"/>
  <c r="F33" i="1"/>
  <c r="J33" i="1"/>
  <c r="G33" i="1"/>
  <c r="G27" i="1"/>
  <c r="F27" i="1"/>
  <c r="J27" i="1"/>
  <c r="G21" i="1"/>
  <c r="G15" i="1"/>
  <c r="F9" i="1"/>
  <c r="G9" i="1"/>
  <c r="B81" i="1"/>
  <c r="B75" i="1"/>
  <c r="B69" i="1"/>
  <c r="B63" i="1"/>
  <c r="B57" i="1"/>
  <c r="B51" i="1"/>
  <c r="B45" i="1"/>
  <c r="B39" i="1"/>
  <c r="B33" i="1"/>
  <c r="B27" i="1"/>
  <c r="B21" i="1"/>
  <c r="B15" i="1"/>
  <c r="B9" i="1"/>
  <c r="F76" i="5"/>
  <c r="B10" i="2"/>
  <c r="E86" i="5"/>
  <c r="D86" i="5"/>
  <c r="C86" i="5"/>
  <c r="E80" i="5"/>
  <c r="D80" i="5"/>
  <c r="C80" i="5"/>
  <c r="E74" i="5"/>
  <c r="D74" i="5"/>
  <c r="C74" i="5"/>
  <c r="E68" i="5"/>
  <c r="D68" i="5"/>
  <c r="C68" i="5"/>
  <c r="E62" i="5"/>
  <c r="D62" i="5"/>
  <c r="C62" i="5"/>
  <c r="E56" i="5"/>
  <c r="D56" i="5"/>
  <c r="C56" i="5"/>
  <c r="E50" i="5"/>
  <c r="D50" i="5"/>
  <c r="C50" i="5"/>
  <c r="E44" i="5"/>
  <c r="D44" i="5"/>
  <c r="C44" i="5"/>
  <c r="E38" i="5"/>
  <c r="D38" i="5"/>
  <c r="C38" i="5"/>
  <c r="E32" i="5"/>
  <c r="D32" i="5"/>
  <c r="C32" i="5"/>
  <c r="E26" i="5"/>
  <c r="D26" i="5"/>
  <c r="C26" i="5"/>
  <c r="E20" i="5"/>
  <c r="D20" i="5"/>
  <c r="C20" i="5"/>
  <c r="E14" i="5"/>
  <c r="D14" i="5"/>
  <c r="C14" i="5"/>
  <c r="L31" i="1"/>
  <c r="F40" i="4"/>
  <c r="F39" i="3"/>
  <c r="M39" i="1"/>
  <c r="E39" i="1"/>
  <c r="F82" i="4"/>
  <c r="F81" i="3"/>
  <c r="G31" i="2"/>
  <c r="G10" i="2"/>
  <c r="M81" i="1"/>
  <c r="E81" i="1"/>
  <c r="E44" i="4"/>
  <c r="D44" i="4"/>
  <c r="C44" i="4"/>
  <c r="G40" i="4"/>
  <c r="H40" i="4"/>
  <c r="E43" i="3"/>
  <c r="D43" i="3"/>
  <c r="C43" i="3"/>
  <c r="G39" i="3"/>
  <c r="L43" i="1"/>
  <c r="D43" i="1"/>
  <c r="C43" i="1"/>
  <c r="I39" i="1"/>
  <c r="G82" i="4"/>
  <c r="H82" i="4"/>
  <c r="G81" i="3"/>
  <c r="I81" i="1"/>
  <c r="D13" i="1"/>
  <c r="D19" i="1"/>
  <c r="D25" i="1"/>
  <c r="D31" i="1"/>
  <c r="D37" i="1"/>
  <c r="D49" i="1"/>
  <c r="D55" i="1"/>
  <c r="D61" i="1"/>
  <c r="D67" i="1"/>
  <c r="D73" i="1"/>
  <c r="D79" i="1"/>
  <c r="D85" i="1"/>
  <c r="C85" i="1"/>
  <c r="C86" i="4"/>
  <c r="D86" i="4"/>
  <c r="C85" i="3"/>
  <c r="D85" i="3"/>
  <c r="E14" i="4"/>
  <c r="E20" i="4"/>
  <c r="E26" i="4"/>
  <c r="E32" i="4"/>
  <c r="E38" i="4"/>
  <c r="E50" i="4"/>
  <c r="E56" i="4"/>
  <c r="E62" i="4"/>
  <c r="E68" i="4"/>
  <c r="E74" i="4"/>
  <c r="E80" i="4"/>
  <c r="E86" i="4"/>
  <c r="D14" i="4"/>
  <c r="D20" i="4"/>
  <c r="D26" i="4"/>
  <c r="D32" i="4"/>
  <c r="D38" i="4"/>
  <c r="D50" i="4"/>
  <c r="D56" i="4"/>
  <c r="D62" i="4"/>
  <c r="D68" i="4"/>
  <c r="D74" i="4"/>
  <c r="D80" i="4"/>
  <c r="C14" i="4"/>
  <c r="C20" i="4"/>
  <c r="C26" i="4"/>
  <c r="C32" i="4"/>
  <c r="C38" i="4"/>
  <c r="C50" i="4"/>
  <c r="C56" i="4"/>
  <c r="C62" i="4"/>
  <c r="C68" i="4"/>
  <c r="C74" i="4"/>
  <c r="C80" i="4"/>
  <c r="F64" i="4"/>
  <c r="E13" i="3"/>
  <c r="E19" i="3"/>
  <c r="E25" i="3"/>
  <c r="E31" i="3"/>
  <c r="E37" i="3"/>
  <c r="E49" i="3"/>
  <c r="E55" i="3"/>
  <c r="E61" i="3"/>
  <c r="E67" i="3"/>
  <c r="E73" i="3"/>
  <c r="E79" i="3"/>
  <c r="E85" i="3"/>
  <c r="D13" i="3"/>
  <c r="D19" i="3"/>
  <c r="D25" i="3"/>
  <c r="D31" i="3"/>
  <c r="D37" i="3"/>
  <c r="D49" i="3"/>
  <c r="D55" i="3"/>
  <c r="D61" i="3"/>
  <c r="D67" i="3"/>
  <c r="D73" i="3"/>
  <c r="D79" i="3"/>
  <c r="C13" i="3"/>
  <c r="C19" i="3"/>
  <c r="C25" i="3"/>
  <c r="C31" i="3"/>
  <c r="C37" i="3"/>
  <c r="C49" i="3"/>
  <c r="C55" i="3"/>
  <c r="C61" i="3"/>
  <c r="C67" i="3"/>
  <c r="C73" i="3"/>
  <c r="C79" i="3"/>
  <c r="F63" i="3"/>
  <c r="M63" i="1"/>
  <c r="E63" i="1"/>
  <c r="L13" i="1"/>
  <c r="L19" i="1"/>
  <c r="L25" i="1"/>
  <c r="L37" i="1"/>
  <c r="L49" i="1"/>
  <c r="L55" i="1"/>
  <c r="L61" i="1"/>
  <c r="L67" i="1"/>
  <c r="L73" i="1"/>
  <c r="L79" i="1"/>
  <c r="K13" i="1"/>
  <c r="K19" i="1"/>
  <c r="C13" i="1"/>
  <c r="C19" i="1"/>
  <c r="C25" i="1"/>
  <c r="C31" i="1"/>
  <c r="C37" i="1"/>
  <c r="C49" i="1"/>
  <c r="C55" i="1"/>
  <c r="C61" i="1"/>
  <c r="C67" i="1"/>
  <c r="C73" i="1"/>
  <c r="C79" i="1"/>
  <c r="E69" i="1"/>
  <c r="I69" i="1"/>
  <c r="M69" i="1"/>
  <c r="K67" i="1"/>
  <c r="F76" i="4"/>
  <c r="K31" i="2"/>
  <c r="K10" i="2"/>
  <c r="K31" i="1"/>
  <c r="M31" i="1"/>
  <c r="K37" i="1"/>
  <c r="K49" i="1"/>
  <c r="K55" i="1"/>
  <c r="K61" i="1"/>
  <c r="K79" i="1"/>
  <c r="I63" i="1"/>
  <c r="G64" i="4"/>
  <c r="H64" i="4"/>
  <c r="G63" i="3"/>
  <c r="F52" i="4"/>
  <c r="F51" i="3"/>
  <c r="N31" i="2"/>
  <c r="M31" i="2"/>
  <c r="L31" i="2"/>
  <c r="J31" i="2"/>
  <c r="I31" i="2"/>
  <c r="H31" i="2"/>
  <c r="F31" i="2"/>
  <c r="E31" i="2"/>
  <c r="C31" i="2"/>
  <c r="B31" i="2"/>
  <c r="M51" i="1"/>
  <c r="E51" i="1"/>
  <c r="I10" i="2"/>
  <c r="G52" i="4"/>
  <c r="H52" i="4"/>
  <c r="G58" i="4"/>
  <c r="H58" i="4"/>
  <c r="F58" i="4"/>
  <c r="G51" i="3"/>
  <c r="I51" i="1"/>
  <c r="F10" i="4"/>
  <c r="G10" i="4"/>
  <c r="H10" i="4"/>
  <c r="I9" i="1"/>
  <c r="I15" i="1"/>
  <c r="I27" i="1"/>
  <c r="I33" i="1"/>
  <c r="I45" i="1"/>
  <c r="I57" i="1"/>
  <c r="I75" i="1"/>
  <c r="E9" i="1"/>
  <c r="M9" i="1"/>
  <c r="E15" i="1"/>
  <c r="M15" i="1"/>
  <c r="E21" i="1"/>
  <c r="E27" i="1"/>
  <c r="M27" i="1"/>
  <c r="E33" i="1"/>
  <c r="M33" i="1"/>
  <c r="E45" i="1"/>
  <c r="M45" i="1"/>
  <c r="E57" i="1"/>
  <c r="M57" i="1"/>
  <c r="E75" i="1"/>
  <c r="M75" i="1"/>
  <c r="F16" i="4"/>
  <c r="G16" i="4"/>
  <c r="H16" i="4"/>
  <c r="F22" i="4"/>
  <c r="G22" i="4"/>
  <c r="H22" i="4"/>
  <c r="F28" i="4"/>
  <c r="G28" i="4"/>
  <c r="H28" i="4"/>
  <c r="F34" i="4"/>
  <c r="G34" i="4"/>
  <c r="H34" i="4"/>
  <c r="F46" i="4"/>
  <c r="G46" i="4"/>
  <c r="H46" i="4"/>
  <c r="F70" i="4"/>
  <c r="G70" i="4"/>
  <c r="H70" i="4"/>
  <c r="G76" i="4"/>
  <c r="H76" i="4"/>
  <c r="F9" i="3"/>
  <c r="F15" i="3"/>
  <c r="G15" i="3"/>
  <c r="F21" i="3"/>
  <c r="G21" i="3"/>
  <c r="F27" i="3"/>
  <c r="G27" i="3"/>
  <c r="F33" i="3"/>
  <c r="G33" i="3"/>
  <c r="F45" i="3"/>
  <c r="G45" i="3"/>
  <c r="F57" i="3"/>
  <c r="G57" i="3"/>
  <c r="F69" i="3"/>
  <c r="F75" i="3"/>
  <c r="G75" i="3"/>
  <c r="G9" i="3"/>
  <c r="C10" i="2"/>
  <c r="D10" i="2"/>
  <c r="E10" i="2"/>
  <c r="F10" i="2"/>
  <c r="H10" i="2"/>
  <c r="J10" i="2"/>
  <c r="L10" i="2"/>
  <c r="M10" i="2"/>
  <c r="N10" i="2"/>
  <c r="I21" i="1"/>
  <c r="M21" i="1"/>
  <c r="K25" i="1"/>
  <c r="D31" i="2"/>
  <c r="L85" i="1"/>
  <c r="K85" i="1"/>
  <c r="K43" i="1"/>
  <c r="K73" i="1"/>
  <c r="F73" i="1"/>
  <c r="F20" i="4"/>
  <c r="F80" i="4"/>
  <c r="F56" i="4"/>
  <c r="F26" i="4"/>
  <c r="G62" i="4"/>
  <c r="H62" i="4"/>
  <c r="E88" i="4"/>
  <c r="C88" i="4"/>
  <c r="G50" i="4"/>
  <c r="H50" i="4"/>
  <c r="G38" i="4"/>
  <c r="H38" i="4"/>
  <c r="F14" i="4"/>
  <c r="F68" i="4"/>
  <c r="G56" i="4"/>
  <c r="H56" i="4"/>
  <c r="G20" i="4"/>
  <c r="H20" i="4"/>
  <c r="F86" i="4"/>
  <c r="G44" i="4"/>
  <c r="H44" i="4"/>
  <c r="G80" i="4"/>
  <c r="H80" i="4"/>
  <c r="G68" i="4"/>
  <c r="H68" i="4"/>
  <c r="G14" i="4"/>
  <c r="H14" i="4"/>
  <c r="G32" i="4"/>
  <c r="H32" i="4"/>
  <c r="F62" i="4"/>
  <c r="F90" i="4"/>
  <c r="G86" i="4"/>
  <c r="H86" i="4"/>
  <c r="G26" i="4"/>
  <c r="H26" i="4"/>
  <c r="F74" i="4"/>
  <c r="G74" i="4"/>
  <c r="H74" i="4"/>
  <c r="F38" i="4"/>
  <c r="G90" i="4"/>
  <c r="H90" i="4"/>
  <c r="F32" i="4"/>
  <c r="F50" i="4"/>
  <c r="F44" i="4"/>
  <c r="D88" i="4"/>
  <c r="G68" i="5"/>
  <c r="H68" i="5"/>
  <c r="F90" i="5"/>
  <c r="E88" i="5"/>
  <c r="G90" i="5"/>
  <c r="H90" i="5"/>
  <c r="C88" i="5"/>
  <c r="F80" i="5"/>
  <c r="D88" i="5"/>
  <c r="F25" i="3"/>
  <c r="F43" i="3"/>
  <c r="G31" i="3"/>
  <c r="F67" i="3"/>
  <c r="F89" i="3"/>
  <c r="G85" i="3"/>
  <c r="G67" i="3"/>
  <c r="F31" i="3"/>
  <c r="G13" i="3"/>
  <c r="G37" i="3"/>
  <c r="F79" i="3"/>
  <c r="F55" i="3"/>
  <c r="G55" i="3"/>
  <c r="F85" i="3"/>
  <c r="F13" i="3"/>
  <c r="G19" i="3"/>
  <c r="G89" i="3"/>
  <c r="G43" i="3"/>
  <c r="G61" i="3"/>
  <c r="C87" i="3"/>
  <c r="F73" i="3"/>
  <c r="F19" i="3"/>
  <c r="F49" i="3"/>
  <c r="G25" i="3"/>
  <c r="G49" i="3"/>
  <c r="F37" i="3"/>
  <c r="D87" i="3"/>
  <c r="F61" i="3"/>
  <c r="E87" i="3"/>
  <c r="G79" i="3"/>
  <c r="L44" i="2"/>
  <c r="K44" i="2"/>
  <c r="D44" i="2"/>
  <c r="O33" i="2"/>
  <c r="O12" i="2"/>
  <c r="I23" i="2"/>
  <c r="E89" i="1"/>
  <c r="I79" i="1"/>
  <c r="M61" i="1"/>
  <c r="I25" i="1"/>
  <c r="N44" i="2"/>
  <c r="G61" i="1"/>
  <c r="E25" i="1"/>
  <c r="C44" i="2"/>
  <c r="H23" i="2"/>
  <c r="G79" i="1"/>
  <c r="I43" i="1"/>
  <c r="H51" i="1"/>
  <c r="H9" i="1"/>
  <c r="H21" i="1"/>
  <c r="F23" i="2"/>
  <c r="G37" i="1"/>
  <c r="I44" i="2"/>
  <c r="M19" i="1"/>
  <c r="I49" i="1"/>
  <c r="M44" i="2"/>
  <c r="E85" i="1"/>
  <c r="J23" i="2"/>
  <c r="E44" i="2"/>
  <c r="H75" i="1"/>
  <c r="H52" i="1"/>
  <c r="B23" i="2"/>
  <c r="F55" i="1"/>
  <c r="J55" i="1"/>
  <c r="H81" i="1"/>
  <c r="O11" i="2"/>
  <c r="O32" i="2"/>
  <c r="E23" i="2"/>
  <c r="N23" i="2"/>
  <c r="E73" i="1"/>
  <c r="H45" i="1"/>
  <c r="G73" i="1"/>
  <c r="H73" i="1"/>
  <c r="F25" i="1"/>
  <c r="J25" i="1"/>
  <c r="F49" i="1"/>
  <c r="J49" i="1"/>
  <c r="H27" i="1"/>
  <c r="I13" i="1"/>
  <c r="G85" i="1"/>
  <c r="E79" i="1"/>
  <c r="G31" i="1"/>
  <c r="F43" i="1"/>
  <c r="J43" i="1"/>
  <c r="M43" i="1"/>
  <c r="B44" i="2"/>
  <c r="C87" i="1"/>
  <c r="E49" i="1"/>
  <c r="H15" i="1"/>
  <c r="M73" i="1"/>
  <c r="J73" i="1"/>
  <c r="M25" i="1"/>
  <c r="L23" i="2"/>
  <c r="G23" i="2"/>
  <c r="M13" i="1"/>
  <c r="G43" i="1"/>
  <c r="I55" i="1"/>
  <c r="G49" i="1"/>
  <c r="H76" i="1"/>
  <c r="H69" i="1"/>
  <c r="F31" i="1"/>
  <c r="H44" i="2"/>
  <c r="M49" i="1"/>
  <c r="E37" i="1"/>
  <c r="E43" i="1"/>
  <c r="J46" i="1"/>
  <c r="H70" i="1"/>
  <c r="L87" i="1"/>
  <c r="E13" i="1"/>
  <c r="H63" i="1"/>
  <c r="G13" i="1"/>
  <c r="H16" i="1"/>
  <c r="F13" i="1"/>
  <c r="G67" i="1"/>
  <c r="G44" i="2"/>
  <c r="H57" i="1"/>
  <c r="G19" i="1"/>
  <c r="F67" i="1"/>
  <c r="F44" i="2"/>
  <c r="M79" i="1"/>
  <c r="G25" i="1"/>
  <c r="H33" i="1"/>
  <c r="H58" i="1"/>
  <c r="F61" i="1"/>
  <c r="I61" i="1"/>
  <c r="F37" i="1"/>
  <c r="D23" i="2"/>
  <c r="I37" i="1"/>
  <c r="E31" i="1"/>
  <c r="H46" i="1"/>
  <c r="E55" i="1"/>
  <c r="J51" i="1"/>
  <c r="F85" i="1"/>
  <c r="J44" i="2"/>
  <c r="E61" i="1"/>
  <c r="G55" i="1"/>
  <c r="J16" i="1"/>
  <c r="J9" i="1"/>
  <c r="M85" i="1"/>
  <c r="F19" i="1"/>
  <c r="M23" i="2"/>
  <c r="C23" i="2"/>
  <c r="K23" i="2"/>
  <c r="I73" i="1"/>
  <c r="E19" i="1"/>
  <c r="M55" i="1"/>
  <c r="D87" i="1"/>
  <c r="H22" i="1"/>
  <c r="H64" i="1"/>
  <c r="O10" i="2"/>
  <c r="E67" i="1"/>
  <c r="I19" i="1"/>
  <c r="J75" i="1"/>
  <c r="H10" i="1"/>
  <c r="J22" i="1"/>
  <c r="J76" i="1"/>
  <c r="M67" i="1"/>
  <c r="M37" i="1"/>
  <c r="I67" i="1"/>
  <c r="F79" i="1"/>
  <c r="I85" i="1"/>
  <c r="H34" i="1"/>
  <c r="H40" i="1"/>
  <c r="H28" i="1"/>
  <c r="H82" i="1"/>
  <c r="O31" i="2"/>
  <c r="G88" i="4"/>
  <c r="H88" i="4"/>
  <c r="F88" i="4"/>
  <c r="G88" i="5"/>
  <c r="H88" i="5"/>
  <c r="F88" i="5"/>
  <c r="F87" i="3"/>
  <c r="G87" i="3"/>
  <c r="H61" i="1"/>
  <c r="H37" i="1"/>
  <c r="H19" i="1"/>
  <c r="H43" i="1"/>
  <c r="H85" i="1"/>
  <c r="H25" i="1"/>
  <c r="H89" i="1"/>
  <c r="O23" i="2"/>
  <c r="E87" i="1"/>
  <c r="H49" i="1"/>
  <c r="H13" i="1"/>
  <c r="O44" i="2"/>
  <c r="H67" i="1"/>
  <c r="H31" i="1"/>
  <c r="J13" i="1"/>
  <c r="J37" i="1"/>
  <c r="J67" i="1"/>
  <c r="G87" i="1"/>
  <c r="J85" i="1"/>
  <c r="F87" i="1"/>
  <c r="H55" i="1"/>
  <c r="J61" i="1"/>
  <c r="J19" i="1"/>
  <c r="J79" i="1"/>
  <c r="H79" i="1"/>
  <c r="H87" i="1"/>
  <c r="J31" i="1"/>
  <c r="I29" i="1"/>
  <c r="J29" i="1"/>
  <c r="K89" i="1"/>
  <c r="I31" i="1"/>
  <c r="K87" i="1"/>
  <c r="I87" i="1"/>
  <c r="M87" i="1"/>
  <c r="J87" i="1"/>
  <c r="M89" i="1"/>
  <c r="J89" i="1"/>
  <c r="I89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<sst xmlns="http://schemas.openxmlformats.org/spreadsheetml/2006/main" count="241" uniqueCount="79">
  <si>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</si>
  <si>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</si>
  <si>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</si>
  <si>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</si>
  <si>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</si>
  <si>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</si>
  <si>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</si>
  <si>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</si>
  <si>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</si>
  <si>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</si>
  <si>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</si>
  <si>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</si>
  <si>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</si>
  <si>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</si>
  <si>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</si>
  <si>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</si>
  <si>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</si>
  <si>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</si>
  <si>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</si>
  <si>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</si>
  <si>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</si>
  <si>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</si>
  <si>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</si>
  <si>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</si>
  <si>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</si>
  <si>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</si>
  <si>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</si>
  <si>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</si>
  <si>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</si>
  <si>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</si>
  <si>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</si>
  <si>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</si>
  <si>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</si>
  <si>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</si>
  <si>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</si>
  <si>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</si>
  <si>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</si>
  <si>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</si>
  <si>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</si>
  <si>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</si>
  <si>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</si>
  <si>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</si>
  <si>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</si>
  <si>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</si>
  <si>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</si>
  <si>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</si>
  <si>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</si>
  <si>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</si>
  <si>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</si>
  <si>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</si>
  <si>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</si>
  <si>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</si>
  <si>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</si>
  <si>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</si>
  <si>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</si>
  <si>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</si>
  <si>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</si>
  <si>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</si>
  <si>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</si>
  <si>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</si>
  <si>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</si>
  <si>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</si>
  <si>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</si>
  <si>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</si>
  <si>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</si>
  <si>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</si>
  <si>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</si>
  <si>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</si>
  <si>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</si>
  <si>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</si>
  <si>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</si>
  <si>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</si>
  <si>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SEPTEMBER 30, 2024</t>
  </si>
  <si>
    <t>(as reported on the tax remittal database dtd 10/9/24)</t>
  </si>
  <si>
    <t>FOR THE MONTH ENDED:   SEPTEMBER 30, 2024</t>
  </si>
  <si>
    <t>THRU MONTH ENDED:   SEPTEMBER 30, 2024</t>
  </si>
  <si>
    <t>(as reported on the tax remittal database as of 10/9/24)</t>
  </si>
  <si>
    <t>THRU MONTH ENDED:    SEPTEMBER 30, 2024</t>
  </si>
  <si>
    <t>THRU MONTH ENDED:    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</si>
</sst>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4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  <xf numFmtId="3" fontId="16" fillId="0" borderId="14" xfId="3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61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>(+C9-D9)/D9</f>
        <v>-8.0906262721703162E-2</v>
      </c>
      <c r="F9" s="21">
        <f>+C9-86094</f>
        <v>96779</v>
      </c>
      <c r="G9" s="21">
        <f>+D9-94713</f>
        <v>104258</v>
      </c>
      <c r="H9" s="22">
        <f>(+F9-G9)/G9</f>
        <v>-7.1735502311573218E-2</v>
      </c>
      <c r="I9" s="23">
        <f>K9/C9</f>
        <v>73.11157776161599</v>
      </c>
      <c r="J9" s="23">
        <f>K9/F9</f>
        <v>138.15118527779788</v>
      </c>
      <c r="K9" s="21">
        <v>13370133.560000001</v>
      </c>
      <c r="L9" s="21">
        <v>14981981.279999999</v>
      </c>
      <c r="M9" s="24">
        <f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>(+C10-D10)/D10</f>
        <v>4.3155194896166739E-2</v>
      </c>
      <c r="F10" s="21">
        <f>+C10-91892</f>
        <v>101703</v>
      </c>
      <c r="G10" s="21">
        <f>+D10-87146</f>
        <v>98440</v>
      </c>
      <c r="H10" s="22">
        <f>(+F10-G10)/G10</f>
        <v>3.3147094676960587E-2</v>
      </c>
      <c r="I10" s="23">
        <f>K10/C10</f>
        <v>72.28058834164105</v>
      </c>
      <c r="J10" s="23">
        <f>K10/F10</f>
        <v>137.58847329970601</v>
      </c>
      <c r="K10" s="21">
        <v>13993160.5</v>
      </c>
      <c r="L10" s="21">
        <v>14127127.52</v>
      </c>
      <c r="M10" s="24">
        <f>(+K10-L10)/L10</f>
        <v>-9.4829624642617759E-3</v>
      </c>
      <c r="N10" s="10"/>
      <c r="R10" s="2"/>
    </row>
    <row r="11" spans="1:18" ht="15.75" x14ac:dyDescent="0.25">
      <c r="A11" s="19"/>
      <c r="B11" s="20">
        <f>DATE(2024,9,1)</f>
        <v>45536</v>
      </c>
      <c r="C11" s="21">
        <v>175664</v>
      </c>
      <c r="D11" s="21">
        <v>185491</v>
      </c>
      <c r="E11" s="22">
        <f>(+C11-D11)/D11</f>
        <v>-5.297831161619701E-2</v>
      </c>
      <c r="F11" s="21">
        <f>+C11-81539</f>
        <v>94125</v>
      </c>
      <c r="G11" s="21">
        <f>+D11-86562</f>
        <v>98929</v>
      </c>
      <c r="H11" s="22">
        <f>(+F11-G11)/G11</f>
        <v>-4.8560078440093399E-2</v>
      </c>
      <c r="I11" s="23">
        <f>K11/C11</f>
        <v>71.1866987544403</v>
      </c>
      <c r="J11" s="23">
        <f>K11/F11</f>
        <v>132.85461088977425</v>
      </c>
      <c r="K11" s="21">
        <v>12504940.25</v>
      </c>
      <c r="L11" s="21">
        <v>12784105.18</v>
      </c>
      <c r="M11" s="24">
        <f>(+K11-L11)/L11</f>
        <v>-2.1836876814556976E-2</v>
      </c>
      <c r="N11" s="10"/>
      <c r="R11" s="2"/>
    </row>
    <row r="12" spans="1:18" ht="15.75" customHeight="1" thickBot="1" x14ac:dyDescent="0.3">
      <c r="A12" s="19"/>
      <c r="B12" s="20"/>
      <c r="C12" s="21"/>
      <c r="D12" s="21"/>
      <c r="E12" s="22"/>
      <c r="F12" s="21"/>
      <c r="G12" s="21"/>
      <c r="H12" s="22"/>
      <c r="I12" s="23"/>
      <c r="J12" s="23"/>
      <c r="K12" s="21"/>
      <c r="L12" s="21"/>
      <c r="M12" s="24"/>
      <c r="N12" s="10"/>
      <c r="R12" s="2"/>
    </row>
    <row r="13" spans="1:18" ht="17.25" thickTop="1" thickBot="1" x14ac:dyDescent="0.3">
      <c r="A13" s="25" t="s">
        <v>14</v>
      </c>
      <c r="B13" s="26"/>
      <c r="C13" s="27">
        <f>SUM(C9:C12)</f>
        <v>552132</v>
      </c>
      <c r="D13" s="27">
        <f>SUM(D9:D12)</f>
        <v>570048</v>
      </c>
      <c r="E13" s="278">
        <f>(+C13-D13)/D13</f>
        <v>-3.1428932300437855E-2</v>
      </c>
      <c r="F13" s="27">
        <f>SUM(F9:F12)</f>
        <v>292607</v>
      </c>
      <c r="G13" s="27">
        <f>SUM(G9:G12)</f>
        <v>301627</v>
      </c>
      <c r="H13" s="29">
        <f>(+F13-G13)/G13</f>
        <v>-2.9904484678095793E-2</v>
      </c>
      <c r="I13" s="30">
        <f>K13/C13</f>
        <v>72.207795074366274</v>
      </c>
      <c r="J13" s="30">
        <f>K13/F13</f>
        <v>136.2518132170454</v>
      </c>
      <c r="K13" s="27">
        <f>SUM(K9:K12)</f>
        <v>39868234.310000002</v>
      </c>
      <c r="L13" s="27">
        <f>SUM(L9:L12)</f>
        <v>41893213.979999997</v>
      </c>
      <c r="M13" s="31">
        <f>(+K13-L13)/L13</f>
        <v>-4.83366988975047E-2</v>
      </c>
      <c r="N13" s="10"/>
      <c r="R13" s="2"/>
    </row>
    <row r="14" spans="1:18" ht="15.75" customHeight="1" thickTop="1" x14ac:dyDescent="0.25">
      <c r="A14" s="15"/>
      <c r="B14" s="16"/>
      <c r="C14" s="16"/>
      <c r="D14" s="16"/>
      <c r="E14" s="17"/>
      <c r="F14" s="16"/>
      <c r="G14" s="16"/>
      <c r="H14" s="17"/>
      <c r="I14" s="16"/>
      <c r="J14" s="16"/>
      <c r="K14" s="194"/>
      <c r="L14" s="194"/>
      <c r="M14" s="18"/>
      <c r="N14" s="10"/>
      <c r="R14" s="2"/>
    </row>
    <row r="15" spans="1:18" ht="15.75" x14ac:dyDescent="0.25">
      <c r="A15" s="19" t="s">
        <v>15</v>
      </c>
      <c r="B15" s="20">
        <f>DATE(2024,7,1)</f>
        <v>45474</v>
      </c>
      <c r="C15" s="21">
        <v>94277</v>
      </c>
      <c r="D15" s="21">
        <v>114764</v>
      </c>
      <c r="E15" s="22">
        <f>(+C15-D15)/D15</f>
        <v>-0.17851416820605764</v>
      </c>
      <c r="F15" s="21">
        <f>+C15-44772</f>
        <v>49505</v>
      </c>
      <c r="G15" s="21">
        <f>+D15-56037</f>
        <v>58727</v>
      </c>
      <c r="H15" s="22">
        <f>(+F15-G15)/G15</f>
        <v>-0.15703168900165171</v>
      </c>
      <c r="I15" s="23">
        <f>K15/C15</f>
        <v>70.872203824898961</v>
      </c>
      <c r="J15" s="23">
        <f>K15/F15</f>
        <v>134.96856398343601</v>
      </c>
      <c r="K15" s="21">
        <v>6681618.7599999998</v>
      </c>
      <c r="L15" s="21">
        <v>8190102.3200000003</v>
      </c>
      <c r="M15" s="24">
        <f>(+K15-L15)/L15</f>
        <v>-0.18418372580234144</v>
      </c>
      <c r="N15" s="10"/>
      <c r="R15" s="2"/>
    </row>
    <row r="16" spans="1:18" ht="15.75" x14ac:dyDescent="0.25">
      <c r="A16" s="19"/>
      <c r="B16" s="20">
        <f>DATE(2024,8,1)</f>
        <v>45505</v>
      </c>
      <c r="C16" s="21">
        <v>95698</v>
      </c>
      <c r="D16" s="21">
        <v>103488</v>
      </c>
      <c r="E16" s="22">
        <f>(+C16-D16)/D16</f>
        <v>-7.5274427952999379E-2</v>
      </c>
      <c r="F16" s="21">
        <f>+C16-45591</f>
        <v>50107</v>
      </c>
      <c r="G16" s="21">
        <f>+D16-50126</f>
        <v>53362</v>
      </c>
      <c r="H16" s="22">
        <f>(+F16-G16)/G16</f>
        <v>-6.0998463325962295E-2</v>
      </c>
      <c r="I16" s="23">
        <f>K16/C16</f>
        <v>75.496528663085954</v>
      </c>
      <c r="J16" s="23">
        <f>K16/F16</f>
        <v>144.18877202786038</v>
      </c>
      <c r="K16" s="21">
        <v>7224866.7999999998</v>
      </c>
      <c r="L16" s="21">
        <v>7478317.0300000003</v>
      </c>
      <c r="M16" s="24">
        <f>(+K16-L16)/L16</f>
        <v>-3.3891346005158654E-2</v>
      </c>
      <c r="N16" s="10"/>
      <c r="R16" s="2"/>
    </row>
    <row r="17" spans="1:18" ht="15.75" x14ac:dyDescent="0.25">
      <c r="A17" s="19"/>
      <c r="B17" s="20">
        <f>DATE(2024,9,1)</f>
        <v>45536</v>
      </c>
      <c r="C17" s="21">
        <v>91160</v>
      </c>
      <c r="D17" s="21">
        <v>100304</v>
      </c>
      <c r="E17" s="22">
        <f>(+C17-D17)/D17</f>
        <v>-9.1162864890732179E-2</v>
      </c>
      <c r="F17" s="21">
        <f>+C17-43108</f>
        <v>48052</v>
      </c>
      <c r="G17" s="21">
        <f>+D17-48762</f>
        <v>51542</v>
      </c>
      <c r="H17" s="22">
        <f>(+F17-G17)/G17</f>
        <v>-6.7711769042722442E-2</v>
      </c>
      <c r="I17" s="23">
        <f>K17/C17</f>
        <v>74.824164655550675</v>
      </c>
      <c r="J17" s="23">
        <f>K17/F17</f>
        <v>141.9497804461833</v>
      </c>
      <c r="K17" s="21">
        <v>6820970.8499999996</v>
      </c>
      <c r="L17" s="21">
        <v>7204755.4299999997</v>
      </c>
      <c r="M17" s="24">
        <f>(+K17-L17)/L17</f>
        <v>-5.3268231479718681E-2</v>
      </c>
      <c r="N17" s="10"/>
      <c r="R17" s="2"/>
    </row>
    <row r="18" spans="1:18" ht="15.75" customHeight="1" thickBot="1" x14ac:dyDescent="0.3">
      <c r="A18" s="19"/>
      <c r="B18" s="20"/>
      <c r="C18" s="21"/>
      <c r="D18" s="21"/>
      <c r="E18" s="22"/>
      <c r="F18" s="21"/>
      <c r="G18" s="21"/>
      <c r="H18" s="22"/>
      <c r="I18" s="23"/>
      <c r="J18" s="23"/>
      <c r="K18" s="21"/>
      <c r="L18" s="21"/>
      <c r="M18" s="24"/>
      <c r="N18" s="10"/>
      <c r="R18" s="2"/>
    </row>
    <row r="19" spans="1:18" ht="17.25" customHeight="1" thickTop="1" thickBot="1" x14ac:dyDescent="0.3">
      <c r="A19" s="25" t="s">
        <v>14</v>
      </c>
      <c r="B19" s="26"/>
      <c r="C19" s="27">
        <f>SUM(C15:C18)</f>
        <v>281135</v>
      </c>
      <c r="D19" s="27">
        <f>SUM(D15:D18)</f>
        <v>318556</v>
      </c>
      <c r="E19" s="278">
        <f>(+C19-D19)/D19</f>
        <v>-0.11747071158603196</v>
      </c>
      <c r="F19" s="27">
        <f>SUM(F15:F18)</f>
        <v>147664</v>
      </c>
      <c r="G19" s="27">
        <f>SUM(G15:G18)</f>
        <v>163631</v>
      </c>
      <c r="H19" s="29">
        <f>(+F19-G19)/G19</f>
        <v>-9.7579309544035056E-2</v>
      </c>
      <c r="I19" s="30">
        <f>K19/C19</f>
        <v>73.727769256762755</v>
      </c>
      <c r="J19" s="30">
        <f>K19/F19</f>
        <v>140.36905684527031</v>
      </c>
      <c r="K19" s="27">
        <f>SUM(K15:K18)</f>
        <v>20727456.409999996</v>
      </c>
      <c r="L19" s="27">
        <f>SUM(L15:L18)</f>
        <v>22873174.780000001</v>
      </c>
      <c r="M19" s="31">
        <f>(+K19-L19)/L19</f>
        <v>-9.3809381104200382E-2</v>
      </c>
      <c r="N19" s="10"/>
      <c r="R19" s="2"/>
    </row>
    <row r="20" spans="1:18" ht="15.75" customHeight="1" thickTop="1" x14ac:dyDescent="0.25">
      <c r="A20" s="32"/>
      <c r="B20" s="33"/>
      <c r="C20" s="34"/>
      <c r="D20" s="34"/>
      <c r="E20" s="28"/>
      <c r="F20" s="34"/>
      <c r="G20" s="34"/>
      <c r="H20" s="28"/>
      <c r="I20" s="35"/>
      <c r="J20" s="35"/>
      <c r="K20" s="34"/>
      <c r="L20" s="34"/>
      <c r="M20" s="36"/>
      <c r="N20" s="10"/>
      <c r="R20" s="2"/>
    </row>
    <row r="21" spans="1:18" ht="15.75" customHeight="1" x14ac:dyDescent="0.25">
      <c r="A21" s="19" t="s">
        <v>62</v>
      </c>
      <c r="B21" s="20">
        <f>DATE(2024,7,1)</f>
        <v>45474</v>
      </c>
      <c r="C21" s="21">
        <v>53756</v>
      </c>
      <c r="D21" s="21">
        <v>62207</v>
      </c>
      <c r="E21" s="22">
        <f>(+C21-D21)/D21</f>
        <v>-0.13585287829343964</v>
      </c>
      <c r="F21" s="21">
        <f>+C21-27520</f>
        <v>26236</v>
      </c>
      <c r="G21" s="21">
        <f>+D21-32355</f>
        <v>29852</v>
      </c>
      <c r="H21" s="22">
        <f>(+F21-G21)/G21</f>
        <v>-0.12113091250167493</v>
      </c>
      <c r="I21" s="23">
        <f>K21/C21</f>
        <v>71.938724793511426</v>
      </c>
      <c r="J21" s="23">
        <f>K21/F21</f>
        <v>147.39815863698735</v>
      </c>
      <c r="K21" s="21">
        <v>3867138.09</v>
      </c>
      <c r="L21" s="21">
        <v>3894925.49</v>
      </c>
      <c r="M21" s="24">
        <f>(+K21-L21)/L21</f>
        <v>-7.1342571433889923E-3</v>
      </c>
      <c r="N21" s="10"/>
      <c r="R21" s="2"/>
    </row>
    <row r="22" spans="1:18" ht="15.75" customHeight="1" x14ac:dyDescent="0.25">
      <c r="A22" s="19"/>
      <c r="B22" s="20">
        <f>DATE(2024,8,1)</f>
        <v>45505</v>
      </c>
      <c r="C22" s="21">
        <v>54520</v>
      </c>
      <c r="D22" s="21">
        <v>55791</v>
      </c>
      <c r="E22" s="22">
        <f>(+C22-D22)/D22</f>
        <v>-2.2781452205552867E-2</v>
      </c>
      <c r="F22" s="21">
        <f>+C22-28215</f>
        <v>26305</v>
      </c>
      <c r="G22" s="21">
        <f>+D22-28978</f>
        <v>26813</v>
      </c>
      <c r="H22" s="22">
        <f>(+F22-G22)/G22</f>
        <v>-1.8946033640398315E-2</v>
      </c>
      <c r="I22" s="23">
        <f>K22/C22</f>
        <v>71.996543103448275</v>
      </c>
      <c r="J22" s="23">
        <f>K22/F22</f>
        <v>149.22073864284357</v>
      </c>
      <c r="K22" s="21">
        <v>3925251.53</v>
      </c>
      <c r="L22" s="21">
        <v>3757372.71</v>
      </c>
      <c r="M22" s="24">
        <f>(+K22-L22)/L22</f>
        <v>4.4679842261376258E-2</v>
      </c>
      <c r="N22" s="10"/>
      <c r="R22" s="2"/>
    </row>
    <row r="23" spans="1:18" ht="15.75" customHeight="1" x14ac:dyDescent="0.25">
      <c r="A23" s="19"/>
      <c r="B23" s="20">
        <f>DATE(2024,9,1)</f>
        <v>45536</v>
      </c>
      <c r="C23" s="21">
        <v>50120</v>
      </c>
      <c r="D23" s="21">
        <v>56687</v>
      </c>
      <c r="E23" s="22">
        <f>(+C23-D23)/D23</f>
        <v>-0.11584666678427152</v>
      </c>
      <c r="F23" s="21">
        <f>+C23-26015</f>
        <v>24105</v>
      </c>
      <c r="G23" s="21">
        <f>+D23-29799</f>
        <v>26888</v>
      </c>
      <c r="H23" s="22">
        <f>(+F23-G23)/G23</f>
        <v>-0.10350342160071407</v>
      </c>
      <c r="I23" s="23">
        <f>K23/C23</f>
        <v>76.211020750199523</v>
      </c>
      <c r="J23" s="23">
        <f>K23/F23</f>
        <v>158.46074922215308</v>
      </c>
      <c r="K23" s="21">
        <v>3819696.36</v>
      </c>
      <c r="L23" s="21">
        <v>4023483.06</v>
      </c>
      <c r="M23" s="24">
        <f>(+K23-L23)/L23</f>
        <v>-5.0649324717176807E-2</v>
      </c>
      <c r="N23" s="10"/>
      <c r="R23" s="2"/>
    </row>
    <row r="24" spans="1:18" ht="15.75" customHeight="1" thickBot="1" x14ac:dyDescent="0.25">
      <c r="A24" s="37"/>
      <c r="B24" s="20"/>
      <c r="C24" s="21"/>
      <c r="D24" s="21"/>
      <c r="E24" s="22"/>
      <c r="F24" s="21"/>
      <c r="G24" s="21"/>
      <c r="H24" s="22"/>
      <c r="I24" s="23"/>
      <c r="J24" s="23"/>
      <c r="K24" s="21"/>
      <c r="L24" s="21"/>
      <c r="M24" s="24"/>
      <c r="N24" s="10"/>
      <c r="R24" s="2"/>
    </row>
    <row r="25" spans="1:18" ht="17.25" customHeight="1" thickTop="1" thickBot="1" x14ac:dyDescent="0.3">
      <c r="A25" s="38" t="s">
        <v>14</v>
      </c>
      <c r="B25" s="39"/>
      <c r="C25" s="40">
        <f>SUM(C21:C24)</f>
        <v>158396</v>
      </c>
      <c r="D25" s="40">
        <f>SUM(D21:D24)</f>
        <v>174685</v>
      </c>
      <c r="E25" s="279">
        <f>(+C25-D25)/D25</f>
        <v>-9.3247846123021436E-2</v>
      </c>
      <c r="F25" s="40">
        <f>SUM(F21:F24)</f>
        <v>76646</v>
      </c>
      <c r="G25" s="40">
        <f>SUM(G21:G24)</f>
        <v>83553</v>
      </c>
      <c r="H25" s="41">
        <f>(+F25-G25)/G25</f>
        <v>-8.2666092181010856E-2</v>
      </c>
      <c r="I25" s="42">
        <f>K25/C25</f>
        <v>73.310474885729434</v>
      </c>
      <c r="J25" s="42">
        <f>K25/F25</f>
        <v>151.50283093703518</v>
      </c>
      <c r="K25" s="40">
        <f>SUM(K21:K24)</f>
        <v>11612085.979999999</v>
      </c>
      <c r="L25" s="40">
        <f>SUM(L21:L24)</f>
        <v>11675781.26</v>
      </c>
      <c r="M25" s="43">
        <f>(+K25-L25)/L25</f>
        <v>-5.4553334446419046E-3</v>
      </c>
      <c r="N25" s="10"/>
      <c r="R25" s="2"/>
    </row>
    <row r="26" spans="1:18" ht="15.75" customHeight="1" thickTop="1" x14ac:dyDescent="0.2">
      <c r="A26" s="37"/>
      <c r="B26" s="44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5.75" customHeight="1" x14ac:dyDescent="0.25">
      <c r="A27" s="176" t="s">
        <v>58</v>
      </c>
      <c r="B27" s="20">
        <f>DATE(2024,7,1)</f>
        <v>45474</v>
      </c>
      <c r="C27" s="21">
        <v>318209</v>
      </c>
      <c r="D27" s="21">
        <v>351840</v>
      </c>
      <c r="E27" s="22">
        <f>(+C27-D27)/D27</f>
        <v>-9.5586061846293771E-2</v>
      </c>
      <c r="F27" s="21">
        <f>+C27-155791</f>
        <v>162418</v>
      </c>
      <c r="G27" s="21">
        <f>+D27-174244</f>
        <v>177596</v>
      </c>
      <c r="H27" s="22">
        <f>(+F27-G27)/G27</f>
        <v>-8.5463636568391177E-2</v>
      </c>
      <c r="I27" s="23">
        <f>K27/C27</f>
        <v>64.610433111571325</v>
      </c>
      <c r="J27" s="23">
        <f>K27/F27</f>
        <v>126.58462307133445</v>
      </c>
      <c r="K27" s="21">
        <v>20559621.309999999</v>
      </c>
      <c r="L27" s="21">
        <v>22259690.579999998</v>
      </c>
      <c r="M27" s="24">
        <f>(+K27-L27)/L27</f>
        <v>-7.6374344193601978E-2</v>
      </c>
      <c r="N27" s="10"/>
      <c r="R27" s="2"/>
    </row>
    <row r="28" spans="1:18" ht="15.75" customHeight="1" x14ac:dyDescent="0.25">
      <c r="A28" s="176"/>
      <c r="B28" s="20">
        <f>DATE(2024,8,1)</f>
        <v>45505</v>
      </c>
      <c r="C28" s="21">
        <v>340072</v>
      </c>
      <c r="D28" s="21">
        <v>330822</v>
      </c>
      <c r="E28" s="22">
        <f>(+C28-D28)/D28</f>
        <v>2.796065557913319E-2</v>
      </c>
      <c r="F28" s="21">
        <f>+C28-163108</f>
        <v>176964</v>
      </c>
      <c r="G28" s="21">
        <f>+D28-166752</f>
        <v>164070</v>
      </c>
      <c r="H28" s="22">
        <f>(+F28-G28)/G28</f>
        <v>7.8588407387090872E-2</v>
      </c>
      <c r="I28" s="23">
        <f>K28/C28</f>
        <v>67.427634177468306</v>
      </c>
      <c r="J28" s="23">
        <f>K28/F28</f>
        <v>129.57579174295336</v>
      </c>
      <c r="K28" s="21">
        <v>22930250.41</v>
      </c>
      <c r="L28" s="21">
        <v>19955458.68</v>
      </c>
      <c r="M28" s="24">
        <f>(+K28-L28)/L28</f>
        <v>0.14907157874458843</v>
      </c>
      <c r="N28" s="10"/>
      <c r="R28" s="2"/>
    </row>
    <row r="29" spans="1:18" ht="15.75" customHeight="1" x14ac:dyDescent="0.25">
      <c r="A29" s="176"/>
      <c r="B29" s="20">
        <f>DATE(2024,9,1)</f>
        <v>45536</v>
      </c>
      <c r="C29" s="21">
        <v>306427</v>
      </c>
      <c r="D29" s="21">
        <v>316962</v>
      </c>
      <c r="E29" s="22">
        <f>(+C29-D29)/D29</f>
        <v>-3.3237422782541756E-2</v>
      </c>
      <c r="F29" s="21">
        <f>+C29-149563</f>
        <v>156864</v>
      </c>
      <c r="G29" s="21">
        <f>+D29-158185</f>
        <v>158777</v>
      </c>
      <c r="H29" s="22">
        <f>(+F29-G29)/G29</f>
        <v>-1.2048344533528156E-2</v>
      </c>
      <c r="I29" s="23">
        <f>K29/C29</f>
        <v>66.087262316962935</v>
      </c>
      <c r="J29" s="23">
        <f>K29/F29</f>
        <v>129.09859196501429</v>
      </c>
      <c r="K29" s="21">
        <v>20250921.530000001</v>
      </c>
      <c r="L29" s="21">
        <v>20493083.73</v>
      </c>
      <c r="M29" s="24">
        <f>(+K29-L29)/L29</f>
        <v>-1.1816776976590202E-2</v>
      </c>
      <c r="N29" s="10"/>
      <c r="R29" s="2"/>
    </row>
    <row r="30" spans="1:18" ht="15.75" thickBot="1" x14ac:dyDescent="0.25">
      <c r="A30" s="37"/>
      <c r="B30" s="44"/>
      <c r="C30" s="21"/>
      <c r="D30" s="21"/>
      <c r="E30" s="22"/>
      <c r="F30" s="21"/>
      <c r="G30" s="21"/>
      <c r="H30" s="22"/>
      <c r="I30" s="23"/>
      <c r="J30" s="23"/>
      <c r="K30" s="21"/>
      <c r="L30" s="21"/>
      <c r="M30" s="24"/>
      <c r="N30" s="10"/>
      <c r="R30" s="2"/>
    </row>
    <row r="31" spans="1:18" ht="17.25" thickTop="1" thickBot="1" x14ac:dyDescent="0.3">
      <c r="A31" s="38" t="s">
        <v>14</v>
      </c>
      <c r="B31" s="39"/>
      <c r="C31" s="40">
        <f>SUM(C27:C30)</f>
        <v>964708</v>
      </c>
      <c r="D31" s="40">
        <f>SUM(D27:D30)</f>
        <v>999624</v>
      </c>
      <c r="E31" s="279">
        <f>(+C31-D31)/D31</f>
        <v>-3.4929133354141155E-2</v>
      </c>
      <c r="F31" s="40">
        <f>SUM(F27:F30)</f>
        <v>496246</v>
      </c>
      <c r="G31" s="40">
        <f>SUM(G27:G30)</f>
        <v>500443</v>
      </c>
      <c r="H31" s="41">
        <f>(+F31-G31)/G31</f>
        <v>-8.3865694994235112E-3</v>
      </c>
      <c r="I31" s="42">
        <f>K31/C31</f>
        <v>66.072628453376566</v>
      </c>
      <c r="J31" s="42">
        <f>K31/F31</f>
        <v>128.44595875835776</v>
      </c>
      <c r="K31" s="40">
        <f>SUM(K27:K30)</f>
        <v>63740793.25</v>
      </c>
      <c r="L31" s="40">
        <f>SUM(L27:L30)</f>
        <v>62708232.989999995</v>
      </c>
      <c r="M31" s="43">
        <f>(+K31-L31)/L31</f>
        <v>1.6466103584272043E-2</v>
      </c>
      <c r="N31" s="10"/>
      <c r="R31" s="2"/>
    </row>
    <row r="32" spans="1:18" ht="15.75" thickTop="1" x14ac:dyDescent="0.2">
      <c r="A32" s="37"/>
      <c r="B32" s="44"/>
      <c r="C32" s="21"/>
      <c r="D32" s="21"/>
      <c r="E32" s="22"/>
      <c r="F32" s="21"/>
      <c r="G32" s="21"/>
      <c r="H32" s="22"/>
      <c r="I32" s="23"/>
      <c r="J32" s="23"/>
      <c r="K32" s="21"/>
      <c r="L32" s="21"/>
      <c r="M32" s="24"/>
      <c r="N32" s="10"/>
      <c r="R32" s="2"/>
    </row>
    <row r="33" spans="1:18" ht="15.75" x14ac:dyDescent="0.25">
      <c r="A33" s="19" t="s">
        <v>60</v>
      </c>
      <c r="B33" s="20">
        <f>DATE(2024,7,1)</f>
        <v>45474</v>
      </c>
      <c r="C33" s="21">
        <v>164838</v>
      </c>
      <c r="D33" s="21">
        <v>199698</v>
      </c>
      <c r="E33" s="22">
        <f>(+C33-D33)/D33</f>
        <v>-0.1745635910224439</v>
      </c>
      <c r="F33" s="21">
        <f>+C33-73814</f>
        <v>91024</v>
      </c>
      <c r="G33" s="21">
        <f>+D33-94634</f>
        <v>105064</v>
      </c>
      <c r="H33" s="22">
        <f>(+F33-G33)/G33</f>
        <v>-0.13363283332064266</v>
      </c>
      <c r="I33" s="23">
        <f>K33/C33</f>
        <v>77.194064960749344</v>
      </c>
      <c r="J33" s="23">
        <f>K33/F33</f>
        <v>139.79296976621549</v>
      </c>
      <c r="K33" s="21">
        <v>12724515.279999999</v>
      </c>
      <c r="L33" s="21">
        <v>15375724.09</v>
      </c>
      <c r="M33" s="24">
        <f>(+K33-L33)/L33</f>
        <v>-0.17242822480954134</v>
      </c>
      <c r="N33" s="10"/>
      <c r="R33" s="2"/>
    </row>
    <row r="34" spans="1:18" ht="15.75" x14ac:dyDescent="0.25">
      <c r="A34" s="19"/>
      <c r="B34" s="20">
        <f>DATE(2024,8,1)</f>
        <v>45505</v>
      </c>
      <c r="C34" s="21">
        <v>175348</v>
      </c>
      <c r="D34" s="21">
        <v>185862</v>
      </c>
      <c r="E34" s="22">
        <f>(+C34-D34)/D34</f>
        <v>-5.6568852159128817E-2</v>
      </c>
      <c r="F34" s="21">
        <f>+C34-80823</f>
        <v>94525</v>
      </c>
      <c r="G34" s="21">
        <f>+D34-90658</f>
        <v>95204</v>
      </c>
      <c r="H34" s="22">
        <f>(+F34-G34)/G34</f>
        <v>-7.1320532750724763E-3</v>
      </c>
      <c r="I34" s="23">
        <f>K34/C34</f>
        <v>78.751777493897848</v>
      </c>
      <c r="J34" s="23">
        <f>K34/F34</f>
        <v>146.08798391959797</v>
      </c>
      <c r="K34" s="21">
        <v>13808966.68</v>
      </c>
      <c r="L34" s="21">
        <v>14073101.49</v>
      </c>
      <c r="M34" s="24">
        <f>(+K34-L34)/L34</f>
        <v>-1.8768770351559549E-2</v>
      </c>
      <c r="N34" s="10"/>
      <c r="R34" s="2"/>
    </row>
    <row r="35" spans="1:18" ht="15.75" x14ac:dyDescent="0.25">
      <c r="A35" s="19"/>
      <c r="B35" s="20">
        <f>DATE(2024,9,1)</f>
        <v>45536</v>
      </c>
      <c r="C35" s="21">
        <v>160883</v>
      </c>
      <c r="D35" s="21">
        <v>187631</v>
      </c>
      <c r="E35" s="22">
        <f>(+C35-D35)/D35</f>
        <v>-0.14255640059478444</v>
      </c>
      <c r="F35" s="21">
        <f>+C35-72644</f>
        <v>88239</v>
      </c>
      <c r="G35" s="21">
        <f>+D35-91547</f>
        <v>96084</v>
      </c>
      <c r="H35" s="22">
        <f>(+F35-G35)/G35</f>
        <v>-8.1647308604970645E-2</v>
      </c>
      <c r="I35" s="23">
        <f>K35/C35</f>
        <v>77.902969052044028</v>
      </c>
      <c r="J35" s="23">
        <f>K35/F35</f>
        <v>142.03768594385701</v>
      </c>
      <c r="K35" s="21">
        <v>12533263.369999999</v>
      </c>
      <c r="L35" s="21">
        <v>13833160.67</v>
      </c>
      <c r="M35" s="24">
        <f>(+K35-L35)/L35</f>
        <v>-9.3969652417837543E-2</v>
      </c>
      <c r="N35" s="10"/>
      <c r="R35" s="2"/>
    </row>
    <row r="36" spans="1:18" ht="15.75" thickBot="1" x14ac:dyDescent="0.25">
      <c r="A36" s="37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25" thickTop="1" thickBot="1" x14ac:dyDescent="0.3">
      <c r="A37" s="38" t="s">
        <v>14</v>
      </c>
      <c r="B37" s="39"/>
      <c r="C37" s="40">
        <f>SUM(C33:C36)</f>
        <v>501069</v>
      </c>
      <c r="D37" s="40">
        <f>SUM(D33:D36)</f>
        <v>573191</v>
      </c>
      <c r="E37" s="280">
        <f>(+C37-D37)/D37</f>
        <v>-0.12582542293929946</v>
      </c>
      <c r="F37" s="46">
        <f>SUM(F33:F36)</f>
        <v>273788</v>
      </c>
      <c r="G37" s="47">
        <f>SUM(G33:G36)</f>
        <v>296352</v>
      </c>
      <c r="H37" s="48">
        <f>(+F37-G37)/G37</f>
        <v>-7.613918583306338E-2</v>
      </c>
      <c r="I37" s="49">
        <f>K37/C37</f>
        <v>77.966797646631505</v>
      </c>
      <c r="J37" s="50">
        <f>K37/F37</f>
        <v>142.68976481803438</v>
      </c>
      <c r="K37" s="47">
        <f>SUM(K33:K36)</f>
        <v>39066745.329999998</v>
      </c>
      <c r="L37" s="46">
        <f>SUM(L33:L36)</f>
        <v>43281986.25</v>
      </c>
      <c r="M37" s="43">
        <f>(+K37-L37)/L37</f>
        <v>-9.7390191283099947E-2</v>
      </c>
      <c r="N37" s="10"/>
      <c r="R37" s="2"/>
    </row>
    <row r="38" spans="1:18" ht="15.75" customHeight="1" thickTop="1" x14ac:dyDescent="0.25">
      <c r="A38" s="272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5.75" x14ac:dyDescent="0.25">
      <c r="A39" s="273" t="s">
        <v>61</v>
      </c>
      <c r="B39" s="20">
        <f>DATE(2024,7,1)</f>
        <v>45474</v>
      </c>
      <c r="C39" s="21">
        <v>92648</v>
      </c>
      <c r="D39" s="21">
        <v>94450</v>
      </c>
      <c r="E39" s="22">
        <f>(+C39-D39)/D39</f>
        <v>-1.90788777130757E-2</v>
      </c>
      <c r="F39" s="21">
        <f>+C39-46627</f>
        <v>46021</v>
      </c>
      <c r="G39" s="21">
        <f>+D39-47449</f>
        <v>47001</v>
      </c>
      <c r="H39" s="22">
        <f>(+F39-G39)/G39</f>
        <v>-2.0850620199570222E-2</v>
      </c>
      <c r="I39" s="23">
        <f>K39/C39</f>
        <v>63.099081793454801</v>
      </c>
      <c r="J39" s="23">
        <f>K39/F39</f>
        <v>127.02904608765564</v>
      </c>
      <c r="K39" s="21">
        <v>5846003.7300000004</v>
      </c>
      <c r="L39" s="21">
        <v>6283716.8300000001</v>
      </c>
      <c r="M39" s="24">
        <f>(+K39-L39)/L39</f>
        <v>-6.9658310812201196E-2</v>
      </c>
      <c r="N39" s="10"/>
      <c r="R39" s="2"/>
    </row>
    <row r="40" spans="1:18" ht="15.75" x14ac:dyDescent="0.25">
      <c r="A40" s="273"/>
      <c r="B40" s="20">
        <f>DATE(2024,8,1)</f>
        <v>45505</v>
      </c>
      <c r="C40" s="21">
        <v>95306</v>
      </c>
      <c r="D40" s="21">
        <v>85640</v>
      </c>
      <c r="E40" s="22">
        <f>(+C40-D40)/D40</f>
        <v>0.11286781877627276</v>
      </c>
      <c r="F40" s="21">
        <f>+C40-47322</f>
        <v>47984</v>
      </c>
      <c r="G40" s="21">
        <f>+D40-42807</f>
        <v>42833</v>
      </c>
      <c r="H40" s="22">
        <f>(+F40-G40)/G40</f>
        <v>0.12025774519646067</v>
      </c>
      <c r="I40" s="23">
        <f>K40/C40</f>
        <v>64.063300107023693</v>
      </c>
      <c r="J40" s="23">
        <f>K40/F40</f>
        <v>127.24276592197398</v>
      </c>
      <c r="K40" s="21">
        <v>6105616.8799999999</v>
      </c>
      <c r="L40" s="21">
        <v>5994866.6799999997</v>
      </c>
      <c r="M40" s="24">
        <f>(+K40-L40)/L40</f>
        <v>1.8474172306363983E-2</v>
      </c>
      <c r="N40" s="10"/>
      <c r="R40" s="2"/>
    </row>
    <row r="41" spans="1:18" ht="15.75" x14ac:dyDescent="0.25">
      <c r="A41" s="273"/>
      <c r="B41" s="20">
        <f>DATE(2024,9,1)</f>
        <v>45536</v>
      </c>
      <c r="C41" s="21">
        <v>91616</v>
      </c>
      <c r="D41" s="21">
        <v>85140</v>
      </c>
      <c r="E41" s="22">
        <f>(+C41-D41)/D41</f>
        <v>7.6062955132722571E-2</v>
      </c>
      <c r="F41" s="21">
        <f>+C41-47055</f>
        <v>44561</v>
      </c>
      <c r="G41" s="21">
        <f>+D41-42349</f>
        <v>42791</v>
      </c>
      <c r="H41" s="22">
        <f>(+F41-G41)/G41</f>
        <v>4.1363838190273658E-2</v>
      </c>
      <c r="I41" s="23">
        <f>K41/C41</f>
        <v>64.331752968913719</v>
      </c>
      <c r="J41" s="23">
        <f>K41/F41</f>
        <v>132.26403985547901</v>
      </c>
      <c r="K41" s="21">
        <v>5893817.8799999999</v>
      </c>
      <c r="L41" s="21">
        <v>5223197.63</v>
      </c>
      <c r="M41" s="24">
        <f>(+K41-L41)/L41</f>
        <v>0.12839266240821909</v>
      </c>
      <c r="N41" s="10"/>
      <c r="R41" s="2"/>
    </row>
    <row r="42" spans="1:18" ht="15.75" customHeight="1" thickBot="1" x14ac:dyDescent="0.3">
      <c r="A42" s="19"/>
      <c r="B42" s="20"/>
      <c r="C42" s="21"/>
      <c r="D42" s="21"/>
      <c r="E42" s="22"/>
      <c r="F42" s="21"/>
      <c r="G42" s="21"/>
      <c r="H42" s="22"/>
      <c r="I42" s="23"/>
      <c r="J42" s="23"/>
      <c r="K42" s="21"/>
      <c r="L42" s="21"/>
      <c r="M42" s="24"/>
      <c r="N42" s="10"/>
      <c r="R42" s="2"/>
    </row>
    <row r="43" spans="1:18" ht="17.45" customHeight="1" thickTop="1" thickBot="1" x14ac:dyDescent="0.3">
      <c r="A43" s="38" t="s">
        <v>14</v>
      </c>
      <c r="B43" s="51"/>
      <c r="C43" s="46">
        <f>SUM(C39:C42)</f>
        <v>279570</v>
      </c>
      <c r="D43" s="47">
        <f>SUM(D39:D42)</f>
        <v>265230</v>
      </c>
      <c r="E43" s="280">
        <f>(+C43-D43)/D43</f>
        <v>5.4066282094785659E-2</v>
      </c>
      <c r="F43" s="47">
        <f>SUM(F39:F42)</f>
        <v>138566</v>
      </c>
      <c r="G43" s="46">
        <f>SUM(G39:G42)</f>
        <v>132625</v>
      </c>
      <c r="H43" s="45">
        <f>(+F43-G43)/G43</f>
        <v>4.4795475966069746E-2</v>
      </c>
      <c r="I43" s="50">
        <f>K43/C43</f>
        <v>63.83173620202453</v>
      </c>
      <c r="J43" s="49">
        <f>K43/F43</f>
        <v>128.78656012297387</v>
      </c>
      <c r="K43" s="46">
        <f>SUM(K39:K42)</f>
        <v>17845438.489999998</v>
      </c>
      <c r="L43" s="47">
        <f>SUM(L39:L42)</f>
        <v>17501781.140000001</v>
      </c>
      <c r="M43" s="43">
        <f>(+K43-L43)/L43</f>
        <v>1.9635564360622425E-2</v>
      </c>
      <c r="N43" s="10"/>
      <c r="R43" s="2"/>
    </row>
    <row r="44" spans="1:18" ht="15.75" customHeight="1" thickTop="1" x14ac:dyDescent="0.25">
      <c r="A44" s="19"/>
      <c r="B44" s="44"/>
      <c r="C44" s="21"/>
      <c r="D44" s="21"/>
      <c r="E44" s="22"/>
      <c r="F44" s="21"/>
      <c r="G44" s="21"/>
      <c r="H44" s="22"/>
      <c r="I44" s="23"/>
      <c r="J44" s="23"/>
      <c r="K44" s="21"/>
      <c r="L44" s="21"/>
      <c r="M44" s="24"/>
      <c r="N44" s="10"/>
      <c r="R44" s="2"/>
    </row>
    <row r="45" spans="1:18" ht="15.75" x14ac:dyDescent="0.25">
      <c r="A45" s="19" t="s">
        <v>67</v>
      </c>
      <c r="B45" s="20">
        <f>DATE(2024,7,1)</f>
        <v>45474</v>
      </c>
      <c r="C45" s="21">
        <v>259533</v>
      </c>
      <c r="D45" s="21">
        <v>219120</v>
      </c>
      <c r="E45" s="22">
        <f>(+C45-D45)/D45</f>
        <v>0.18443318729463307</v>
      </c>
      <c r="F45" s="21">
        <f>+C45-116553</f>
        <v>142980</v>
      </c>
      <c r="G45" s="21">
        <f>+D45-104679</f>
        <v>114441</v>
      </c>
      <c r="H45" s="22">
        <f>(+F45-G45)/G45</f>
        <v>0.24937740844627362</v>
      </c>
      <c r="I45" s="23">
        <f>K45/C45</f>
        <v>45.290873492002945</v>
      </c>
      <c r="J45" s="23">
        <f>K45/F45</f>
        <v>82.210632745838581</v>
      </c>
      <c r="K45" s="21">
        <v>11754476.27</v>
      </c>
      <c r="L45" s="21">
        <v>10804493.880000001</v>
      </c>
      <c r="M45" s="24">
        <f>(+K45-L45)/L45</f>
        <v>8.7924746920213778E-2</v>
      </c>
      <c r="N45" s="10"/>
      <c r="R45" s="2"/>
    </row>
    <row r="46" spans="1:18" ht="15.75" x14ac:dyDescent="0.25">
      <c r="A46" s="19"/>
      <c r="B46" s="20">
        <f>DATE(2024,8,1)</f>
        <v>45505</v>
      </c>
      <c r="C46" s="21">
        <v>262210</v>
      </c>
      <c r="D46" s="21">
        <v>218088</v>
      </c>
      <c r="E46" s="22">
        <f>(+C46-D46)/D46</f>
        <v>0.20231282784930854</v>
      </c>
      <c r="F46" s="21">
        <f>+C46-116032</f>
        <v>146178</v>
      </c>
      <c r="G46" s="21">
        <f>+D46-101100</f>
        <v>116988</v>
      </c>
      <c r="H46" s="22">
        <f>(+F46-G46)/G46</f>
        <v>0.24951277054056825</v>
      </c>
      <c r="I46" s="23">
        <f>K46/C46</f>
        <v>45.232368330727283</v>
      </c>
      <c r="J46" s="23">
        <f>K46/F46</f>
        <v>81.136554748320549</v>
      </c>
      <c r="K46" s="21">
        <v>11860379.300000001</v>
      </c>
      <c r="L46" s="21">
        <v>10872129.380000001</v>
      </c>
      <c r="M46" s="24">
        <f>(+K46-L46)/L46</f>
        <v>9.0897549638983402E-2</v>
      </c>
      <c r="N46" s="10"/>
      <c r="R46" s="2"/>
    </row>
    <row r="47" spans="1:18" ht="15.75" x14ac:dyDescent="0.25">
      <c r="A47" s="19"/>
      <c r="B47" s="20">
        <f>DATE(2024,9,1)</f>
        <v>45536</v>
      </c>
      <c r="C47" s="21">
        <v>241213</v>
      </c>
      <c r="D47" s="21">
        <v>241793</v>
      </c>
      <c r="E47" s="22">
        <f>(+C47-D47)/D47</f>
        <v>-2.3987460348314465E-3</v>
      </c>
      <c r="F47" s="21">
        <f>+C47-107281</f>
        <v>133932</v>
      </c>
      <c r="G47" s="21">
        <f>+D47-107184</f>
        <v>134609</v>
      </c>
      <c r="H47" s="22">
        <f>(+F47-G47)/G47</f>
        <v>-5.029381393517521E-3</v>
      </c>
      <c r="I47" s="23">
        <f>K47/C47</f>
        <v>45.95387839793046</v>
      </c>
      <c r="J47" s="23">
        <f>K47/F47</f>
        <v>82.763438685302987</v>
      </c>
      <c r="K47" s="21">
        <v>11084672.869999999</v>
      </c>
      <c r="L47" s="21">
        <v>11749600.279999999</v>
      </c>
      <c r="M47" s="24">
        <f>(+K47-L47)/L47</f>
        <v>-5.6591491978823315E-2</v>
      </c>
      <c r="N47" s="10"/>
      <c r="R47" s="2"/>
    </row>
    <row r="48" spans="1:18" ht="15.75" customHeight="1" thickBot="1" x14ac:dyDescent="0.3">
      <c r="A48" s="19"/>
      <c r="B48" s="44"/>
      <c r="C48" s="21"/>
      <c r="D48" s="21"/>
      <c r="E48" s="22"/>
      <c r="F48" s="21"/>
      <c r="G48" s="21"/>
      <c r="H48" s="22"/>
      <c r="I48" s="23"/>
      <c r="J48" s="23"/>
      <c r="K48" s="21"/>
      <c r="L48" s="21"/>
      <c r="M48" s="24"/>
      <c r="N48" s="10"/>
      <c r="R48" s="2"/>
    </row>
    <row r="49" spans="1:18" ht="17.45" customHeight="1" thickTop="1" thickBot="1" x14ac:dyDescent="0.3">
      <c r="A49" s="38" t="s">
        <v>14</v>
      </c>
      <c r="B49" s="51"/>
      <c r="C49" s="46">
        <f>SUM(C45:C48)</f>
        <v>762956</v>
      </c>
      <c r="D49" s="47">
        <f>SUM(D45:D48)</f>
        <v>679001</v>
      </c>
      <c r="E49" s="280">
        <f>(+C49-D49)/D49</f>
        <v>0.12364488417542831</v>
      </c>
      <c r="F49" s="47">
        <f>SUM(F45:F48)</f>
        <v>423090</v>
      </c>
      <c r="G49" s="46">
        <f>SUM(G45:G48)</f>
        <v>366038</v>
      </c>
      <c r="H49" s="52">
        <f>(+F49-G49)/G49</f>
        <v>0.1558635988613204</v>
      </c>
      <c r="I49" s="50">
        <f>K49/C49</f>
        <v>45.480379523851965</v>
      </c>
      <c r="J49" s="49">
        <f>K49/F49</f>
        <v>82.014532227185697</v>
      </c>
      <c r="K49" s="46">
        <f>SUM(K45:K48)</f>
        <v>34699528.439999998</v>
      </c>
      <c r="L49" s="47">
        <f>SUM(L45:L48)</f>
        <v>33426223.539999999</v>
      </c>
      <c r="M49" s="43">
        <f>(+K49-L49)/L49</f>
        <v>3.8092993020174083E-2</v>
      </c>
      <c r="N49" s="10"/>
      <c r="R49" s="2"/>
    </row>
    <row r="50" spans="1:18" ht="15.75" customHeight="1" thickTop="1" x14ac:dyDescent="0.25">
      <c r="A50" s="19"/>
      <c r="B50" s="44"/>
      <c r="C50" s="21"/>
      <c r="D50" s="21"/>
      <c r="E50" s="22"/>
      <c r="F50" s="21"/>
      <c r="G50" s="21"/>
      <c r="H50" s="22"/>
      <c r="I50" s="23"/>
      <c r="J50" s="23"/>
      <c r="K50" s="21"/>
      <c r="L50" s="21"/>
      <c r="M50" s="24"/>
      <c r="N50" s="10"/>
      <c r="R50" s="2"/>
    </row>
    <row r="51" spans="1:18" ht="15.75" customHeight="1" x14ac:dyDescent="0.25">
      <c r="A51" s="19" t="s">
        <v>69</v>
      </c>
      <c r="B51" s="20">
        <f>DATE(2024,7,1)</f>
        <v>45474</v>
      </c>
      <c r="C51" s="21">
        <v>179532</v>
      </c>
      <c r="D51" s="21">
        <v>227955</v>
      </c>
      <c r="E51" s="22">
        <f>(+C51-D51)/D51</f>
        <v>-0.2124235046390735</v>
      </c>
      <c r="F51" s="21">
        <f>+C51-80702</f>
        <v>98830</v>
      </c>
      <c r="G51" s="21">
        <f>+D51-105186</f>
        <v>122769</v>
      </c>
      <c r="H51" s="22">
        <f>(+F51-G51)/G51</f>
        <v>-0.19499222116332299</v>
      </c>
      <c r="I51" s="23">
        <f>K51/C51</f>
        <v>66.512470757302324</v>
      </c>
      <c r="J51" s="23">
        <f>K51/F51</f>
        <v>120.82481938682587</v>
      </c>
      <c r="K51" s="21">
        <v>11941116.9</v>
      </c>
      <c r="L51" s="21">
        <v>14034560.470000001</v>
      </c>
      <c r="M51" s="24">
        <f>(+K51-L51)/L51</f>
        <v>-0.14916345791340627</v>
      </c>
      <c r="N51" s="10"/>
      <c r="R51" s="2"/>
    </row>
    <row r="52" spans="1:18" ht="15.75" customHeight="1" x14ac:dyDescent="0.25">
      <c r="A52" s="19"/>
      <c r="B52" s="20">
        <f>DATE(2024,8,1)</f>
        <v>45505</v>
      </c>
      <c r="C52" s="21">
        <v>184933</v>
      </c>
      <c r="D52" s="21">
        <v>213943</v>
      </c>
      <c r="E52" s="22">
        <f>(+C52-D52)/D52</f>
        <v>-0.13559686458542697</v>
      </c>
      <c r="F52" s="21">
        <f>+C52-83211</f>
        <v>101722</v>
      </c>
      <c r="G52" s="21">
        <f>+D52-98836</f>
        <v>115107</v>
      </c>
      <c r="H52" s="22">
        <f>(+F52-G52)/G52</f>
        <v>-0.11628311049718958</v>
      </c>
      <c r="I52" s="23">
        <f>K52/C52</f>
        <v>62.824811526336561</v>
      </c>
      <c r="J52" s="23">
        <f>K52/F52</f>
        <v>114.21699209610506</v>
      </c>
      <c r="K52" s="21">
        <v>11618380.869999999</v>
      </c>
      <c r="L52" s="21">
        <v>13066477.560000001</v>
      </c>
      <c r="M52" s="24">
        <f>(+K52-L52)/L52</f>
        <v>-0.11082533018944711</v>
      </c>
      <c r="N52" s="10"/>
      <c r="R52" s="2"/>
    </row>
    <row r="53" spans="1:18" ht="15.75" customHeight="1" x14ac:dyDescent="0.25">
      <c r="A53" s="19"/>
      <c r="B53" s="20">
        <f>DATE(2024,9,1)</f>
        <v>45536</v>
      </c>
      <c r="C53" s="21">
        <v>169283</v>
      </c>
      <c r="D53" s="21">
        <v>210806</v>
      </c>
      <c r="E53" s="22">
        <f>(+C53-D53)/D53</f>
        <v>-0.19697257193818013</v>
      </c>
      <c r="F53" s="21">
        <f>+C53-78026</f>
        <v>91257</v>
      </c>
      <c r="G53" s="21">
        <f>+D53-94978</f>
        <v>115828</v>
      </c>
      <c r="H53" s="22">
        <f>(+F53-G53)/G53</f>
        <v>-0.21213350830541838</v>
      </c>
      <c r="I53" s="23">
        <f>K53/C53</f>
        <v>62.522470301211577</v>
      </c>
      <c r="J53" s="23">
        <f>K53/F53</f>
        <v>115.98004909212443</v>
      </c>
      <c r="K53" s="21">
        <v>10583991.34</v>
      </c>
      <c r="L53" s="21">
        <v>13635873.52</v>
      </c>
      <c r="M53" s="24">
        <f>(+K53-L53)/L53</f>
        <v>-0.22381273744756763</v>
      </c>
      <c r="N53" s="10"/>
      <c r="R53" s="2"/>
    </row>
    <row r="54" spans="1:18" ht="15.75" customHeight="1" thickBot="1" x14ac:dyDescent="0.3">
      <c r="A54" s="19"/>
      <c r="B54" s="44"/>
      <c r="C54" s="21"/>
      <c r="D54" s="21"/>
      <c r="E54" s="22"/>
      <c r="F54" s="21"/>
      <c r="G54" s="21"/>
      <c r="H54" s="22"/>
      <c r="I54" s="23"/>
      <c r="J54" s="23"/>
      <c r="K54" s="21"/>
      <c r="L54" s="21"/>
      <c r="M54" s="24"/>
      <c r="N54" s="10"/>
      <c r="R54" s="2"/>
    </row>
    <row r="55" spans="1:18" ht="17.25" thickTop="1" thickBot="1" x14ac:dyDescent="0.3">
      <c r="A55" s="38" t="s">
        <v>14</v>
      </c>
      <c r="B55" s="39"/>
      <c r="C55" s="40">
        <f>SUM(C51:C54)</f>
        <v>533748</v>
      </c>
      <c r="D55" s="40">
        <f>SUM(D51:D54)</f>
        <v>652704</v>
      </c>
      <c r="E55" s="279">
        <f>(+C55-D55)/D55</f>
        <v>-0.18225106633328431</v>
      </c>
      <c r="F55" s="40">
        <f>SUM(F51:F54)</f>
        <v>291809</v>
      </c>
      <c r="G55" s="40">
        <f>SUM(G51:G54)</f>
        <v>353704</v>
      </c>
      <c r="H55" s="41">
        <f>(+F55-G55)/G55</f>
        <v>-0.17499095288715988</v>
      </c>
      <c r="I55" s="42">
        <f>K55/C55</f>
        <v>63.969305945877082</v>
      </c>
      <c r="J55" s="42">
        <f>K55/F55</f>
        <v>117.00629216370982</v>
      </c>
      <c r="K55" s="40">
        <f>SUM(K51:K54)</f>
        <v>34143489.109999999</v>
      </c>
      <c r="L55" s="40">
        <f>SUM(L51:L54)</f>
        <v>40736911.549999997</v>
      </c>
      <c r="M55" s="43">
        <f>(+K55-L55)/L55</f>
        <v>-0.16185376331014464</v>
      </c>
      <c r="N55" s="10"/>
      <c r="R55" s="2"/>
    </row>
    <row r="56" spans="1:18" ht="15.75" customHeight="1" thickTop="1" x14ac:dyDescent="0.2">
      <c r="A56" s="53"/>
      <c r="B56" s="54"/>
      <c r="C56" s="54"/>
      <c r="D56" s="54"/>
      <c r="E56" s="55"/>
      <c r="F56" s="54"/>
      <c r="G56" s="54"/>
      <c r="H56" s="55"/>
      <c r="I56" s="54"/>
      <c r="J56" s="54"/>
      <c r="K56" s="195"/>
      <c r="L56" s="195"/>
      <c r="M56" s="56"/>
      <c r="N56" s="10"/>
      <c r="R56" s="2"/>
    </row>
    <row r="57" spans="1:18" ht="15.75" customHeight="1" x14ac:dyDescent="0.25">
      <c r="A57" s="19" t="s">
        <v>16</v>
      </c>
      <c r="B57" s="20">
        <f>DATE(2024,7,1)</f>
        <v>45474</v>
      </c>
      <c r="C57" s="21">
        <v>241250</v>
      </c>
      <c r="D57" s="21">
        <v>262088</v>
      </c>
      <c r="E57" s="22">
        <f>(+C57-D57)/D57</f>
        <v>-7.950764628674338E-2</v>
      </c>
      <c r="F57" s="21">
        <f>+C57-122029</f>
        <v>119221</v>
      </c>
      <c r="G57" s="21">
        <f>+D57-132418</f>
        <v>129670</v>
      </c>
      <c r="H57" s="22">
        <f>(+F57-G57)/G57</f>
        <v>-8.0581476054600143E-2</v>
      </c>
      <c r="I57" s="23">
        <f>K57/C57</f>
        <v>69.777809906735754</v>
      </c>
      <c r="J57" s="23">
        <f>K57/F57</f>
        <v>141.19908942216557</v>
      </c>
      <c r="K57" s="21">
        <v>16833896.640000001</v>
      </c>
      <c r="L57" s="21">
        <v>17639942.010000002</v>
      </c>
      <c r="M57" s="24">
        <f>(+K57-L57)/L57</f>
        <v>-4.5694332189020671E-2</v>
      </c>
      <c r="N57" s="10"/>
      <c r="R57" s="2"/>
    </row>
    <row r="58" spans="1:18" ht="15.75" customHeight="1" x14ac:dyDescent="0.25">
      <c r="A58" s="19"/>
      <c r="B58" s="20">
        <f>DATE(2024,8,1)</f>
        <v>45505</v>
      </c>
      <c r="C58" s="21">
        <v>252387</v>
      </c>
      <c r="D58" s="21">
        <v>239223</v>
      </c>
      <c r="E58" s="22">
        <f>(+C58-D58)/D58</f>
        <v>5.5028153647433568E-2</v>
      </c>
      <c r="F58" s="21">
        <f>+C58-128448</f>
        <v>123939</v>
      </c>
      <c r="G58" s="21">
        <f>+D58-117748</f>
        <v>121475</v>
      </c>
      <c r="H58" s="22">
        <f>(+F58-G58)/G58</f>
        <v>2.0284009055361187E-2</v>
      </c>
      <c r="I58" s="23">
        <f>K58/C58</f>
        <v>70.284079132443424</v>
      </c>
      <c r="J58" s="23">
        <f>K58/F58</f>
        <v>143.12514930732053</v>
      </c>
      <c r="K58" s="21">
        <v>17738787.879999999</v>
      </c>
      <c r="L58" s="21">
        <v>16340915.630000001</v>
      </c>
      <c r="M58" s="24">
        <f>(+K58-L58)/L58</f>
        <v>8.5544303737403127E-2</v>
      </c>
      <c r="N58" s="10"/>
      <c r="R58" s="2"/>
    </row>
    <row r="59" spans="1:18" ht="15.75" customHeight="1" x14ac:dyDescent="0.25">
      <c r="A59" s="19"/>
      <c r="B59" s="20">
        <f>DATE(2024,9,1)</f>
        <v>45536</v>
      </c>
      <c r="C59" s="21">
        <v>226206</v>
      </c>
      <c r="D59" s="21">
        <v>248313</v>
      </c>
      <c r="E59" s="22">
        <f>(+C59-D59)/D59</f>
        <v>-8.9028766113735489E-2</v>
      </c>
      <c r="F59" s="21">
        <f>+C59-113686</f>
        <v>112520</v>
      </c>
      <c r="G59" s="21">
        <f>+D59-122761</f>
        <v>125552</v>
      </c>
      <c r="H59" s="22">
        <f>(+F59-G59)/G59</f>
        <v>-0.10379762966738881</v>
      </c>
      <c r="I59" s="23">
        <f>K59/C59</f>
        <v>72.856127556298233</v>
      </c>
      <c r="J59" s="23">
        <f>K59/F59</f>
        <v>146.46723418059011</v>
      </c>
      <c r="K59" s="21">
        <v>16480493.189999999</v>
      </c>
      <c r="L59" s="21">
        <v>16856797.32</v>
      </c>
      <c r="M59" s="24">
        <f>(+K59-L59)/L59</f>
        <v>-2.2323583943999203E-2</v>
      </c>
      <c r="N59" s="10"/>
      <c r="R59" s="2"/>
    </row>
    <row r="60" spans="1:18" ht="15.75" customHeight="1" thickBot="1" x14ac:dyDescent="0.3">
      <c r="A60" s="19"/>
      <c r="B60" s="44"/>
      <c r="C60" s="21"/>
      <c r="D60" s="21"/>
      <c r="E60" s="22"/>
      <c r="F60" s="21"/>
      <c r="G60" s="21"/>
      <c r="H60" s="22"/>
      <c r="I60" s="23"/>
      <c r="J60" s="23"/>
      <c r="K60" s="21"/>
      <c r="L60" s="21"/>
      <c r="M60" s="24"/>
      <c r="N60" s="10"/>
      <c r="R60" s="2"/>
    </row>
    <row r="61" spans="1:18" ht="17.25" thickTop="1" thickBot="1" x14ac:dyDescent="0.3">
      <c r="A61" s="38" t="s">
        <v>14</v>
      </c>
      <c r="B61" s="39"/>
      <c r="C61" s="40">
        <f>SUM(C57:C60)</f>
        <v>719843</v>
      </c>
      <c r="D61" s="40">
        <f>SUM(D57:D60)</f>
        <v>749624</v>
      </c>
      <c r="E61" s="279">
        <f>(+C61-D61)/D61</f>
        <v>-3.9727916929020418E-2</v>
      </c>
      <c r="F61" s="40">
        <f>SUM(F57:F60)</f>
        <v>355680</v>
      </c>
      <c r="G61" s="40">
        <f>SUM(G57:G60)</f>
        <v>376697</v>
      </c>
      <c r="H61" s="41">
        <f>(+F61-G61)/G61</f>
        <v>-5.5792852080053731E-2</v>
      </c>
      <c r="I61" s="42">
        <f>K61/C61</f>
        <v>70.922656343119257</v>
      </c>
      <c r="J61" s="42">
        <f>K61/F61</f>
        <v>143.53682442082768</v>
      </c>
      <c r="K61" s="40">
        <f>SUM(K57:K60)</f>
        <v>51053177.709999993</v>
      </c>
      <c r="L61" s="40">
        <f>SUM(L57:L60)</f>
        <v>50837654.960000001</v>
      </c>
      <c r="M61" s="43">
        <f>(+K61-L61)/L61</f>
        <v>4.23943138544785E-3</v>
      </c>
      <c r="N61" s="10"/>
      <c r="R61" s="2"/>
    </row>
    <row r="62" spans="1:18" ht="15.75" customHeight="1" thickTop="1" x14ac:dyDescent="0.2">
      <c r="A62" s="53"/>
      <c r="B62" s="54"/>
      <c r="C62" s="54"/>
      <c r="D62" s="54"/>
      <c r="E62" s="55"/>
      <c r="F62" s="54"/>
      <c r="G62" s="54"/>
      <c r="H62" s="55"/>
      <c r="I62" s="54"/>
      <c r="J62" s="54"/>
      <c r="K62" s="195"/>
      <c r="L62" s="195"/>
      <c r="M62" s="56"/>
      <c r="N62" s="10"/>
      <c r="R62" s="2"/>
    </row>
    <row r="63" spans="1:18" ht="15.75" customHeight="1" x14ac:dyDescent="0.25">
      <c r="A63" s="19" t="s">
        <v>53</v>
      </c>
      <c r="B63" s="20">
        <f>DATE(2024,7,1)</f>
        <v>45474</v>
      </c>
      <c r="C63" s="21">
        <v>331492</v>
      </c>
      <c r="D63" s="21">
        <v>372664</v>
      </c>
      <c r="E63" s="22">
        <f>(+C63-D63)/D63</f>
        <v>-0.11048021810531738</v>
      </c>
      <c r="F63" s="21">
        <f>+C63-154270</f>
        <v>177222</v>
      </c>
      <c r="G63" s="21">
        <f>+D63-175639</f>
        <v>197025</v>
      </c>
      <c r="H63" s="22">
        <f>(+F63-G63)/G63</f>
        <v>-0.10051008755234107</v>
      </c>
      <c r="I63" s="23">
        <f>K63/C63</f>
        <v>62.375405318982054</v>
      </c>
      <c r="J63" s="23">
        <f>K63/F63</f>
        <v>116.67257936373588</v>
      </c>
      <c r="K63" s="21">
        <v>20676947.859999999</v>
      </c>
      <c r="L63" s="21">
        <v>22235232.609999999</v>
      </c>
      <c r="M63" s="24">
        <f>(+K63-L63)/L63</f>
        <v>-7.0081783147129401E-2</v>
      </c>
      <c r="N63" s="10"/>
      <c r="R63" s="2"/>
    </row>
    <row r="64" spans="1:18" ht="15.75" customHeight="1" x14ac:dyDescent="0.25">
      <c r="A64" s="19"/>
      <c r="B64" s="20">
        <f>DATE(2024,8,1)</f>
        <v>45505</v>
      </c>
      <c r="C64" s="21">
        <v>357343</v>
      </c>
      <c r="D64" s="21">
        <v>342645</v>
      </c>
      <c r="E64" s="22">
        <f>(+C64-D64)/D64</f>
        <v>4.2895708386230649E-2</v>
      </c>
      <c r="F64" s="21">
        <f>+C64-161766</f>
        <v>195577</v>
      </c>
      <c r="G64" s="21">
        <f>+D64-159996</f>
        <v>182649</v>
      </c>
      <c r="H64" s="22">
        <f>(+F64-G64)/G64</f>
        <v>7.0780568193639162E-2</v>
      </c>
      <c r="I64" s="23">
        <f>K64/C64</f>
        <v>60.582799131366784</v>
      </c>
      <c r="J64" s="23">
        <f>K64/F64</f>
        <v>110.69215291164095</v>
      </c>
      <c r="K64" s="21">
        <v>21648839.190000001</v>
      </c>
      <c r="L64" s="21">
        <v>20613157.399999999</v>
      </c>
      <c r="M64" s="24">
        <f>(+K64-L64)/L64</f>
        <v>5.0243723943038582E-2</v>
      </c>
      <c r="N64" s="10"/>
      <c r="R64" s="2"/>
    </row>
    <row r="65" spans="1:18" ht="15.75" customHeight="1" x14ac:dyDescent="0.25">
      <c r="A65" s="19"/>
      <c r="B65" s="20">
        <f>DATE(2024,9,1)</f>
        <v>45536</v>
      </c>
      <c r="C65" s="21">
        <v>320719</v>
      </c>
      <c r="D65" s="21">
        <v>340628</v>
      </c>
      <c r="E65" s="22">
        <f>(+C65-D65)/D65</f>
        <v>-5.8447925596251629E-2</v>
      </c>
      <c r="F65" s="21">
        <f>+C65-145865</f>
        <v>174854</v>
      </c>
      <c r="G65" s="21">
        <f>+D65-161145</f>
        <v>179483</v>
      </c>
      <c r="H65" s="22">
        <f>(+F65-G65)/G65</f>
        <v>-2.5790743413025188E-2</v>
      </c>
      <c r="I65" s="23">
        <f>K65/C65</f>
        <v>63.666251329045053</v>
      </c>
      <c r="J65" s="23">
        <f>K65/F65</f>
        <v>116.77729111144156</v>
      </c>
      <c r="K65" s="21">
        <v>20418976.460000001</v>
      </c>
      <c r="L65" s="21">
        <v>21539856.850000001</v>
      </c>
      <c r="M65" s="24">
        <f>(+K65-L65)/L65</f>
        <v>-5.2037504139680509E-2</v>
      </c>
      <c r="N65" s="10"/>
      <c r="R65" s="2"/>
    </row>
    <row r="66" spans="1:18" ht="15.75" customHeight="1" thickBot="1" x14ac:dyDescent="0.3">
      <c r="A66" s="19"/>
      <c r="B66" s="44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SUM(C63:C66)</f>
        <v>1009554</v>
      </c>
      <c r="D67" s="40">
        <f>SUM(D63:D66)</f>
        <v>1055937</v>
      </c>
      <c r="E67" s="279">
        <f>(+C67-D67)/D67</f>
        <v>-4.3925916034763438E-2</v>
      </c>
      <c r="F67" s="40">
        <f>SUM(F63:F66)</f>
        <v>547653</v>
      </c>
      <c r="G67" s="40">
        <f>SUM(G63:G66)</f>
        <v>559157</v>
      </c>
      <c r="H67" s="41">
        <f>(+F67-G67)/G67</f>
        <v>-2.0573828101946322E-2</v>
      </c>
      <c r="I67" s="42">
        <f>K67/C67</f>
        <v>62.150973112879548</v>
      </c>
      <c r="J67" s="42">
        <f>K67/F67</f>
        <v>114.57029087761775</v>
      </c>
      <c r="K67" s="40">
        <f>SUM(K63:K66)</f>
        <v>62744763.509999998</v>
      </c>
      <c r="L67" s="40">
        <f>SUM(L63:L66)</f>
        <v>64388246.859999999</v>
      </c>
      <c r="M67" s="43">
        <f>(+K67-L67)/L67</f>
        <v>-2.5524586087480275E-2</v>
      </c>
      <c r="N67" s="10"/>
      <c r="R67" s="2"/>
    </row>
    <row r="68" spans="1:18" ht="15.75" customHeight="1" thickTop="1" x14ac:dyDescent="0.2">
      <c r="A68" s="57"/>
      <c r="B68" s="58"/>
      <c r="C68" s="58"/>
      <c r="D68" s="58"/>
      <c r="E68" s="59"/>
      <c r="F68" s="58"/>
      <c r="G68" s="58"/>
      <c r="H68" s="59"/>
      <c r="I68" s="58"/>
      <c r="J68" s="58"/>
      <c r="K68" s="196"/>
      <c r="L68" s="196"/>
      <c r="M68" s="60"/>
      <c r="N68" s="10"/>
      <c r="R68" s="2"/>
    </row>
    <row r="69" spans="1:18" ht="15" customHeight="1" x14ac:dyDescent="0.25">
      <c r="A69" s="19" t="s">
        <v>54</v>
      </c>
      <c r="B69" s="20">
        <f>DATE(2024,7,1)</f>
        <v>45474</v>
      </c>
      <c r="C69" s="21">
        <v>39024</v>
      </c>
      <c r="D69" s="21">
        <v>43122</v>
      </c>
      <c r="E69" s="22">
        <f>(+C69-D69)/D69</f>
        <v>-9.5032697926812307E-2</v>
      </c>
      <c r="F69" s="21">
        <f>+C69-19863</f>
        <v>19161</v>
      </c>
      <c r="G69" s="21">
        <f>+D69-21874</f>
        <v>21248</v>
      </c>
      <c r="H69" s="22">
        <f>(+F69-G69)/G69</f>
        <v>-9.8221009036144571E-2</v>
      </c>
      <c r="I69" s="23">
        <f>K69/C69</f>
        <v>72.511592097170976</v>
      </c>
      <c r="J69" s="23">
        <f>K69/F69</f>
        <v>147.67978550180055</v>
      </c>
      <c r="K69" s="21">
        <v>2829692.37</v>
      </c>
      <c r="L69" s="21">
        <v>3178378.98</v>
      </c>
      <c r="M69" s="24">
        <f>(+K69-L69)/L69</f>
        <v>-0.10970580040772855</v>
      </c>
      <c r="N69" s="10"/>
      <c r="R69" s="2"/>
    </row>
    <row r="70" spans="1:18" ht="15" customHeight="1" x14ac:dyDescent="0.25">
      <c r="A70" s="19"/>
      <c r="B70" s="20">
        <f>DATE(2024,8,1)</f>
        <v>45505</v>
      </c>
      <c r="C70" s="21">
        <v>37405</v>
      </c>
      <c r="D70" s="21">
        <v>38794</v>
      </c>
      <c r="E70" s="22">
        <f>(+C70-D70)/D70</f>
        <v>-3.5804505851420323E-2</v>
      </c>
      <c r="F70" s="21">
        <f>+C70-18960</f>
        <v>18445</v>
      </c>
      <c r="G70" s="21">
        <f>+D70-19691</f>
        <v>19103</v>
      </c>
      <c r="H70" s="22">
        <f>(+F70-G70)/G70</f>
        <v>-3.4444851593990473E-2</v>
      </c>
      <c r="I70" s="23">
        <f>K70/C70</f>
        <v>72.677812591899482</v>
      </c>
      <c r="J70" s="23">
        <f>K70/F70</f>
        <v>147.38485117918137</v>
      </c>
      <c r="K70" s="21">
        <v>2718513.58</v>
      </c>
      <c r="L70" s="21">
        <v>2873018.73</v>
      </c>
      <c r="M70" s="24">
        <f>(+K70-L70)/L70</f>
        <v>-5.3777982157464009E-2</v>
      </c>
      <c r="N70" s="10"/>
      <c r="R70" s="2"/>
    </row>
    <row r="71" spans="1:18" ht="15" customHeight="1" x14ac:dyDescent="0.25">
      <c r="A71" s="19"/>
      <c r="B71" s="20">
        <f>DATE(2024,9,1)</f>
        <v>45536</v>
      </c>
      <c r="C71" s="21">
        <v>33865</v>
      </c>
      <c r="D71" s="21">
        <v>39024</v>
      </c>
      <c r="E71" s="22">
        <f>(+C71-D71)/D71</f>
        <v>-0.13220069700697007</v>
      </c>
      <c r="F71" s="21">
        <f>+C71-17304</f>
        <v>16561</v>
      </c>
      <c r="G71" s="21">
        <f>+D71-19292</f>
        <v>19732</v>
      </c>
      <c r="H71" s="22">
        <f>(+F71-G71)/G71</f>
        <v>-0.16070342590715589</v>
      </c>
      <c r="I71" s="23">
        <f>K71/C71</f>
        <v>72.919074856046066</v>
      </c>
      <c r="J71" s="23">
        <f>K71/F71</f>
        <v>149.10962321115875</v>
      </c>
      <c r="K71" s="21">
        <v>2469404.4700000002</v>
      </c>
      <c r="L71" s="21">
        <v>2876153.41</v>
      </c>
      <c r="M71" s="24">
        <f>(+K71-L71)/L71</f>
        <v>-0.14142115597373506</v>
      </c>
      <c r="N71" s="10"/>
      <c r="R71" s="2"/>
    </row>
    <row r="72" spans="1:18" ht="15.75" thickBot="1" x14ac:dyDescent="0.25">
      <c r="A72" s="37"/>
      <c r="B72" s="20"/>
      <c r="C72" s="21"/>
      <c r="D72" s="21"/>
      <c r="E72" s="22"/>
      <c r="F72" s="21"/>
      <c r="G72" s="21"/>
      <c r="H72" s="22"/>
      <c r="I72" s="23"/>
      <c r="J72" s="23"/>
      <c r="K72" s="21"/>
      <c r="L72" s="21"/>
      <c r="M72" s="24"/>
      <c r="N72" s="10"/>
      <c r="R72" s="2"/>
    </row>
    <row r="73" spans="1:18" ht="17.25" thickTop="1" thickBot="1" x14ac:dyDescent="0.3">
      <c r="A73" s="61" t="s">
        <v>14</v>
      </c>
      <c r="B73" s="51"/>
      <c r="C73" s="47">
        <f>SUM(C69:C72)</f>
        <v>110294</v>
      </c>
      <c r="D73" s="47">
        <f>SUM(D69:D72)</f>
        <v>120940</v>
      </c>
      <c r="E73" s="279">
        <f>(+C73-D73)/D73</f>
        <v>-8.8027120886389948E-2</v>
      </c>
      <c r="F73" s="47">
        <f>SUM(F69:F72)</f>
        <v>54167</v>
      </c>
      <c r="G73" s="47">
        <f>SUM(G69:G72)</f>
        <v>60083</v>
      </c>
      <c r="H73" s="41">
        <f>(+F73-G73)/G73</f>
        <v>-9.846379175473928E-2</v>
      </c>
      <c r="I73" s="49">
        <f>K73/C73</f>
        <v>72.693078680617262</v>
      </c>
      <c r="J73" s="49">
        <f>K73/F73</f>
        <v>148.0165122676168</v>
      </c>
      <c r="K73" s="47">
        <f>SUM(K69:K72)</f>
        <v>8017610.4199999999</v>
      </c>
      <c r="L73" s="47">
        <f>SUM(L69:L72)</f>
        <v>8927551.120000001</v>
      </c>
      <c r="M73" s="43">
        <f>(+K73-L73)/L73</f>
        <v>-0.10192500583519493</v>
      </c>
      <c r="N73" s="10"/>
      <c r="R73" s="2"/>
    </row>
    <row r="74" spans="1:18" ht="15.75" customHeight="1" thickTop="1" x14ac:dyDescent="0.25">
      <c r="A74" s="19"/>
      <c r="B74" s="44"/>
      <c r="C74" s="21"/>
      <c r="D74" s="21"/>
      <c r="E74" s="22"/>
      <c r="F74" s="21"/>
      <c r="G74" s="21"/>
      <c r="H74" s="22"/>
      <c r="I74" s="23"/>
      <c r="J74" s="23"/>
      <c r="K74" s="21"/>
      <c r="L74" s="21"/>
      <c r="M74" s="24"/>
      <c r="N74" s="10"/>
      <c r="R74" s="2"/>
    </row>
    <row r="75" spans="1:18" ht="15.75" x14ac:dyDescent="0.25">
      <c r="A75" s="19" t="s">
        <v>17</v>
      </c>
      <c r="B75" s="20">
        <f>DATE(2024,7,1)</f>
        <v>45474</v>
      </c>
      <c r="C75" s="21">
        <v>318851</v>
      </c>
      <c r="D75" s="21">
        <v>341358</v>
      </c>
      <c r="E75" s="22">
        <f>(+C75-D75)/D75</f>
        <v>-6.5933711821606636E-2</v>
      </c>
      <c r="F75" s="21">
        <f>+C75-161525</f>
        <v>157326</v>
      </c>
      <c r="G75" s="21">
        <f>+D75-174275</f>
        <v>167083</v>
      </c>
      <c r="H75" s="22">
        <f>(+F75-G75)/G75</f>
        <v>-5.8396126476062793E-2</v>
      </c>
      <c r="I75" s="23">
        <f>K75/C75</f>
        <v>75.546108025378629</v>
      </c>
      <c r="J75" s="23">
        <f>K75/F75</f>
        <v>153.10852681692791</v>
      </c>
      <c r="K75" s="21">
        <v>24087952.09</v>
      </c>
      <c r="L75" s="21">
        <v>25671094.809999999</v>
      </c>
      <c r="M75" s="24">
        <f>(+K75-L75)/L75</f>
        <v>-6.1670245531690232E-2</v>
      </c>
      <c r="N75" s="10"/>
      <c r="R75" s="2"/>
    </row>
    <row r="76" spans="1:18" ht="15.75" x14ac:dyDescent="0.25">
      <c r="A76" s="19"/>
      <c r="B76" s="20">
        <f>DATE(2024,8,1)</f>
        <v>45505</v>
      </c>
      <c r="C76" s="21">
        <v>333739</v>
      </c>
      <c r="D76" s="21">
        <v>326253</v>
      </c>
      <c r="E76" s="22">
        <f>(+C76-D76)/D76</f>
        <v>2.2945382877705339E-2</v>
      </c>
      <c r="F76" s="21">
        <f>+C76-170693</f>
        <v>163046</v>
      </c>
      <c r="G76" s="21">
        <f>+D76-166627</f>
        <v>159626</v>
      </c>
      <c r="H76" s="22">
        <f>(+F76-G76)/G76</f>
        <v>2.1425081127134676E-2</v>
      </c>
      <c r="I76" s="23">
        <f>K76/C76</f>
        <v>76.41637737873009</v>
      </c>
      <c r="J76" s="23">
        <f>K76/F76</f>
        <v>156.41674969027147</v>
      </c>
      <c r="K76" s="21">
        <v>25503125.370000001</v>
      </c>
      <c r="L76" s="21">
        <v>23346104.670000002</v>
      </c>
      <c r="M76" s="24">
        <f>(+K76-L76)/L76</f>
        <v>9.2393173528935404E-2</v>
      </c>
      <c r="N76" s="10"/>
      <c r="R76" s="2"/>
    </row>
    <row r="77" spans="1:18" ht="15.75" x14ac:dyDescent="0.25">
      <c r="A77" s="19"/>
      <c r="B77" s="20">
        <f>DATE(2024,9,1)</f>
        <v>45536</v>
      </c>
      <c r="C77" s="21">
        <v>295322</v>
      </c>
      <c r="D77" s="21">
        <v>330805</v>
      </c>
      <c r="E77" s="22">
        <f>(+C77-D77)/D77</f>
        <v>-0.10726258672027328</v>
      </c>
      <c r="F77" s="21">
        <f>+C77-149037</f>
        <v>146285</v>
      </c>
      <c r="G77" s="21">
        <f>+D77-169998</f>
        <v>160807</v>
      </c>
      <c r="H77" s="22">
        <f>(+F77-G77)/G77</f>
        <v>-9.0307013998146848E-2</v>
      </c>
      <c r="I77" s="23">
        <f>K77/C77</f>
        <v>79.999789043823355</v>
      </c>
      <c r="J77" s="23">
        <f>K77/F77</f>
        <v>161.50458146768295</v>
      </c>
      <c r="K77" s="21">
        <v>23625697.699999999</v>
      </c>
      <c r="L77" s="21">
        <v>24603845.010000002</v>
      </c>
      <c r="M77" s="24">
        <f>(+K77-L77)/L77</f>
        <v>-3.9755871881100031E-2</v>
      </c>
      <c r="N77" s="10"/>
      <c r="R77" s="2"/>
    </row>
    <row r="78" spans="1:18" ht="15.75" thickBot="1" x14ac:dyDescent="0.25">
      <c r="A78" s="37"/>
      <c r="B78" s="44"/>
      <c r="C78" s="21"/>
      <c r="D78" s="21"/>
      <c r="E78" s="22"/>
      <c r="F78" s="21"/>
      <c r="G78" s="21"/>
      <c r="H78" s="22"/>
      <c r="I78" s="23"/>
      <c r="J78" s="23"/>
      <c r="K78" s="21"/>
      <c r="L78" s="21"/>
      <c r="M78" s="24"/>
      <c r="N78" s="10"/>
      <c r="R78" s="2"/>
    </row>
    <row r="79" spans="1:18" ht="17.25" thickTop="1" thickBot="1" x14ac:dyDescent="0.3">
      <c r="A79" s="38" t="s">
        <v>14</v>
      </c>
      <c r="B79" s="39"/>
      <c r="C79" s="40">
        <f>SUM(C75:C78)</f>
        <v>947912</v>
      </c>
      <c r="D79" s="40">
        <f>SUM(D75:D78)</f>
        <v>998416</v>
      </c>
      <c r="E79" s="279">
        <f>(+C79-D79)/D79</f>
        <v>-5.0584125254402972E-2</v>
      </c>
      <c r="F79" s="40">
        <f>SUM(F75:F78)</f>
        <v>466657</v>
      </c>
      <c r="G79" s="40">
        <f>SUM(G75:G78)</f>
        <v>487516</v>
      </c>
      <c r="H79" s="41">
        <f>(+F79-G79)/G79</f>
        <v>-4.2786288039777159E-2</v>
      </c>
      <c r="I79" s="42">
        <f>K79/C79</f>
        <v>77.240055152798988</v>
      </c>
      <c r="J79" s="42">
        <f>K79/F79</f>
        <v>156.89633962417793</v>
      </c>
      <c r="K79" s="40">
        <f>SUM(K75:K78)</f>
        <v>73216775.159999996</v>
      </c>
      <c r="L79" s="40">
        <f>SUM(L75:L78)</f>
        <v>73621044.49000001</v>
      </c>
      <c r="M79" s="43">
        <f>(+K79-L79)/L79</f>
        <v>-5.4912197021997596E-3</v>
      </c>
      <c r="N79" s="10"/>
      <c r="R79" s="2"/>
    </row>
    <row r="80" spans="1:18" ht="15.75" customHeight="1" thickTop="1" x14ac:dyDescent="0.25">
      <c r="A80" s="19"/>
      <c r="B80" s="44"/>
      <c r="C80" s="21"/>
      <c r="D80" s="21"/>
      <c r="E80" s="22"/>
      <c r="F80" s="21"/>
      <c r="G80" s="21"/>
      <c r="H80" s="22"/>
      <c r="I80" s="23"/>
      <c r="J80" s="23"/>
      <c r="K80" s="21"/>
      <c r="L80" s="21"/>
      <c r="M80" s="24"/>
      <c r="N80" s="10"/>
      <c r="R80" s="2"/>
    </row>
    <row r="81" spans="1:18" ht="15.75" x14ac:dyDescent="0.25">
      <c r="A81" s="19" t="s">
        <v>56</v>
      </c>
      <c r="B81" s="20">
        <f>DATE(2024,7,1)</f>
        <v>45474</v>
      </c>
      <c r="C81" s="21">
        <v>61692</v>
      </c>
      <c r="D81" s="21">
        <v>66323</v>
      </c>
      <c r="E81" s="22">
        <f>(+C81-D81)/D81</f>
        <v>-6.9824947604903279E-2</v>
      </c>
      <c r="F81" s="21">
        <f>+C81-26929</f>
        <v>34763</v>
      </c>
      <c r="G81" s="21">
        <f>+D81-28441</f>
        <v>37882</v>
      </c>
      <c r="H81" s="22">
        <f>(+F81-G81)/G81</f>
        <v>-8.2334618024391529E-2</v>
      </c>
      <c r="I81" s="23">
        <f>K81/C81</f>
        <v>65.173562212280359</v>
      </c>
      <c r="J81" s="23">
        <f>K81/F81</f>
        <v>115.65996605586399</v>
      </c>
      <c r="K81" s="21">
        <v>4020687.4</v>
      </c>
      <c r="L81" s="21">
        <v>3911442.67</v>
      </c>
      <c r="M81" s="24">
        <f>(+K81-L81)/L81</f>
        <v>2.7929523507499086E-2</v>
      </c>
      <c r="N81" s="10"/>
      <c r="R81" s="2"/>
    </row>
    <row r="82" spans="1:18" ht="15.75" x14ac:dyDescent="0.25">
      <c r="A82" s="19"/>
      <c r="B82" s="20">
        <f>DATE(2024,8,1)</f>
        <v>45505</v>
      </c>
      <c r="C82" s="21">
        <v>66178</v>
      </c>
      <c r="D82" s="21">
        <v>63894</v>
      </c>
      <c r="E82" s="22">
        <f>(+C82-D82)/D82</f>
        <v>3.574670548095283E-2</v>
      </c>
      <c r="F82" s="21">
        <f>+C82-28897</f>
        <v>37281</v>
      </c>
      <c r="G82" s="21">
        <f>+D82-27335</f>
        <v>36559</v>
      </c>
      <c r="H82" s="22">
        <f>(+F82-G82)/G82</f>
        <v>1.9748899039908095E-2</v>
      </c>
      <c r="I82" s="23">
        <f>K82/C82</f>
        <v>64.714443168424552</v>
      </c>
      <c r="J82" s="23">
        <f>K82/F82</f>
        <v>114.8754706150586</v>
      </c>
      <c r="K82" s="21">
        <v>4282672.42</v>
      </c>
      <c r="L82" s="21">
        <v>3862243.47</v>
      </c>
      <c r="M82" s="24">
        <f>(+K82-L82)/L82</f>
        <v>0.10885614883310288</v>
      </c>
      <c r="N82" s="10"/>
      <c r="R82" s="2"/>
    </row>
    <row r="83" spans="1:18" ht="15.75" x14ac:dyDescent="0.25">
      <c r="A83" s="19"/>
      <c r="B83" s="20">
        <f>DATE(2024,9,1)</f>
        <v>45536</v>
      </c>
      <c r="C83" s="21">
        <v>57691</v>
      </c>
      <c r="D83" s="21">
        <v>61378</v>
      </c>
      <c r="E83" s="22">
        <f>(+C83-D83)/D83</f>
        <v>-6.0070383525041543E-2</v>
      </c>
      <c r="F83" s="21">
        <f>+C83-24805</f>
        <v>32886</v>
      </c>
      <c r="G83" s="21">
        <f>+D83-26751</f>
        <v>34627</v>
      </c>
      <c r="H83" s="22">
        <f>(+F83-G83)/G83</f>
        <v>-5.0278684263724838E-2</v>
      </c>
      <c r="I83" s="23">
        <f>K83/C83</f>
        <v>61.551120105389053</v>
      </c>
      <c r="J83" s="23">
        <f>K83/F83</f>
        <v>107.97742717265706</v>
      </c>
      <c r="K83" s="21">
        <v>3550945.67</v>
      </c>
      <c r="L83" s="21">
        <v>3741315.85</v>
      </c>
      <c r="M83" s="24">
        <f>(+K83-L83)/L83</f>
        <v>-5.0883215326500746E-2</v>
      </c>
      <c r="N83" s="10"/>
      <c r="R83" s="2"/>
    </row>
    <row r="84" spans="1:18" ht="15.75" thickBot="1" x14ac:dyDescent="0.25">
      <c r="A84" s="37"/>
      <c r="B84" s="44"/>
      <c r="C84" s="21"/>
      <c r="D84" s="21"/>
      <c r="E84" s="22"/>
      <c r="F84" s="21"/>
      <c r="G84" s="21"/>
      <c r="H84" s="22"/>
      <c r="I84" s="23"/>
      <c r="J84" s="23"/>
      <c r="K84" s="21"/>
      <c r="L84" s="21"/>
      <c r="M84" s="24"/>
      <c r="N84" s="10"/>
      <c r="R84" s="2"/>
    </row>
    <row r="85" spans="1:18" ht="17.25" thickTop="1" thickBot="1" x14ac:dyDescent="0.3">
      <c r="A85" s="25" t="s">
        <v>14</v>
      </c>
      <c r="B85" s="26"/>
      <c r="C85" s="27">
        <f>SUM(C81:C84)</f>
        <v>185561</v>
      </c>
      <c r="D85" s="27">
        <f>SUM(D81:D84)</f>
        <v>191595</v>
      </c>
      <c r="E85" s="279">
        <f>(+C85-D85)/D85</f>
        <v>-3.149351496646572E-2</v>
      </c>
      <c r="F85" s="27">
        <f>SUM(F81:F84)</f>
        <v>104930</v>
      </c>
      <c r="G85" s="27">
        <f>SUM(G81:G84)</f>
        <v>109068</v>
      </c>
      <c r="H85" s="41">
        <f>(+F85-G85)/G85</f>
        <v>-3.7939633989804523E-2</v>
      </c>
      <c r="I85" s="42">
        <f>K85/C85</f>
        <v>63.883604259515742</v>
      </c>
      <c r="J85" s="42">
        <f>K85/F85</f>
        <v>112.97346316592014</v>
      </c>
      <c r="K85" s="27">
        <f>SUM(K81:K84)</f>
        <v>11854305.49</v>
      </c>
      <c r="L85" s="27">
        <f>SUM(L81:L84)</f>
        <v>11515001.99</v>
      </c>
      <c r="M85" s="43">
        <f>(+K85-L85)/L85</f>
        <v>2.9466212884258478E-2</v>
      </c>
      <c r="N85" s="10"/>
      <c r="R85" s="2"/>
    </row>
    <row r="86" spans="1:18" ht="16.5" thickTop="1" thickBot="1" x14ac:dyDescent="0.25">
      <c r="A86" s="62"/>
      <c r="B86" s="33"/>
      <c r="C86" s="34"/>
      <c r="D86" s="34"/>
      <c r="E86" s="28"/>
      <c r="F86" s="34"/>
      <c r="G86" s="34"/>
      <c r="H86" s="28"/>
      <c r="I86" s="35"/>
      <c r="J86" s="35"/>
      <c r="K86" s="34"/>
      <c r="L86" s="34"/>
      <c r="M86" s="36"/>
      <c r="N86" s="10"/>
      <c r="R86" s="2"/>
    </row>
    <row r="87" spans="1:18" ht="17.25" thickTop="1" thickBot="1" x14ac:dyDescent="0.3">
      <c r="A87" s="63" t="s">
        <v>18</v>
      </c>
      <c r="B87" s="64"/>
      <c r="C87" s="27">
        <f>C85+C79+C37+C49+C55+C25+C13+C61+C67+C31+C73+C19+C43</f>
        <v>7006878</v>
      </c>
      <c r="D87" s="27">
        <f>D85+D79+D37+D49+D55+D25+D13+D61+D67+D31+D73+D19+D43</f>
        <v>7349551</v>
      </c>
      <c r="E87" s="278">
        <f>(+C87-D87)/D87</f>
        <v>-4.6625025120582198E-2</v>
      </c>
      <c r="F87" s="27">
        <f>F85+F79+F37+F49+F55+F25+F13+F61+F67+F31+F73+F19+F43</f>
        <v>3669503</v>
      </c>
      <c r="G87" s="27">
        <f>G85+G79+G37+G49+G55+G25+G13+G61+G67+G31+G73+G19+G43</f>
        <v>3790494</v>
      </c>
      <c r="H87" s="29">
        <f>(+F87-G87)/G87</f>
        <v>-3.191958620696933E-2</v>
      </c>
      <c r="I87" s="30">
        <f>K87/C87</f>
        <v>66.875776003235686</v>
      </c>
      <c r="J87" s="30">
        <f>K87/F87</f>
        <v>127.6986021294982</v>
      </c>
      <c r="K87" s="27">
        <f>K85+K79+K37+K49+K55+K25+K13+K61+K67+K31+K73+K19+K43</f>
        <v>468590403.61000001</v>
      </c>
      <c r="L87" s="27">
        <f>L85+L79+L37+L49+L55+L25+L13+L61+L67+L31+L73+L19+L43</f>
        <v>483386804.90999997</v>
      </c>
      <c r="M87" s="31">
        <f>(+K87-L87)/L87</f>
        <v>-3.0609857674445292E-2</v>
      </c>
      <c r="N87" s="10"/>
      <c r="R87" s="2"/>
    </row>
    <row r="88" spans="1:18" ht="17.25" thickTop="1" thickBot="1" x14ac:dyDescent="0.3">
      <c r="A88" s="63"/>
      <c r="B88" s="64"/>
      <c r="C88" s="27"/>
      <c r="D88" s="27"/>
      <c r="E88" s="28"/>
      <c r="F88" s="27"/>
      <c r="G88" s="27"/>
      <c r="H88" s="29"/>
      <c r="I88" s="30"/>
      <c r="J88" s="30"/>
      <c r="K88" s="27"/>
      <c r="L88" s="27"/>
      <c r="M88" s="31"/>
      <c r="N88" s="10"/>
      <c r="R88" s="2"/>
    </row>
    <row r="89" spans="1:18" ht="17.25" thickTop="1" thickBot="1" x14ac:dyDescent="0.3">
      <c r="A89" s="63" t="s">
        <v>19</v>
      </c>
      <c r="B89" s="64"/>
      <c r="C89" s="27">
        <f>+C11+C17+C23+C29+C35+C41+C47+C53+C59+C65+C71+C77+C83</f>
        <v>2220169</v>
      </c>
      <c r="D89" s="27">
        <f>+D11+D17+D23+D29+D35+D41+D47+D53+D59+D65+D71+D77+D83</f>
        <v>2404962</v>
      </c>
      <c r="E89" s="278">
        <f>(+C89-D89)/D89</f>
        <v>-7.6838220312836547E-2</v>
      </c>
      <c r="F89" s="27">
        <f>+F11+F17+F23+F29+F35+F41+F47+F53+F59+F65+F71+F77+F83</f>
        <v>1164241</v>
      </c>
      <c r="G89" s="27">
        <f>+G11+G17+G23+G29+G35+G41+G47+G53+G59+G65+G71+G77+G83</f>
        <v>1245649</v>
      </c>
      <c r="H89" s="29">
        <f>(+F89-G89)/G89</f>
        <v>-6.5353883798726614E-2</v>
      </c>
      <c r="I89" s="292">
        <f>K89/C89</f>
        <v>67.579446402503578</v>
      </c>
      <c r="J89" s="30">
        <f>K89/F89</f>
        <v>128.87176447144532</v>
      </c>
      <c r="K89" s="27">
        <f>+K11+K17+K23+K29+K35+K41+K47+K53+K59+K65+K71+K77+K83</f>
        <v>150037791.93999997</v>
      </c>
      <c r="L89" s="27">
        <f>+L11+L17+L23+L29+L35+L41+L47+L53+L59+L65+L71+L77+L83</f>
        <v>158565227.93999997</v>
      </c>
      <c r="M89" s="31">
        <f>(+K89-L89)/L89</f>
        <v>-5.3778726337319838E-2</v>
      </c>
      <c r="N89" s="10"/>
      <c r="R89" s="2"/>
    </row>
    <row r="90" spans="1:18" ht="15.75" thickTop="1" x14ac:dyDescent="0.2">
      <c r="A90" s="65"/>
      <c r="B90" s="66"/>
      <c r="C90" s="67"/>
      <c r="D90" s="66"/>
      <c r="E90" s="66"/>
      <c r="F90" s="66"/>
      <c r="G90" s="66"/>
      <c r="H90" s="66"/>
      <c r="I90" s="66"/>
      <c r="J90" s="66"/>
      <c r="K90" s="67"/>
      <c r="L90" s="67"/>
      <c r="M90" s="66"/>
      <c r="R90" s="2"/>
    </row>
    <row r="91" spans="1:18" ht="18.75" x14ac:dyDescent="0.3">
      <c r="A91" s="263" t="s">
        <v>20</v>
      </c>
      <c r="B91" s="69"/>
      <c r="C91" s="70"/>
      <c r="D91" s="70"/>
      <c r="E91" s="70"/>
      <c r="F91" s="70"/>
      <c r="G91" s="70"/>
      <c r="H91" s="70"/>
      <c r="I91" s="70"/>
      <c r="J91" s="70"/>
      <c r="K91" s="197"/>
      <c r="L91" s="197"/>
      <c r="M91" s="70"/>
      <c r="N91" s="2"/>
      <c r="O91" s="2"/>
      <c r="P91" s="2"/>
      <c r="Q91" s="2"/>
      <c r="R91" s="2"/>
    </row>
    <row r="92" spans="1:18" ht="18" x14ac:dyDescent="0.25">
      <c r="A92" s="68"/>
      <c r="B92" s="69"/>
      <c r="C92" s="70"/>
      <c r="D92" s="70"/>
      <c r="E92" s="70"/>
      <c r="F92" s="70"/>
      <c r="G92" s="70"/>
      <c r="H92" s="70"/>
      <c r="I92" s="70"/>
      <c r="J92" s="70"/>
      <c r="K92" s="197"/>
      <c r="L92" s="197"/>
      <c r="M92" s="70"/>
      <c r="N92" s="2"/>
      <c r="O92" s="2"/>
      <c r="P92" s="2"/>
      <c r="Q92" s="2"/>
      <c r="R92" s="2"/>
    </row>
    <row r="93" spans="1:18" ht="15.75" x14ac:dyDescent="0.25">
      <c r="A93" s="71"/>
      <c r="B93" s="72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x14ac:dyDescent="0.2">
      <c r="A94" s="2"/>
      <c r="B94" s="72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72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x14ac:dyDescent="0.2">
      <c r="A96" s="2"/>
      <c r="B96" s="7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7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7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x14ac:dyDescent="0.2">
      <c r="A99" s="2"/>
      <c r="B99" s="72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x14ac:dyDescent="0.2">
      <c r="A100" s="2"/>
      <c r="B100" s="72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x14ac:dyDescent="0.2">
      <c r="A101" s="2"/>
      <c r="B101" s="72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2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3"/>
      <c r="N102" s="2"/>
      <c r="O102" s="2"/>
      <c r="P102" s="2"/>
      <c r="Q102" s="2"/>
      <c r="R102" s="2"/>
    </row>
    <row r="103" spans="1:18" x14ac:dyDescent="0.2">
      <c r="A103" s="2"/>
      <c r="B103" s="72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3"/>
      <c r="N103" s="2"/>
      <c r="O103" s="2"/>
      <c r="P103" s="2"/>
      <c r="Q103" s="2"/>
      <c r="R103" s="2"/>
    </row>
    <row r="104" spans="1:18" x14ac:dyDescent="0.2">
      <c r="A104" s="2"/>
      <c r="B104" s="69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3"/>
      <c r="N104" s="2"/>
      <c r="O104" s="2"/>
      <c r="P104" s="2"/>
      <c r="Q104" s="2"/>
      <c r="R104" s="2"/>
    </row>
    <row r="105" spans="1:18" ht="15.75" x14ac:dyDescent="0.25">
      <c r="A105" s="75"/>
      <c r="B105" s="69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ht="15.75" x14ac:dyDescent="0.25">
      <c r="A106" s="75"/>
      <c r="B106" s="69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ht="15.75" x14ac:dyDescent="0.25">
      <c r="A107" s="75"/>
      <c r="B107" s="69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69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ht="15.75" x14ac:dyDescent="0.25">
      <c r="A109" s="75"/>
      <c r="B109" s="72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72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72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x14ac:dyDescent="0.2">
      <c r="A112" s="2"/>
      <c r="B112" s="76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x14ac:dyDescent="0.2">
      <c r="A113" s="2"/>
      <c r="B113" s="76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x14ac:dyDescent="0.2">
      <c r="A114" s="2"/>
      <c r="B114" s="76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76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76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x14ac:dyDescent="0.2">
      <c r="A117" s="2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76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2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ht="15.75" x14ac:dyDescent="0.25">
      <c r="A122" s="75"/>
      <c r="B122" s="2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2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2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ht="15.75" x14ac:dyDescent="0.25">
      <c r="A125" s="75"/>
      <c r="B125" s="2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ht="15.75" x14ac:dyDescent="0.25">
      <c r="A126" s="75"/>
      <c r="B126" s="2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ht="15.75" x14ac:dyDescent="0.25">
      <c r="A127" s="75"/>
      <c r="B127" s="76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76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76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x14ac:dyDescent="0.2">
      <c r="A130" s="2"/>
      <c r="B130" s="76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76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76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76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76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76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x14ac:dyDescent="0.2">
      <c r="A136" s="2"/>
      <c r="B136" s="76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76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76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x14ac:dyDescent="0.2">
      <c r="A139" s="2"/>
      <c r="B139" s="2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ht="15.75" x14ac:dyDescent="0.25">
      <c r="A140" s="75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ht="15.75" x14ac:dyDescent="0.25">
      <c r="A143" s="75"/>
      <c r="B143" s="76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76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76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ht="15.75" x14ac:dyDescent="0.25">
      <c r="A149" s="75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ht="15.75" x14ac:dyDescent="0.25">
      <c r="A152" s="75"/>
      <c r="B152" s="75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73"/>
      <c r="D223" s="73"/>
      <c r="E223" s="73"/>
      <c r="F223" s="73"/>
      <c r="G223" s="73"/>
      <c r="H223" s="73"/>
      <c r="I223" s="73"/>
      <c r="J223" s="73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73"/>
      <c r="D224" s="73"/>
      <c r="E224" s="73"/>
      <c r="F224" s="73"/>
      <c r="G224" s="73"/>
      <c r="H224" s="73"/>
      <c r="I224" s="73"/>
      <c r="J224" s="73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73"/>
      <c r="D225" s="73"/>
      <c r="E225" s="73"/>
      <c r="F225" s="73"/>
      <c r="G225" s="73"/>
      <c r="H225" s="73"/>
      <c r="I225" s="73"/>
      <c r="J225" s="73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73"/>
      <c r="D226" s="73"/>
      <c r="E226" s="73"/>
      <c r="F226" s="73"/>
      <c r="G226" s="73"/>
      <c r="H226" s="73"/>
      <c r="I226" s="73"/>
      <c r="J226" s="73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73"/>
      <c r="D227" s="73"/>
      <c r="E227" s="73"/>
      <c r="F227" s="73"/>
      <c r="G227" s="73"/>
      <c r="H227" s="73"/>
      <c r="I227" s="73"/>
      <c r="J227" s="73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73"/>
      <c r="D228" s="73"/>
      <c r="E228" s="73"/>
      <c r="F228" s="73"/>
      <c r="G228" s="73"/>
      <c r="H228" s="73"/>
      <c r="I228" s="73"/>
      <c r="J228" s="73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73"/>
      <c r="D229" s="73"/>
      <c r="E229" s="73"/>
      <c r="F229" s="73"/>
      <c r="G229" s="73"/>
      <c r="H229" s="73"/>
      <c r="I229" s="73"/>
      <c r="J229" s="73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73"/>
      <c r="D230" s="73"/>
      <c r="E230" s="73"/>
      <c r="F230" s="73"/>
      <c r="G230" s="73"/>
      <c r="H230" s="73"/>
      <c r="I230" s="73"/>
      <c r="J230" s="73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73"/>
      <c r="D231" s="73"/>
      <c r="E231" s="73"/>
      <c r="F231" s="73"/>
      <c r="G231" s="73"/>
      <c r="H231" s="73"/>
      <c r="I231" s="73"/>
      <c r="J231" s="73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73"/>
      <c r="D232" s="73"/>
      <c r="E232" s="73"/>
      <c r="F232" s="73"/>
      <c r="G232" s="73"/>
      <c r="H232" s="73"/>
      <c r="I232" s="73"/>
      <c r="J232" s="73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73"/>
      <c r="D233" s="73"/>
      <c r="E233" s="73"/>
      <c r="F233" s="73"/>
      <c r="G233" s="73"/>
      <c r="H233" s="73"/>
      <c r="I233" s="73"/>
      <c r="J233" s="73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73"/>
      <c r="D234" s="73"/>
      <c r="E234" s="73"/>
      <c r="F234" s="73"/>
      <c r="G234" s="73"/>
      <c r="H234" s="73"/>
      <c r="I234" s="73"/>
      <c r="J234" s="73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73"/>
      <c r="D235" s="73"/>
      <c r="E235" s="73"/>
      <c r="F235" s="73"/>
      <c r="G235" s="73"/>
      <c r="H235" s="73"/>
      <c r="I235" s="73"/>
      <c r="J235" s="73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  <row r="349" spans="1:18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191"/>
      <c r="L349" s="191"/>
      <c r="M349" s="74"/>
      <c r="N349" s="2"/>
      <c r="O349" s="2"/>
      <c r="P349" s="2"/>
      <c r="Q349" s="2"/>
      <c r="R349" s="2"/>
    </row>
    <row r="350" spans="1:18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191"/>
      <c r="L350" s="191"/>
      <c r="M350" s="74"/>
      <c r="N350" s="2"/>
      <c r="O350" s="2"/>
      <c r="P350" s="2"/>
      <c r="Q350" s="2"/>
      <c r="R350" s="2"/>
    </row>
    <row r="351" spans="1:18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191"/>
      <c r="L351" s="191"/>
      <c r="M351" s="74"/>
      <c r="N351" s="2"/>
      <c r="O351" s="2"/>
      <c r="P351" s="2"/>
      <c r="Q351" s="2"/>
      <c r="R351" s="2"/>
    </row>
    <row r="352" spans="1:18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191"/>
      <c r="L352" s="191"/>
      <c r="M352" s="74"/>
      <c r="N352" s="2"/>
      <c r="O352" s="2"/>
      <c r="P352" s="2"/>
      <c r="Q352" s="2"/>
      <c r="R352" s="2"/>
    </row>
    <row r="353" spans="1:18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191"/>
      <c r="L353" s="191"/>
      <c r="M353" s="74"/>
      <c r="N353" s="2"/>
      <c r="O353" s="2"/>
      <c r="P353" s="2"/>
      <c r="Q353" s="2"/>
      <c r="R353" s="2"/>
    </row>
    <row r="354" spans="1:18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191"/>
      <c r="L354" s="191"/>
      <c r="M354" s="74"/>
      <c r="N354" s="2"/>
      <c r="O354" s="2"/>
      <c r="P354" s="2"/>
      <c r="Q354" s="2"/>
      <c r="R354" s="2"/>
    </row>
    <row r="355" spans="1:18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191"/>
      <c r="L355" s="191"/>
      <c r="M355" s="74"/>
      <c r="N355" s="2"/>
      <c r="O355" s="2"/>
      <c r="P355" s="2"/>
      <c r="Q355" s="2"/>
      <c r="R355" s="2"/>
    </row>
    <row r="356" spans="1:18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191"/>
      <c r="L356" s="191"/>
      <c r="M356" s="74"/>
      <c r="N356" s="2"/>
      <c r="O356" s="2"/>
      <c r="P356" s="2"/>
      <c r="Q356" s="2"/>
      <c r="R356" s="2"/>
    </row>
    <row r="357" spans="1:18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191"/>
      <c r="L357" s="191"/>
      <c r="M357" s="74"/>
      <c r="N357" s="2"/>
      <c r="O357" s="2"/>
      <c r="P357" s="2"/>
      <c r="Q357" s="2"/>
      <c r="R357" s="2"/>
    </row>
    <row r="358" spans="1:18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191"/>
      <c r="L358" s="191"/>
      <c r="M358" s="74"/>
      <c r="N358" s="2"/>
      <c r="O358" s="2"/>
      <c r="P358" s="2"/>
      <c r="Q358" s="2"/>
      <c r="R358" s="2"/>
    </row>
    <row r="359" spans="1:18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191"/>
      <c r="L359" s="191"/>
      <c r="M359" s="74"/>
      <c r="N359" s="2"/>
      <c r="O359" s="2"/>
      <c r="P359" s="2"/>
      <c r="Q359" s="2"/>
      <c r="R359" s="2"/>
    </row>
    <row r="360" spans="1:18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191"/>
      <c r="L360" s="191"/>
      <c r="M360" s="74"/>
      <c r="N360" s="2"/>
      <c r="O360" s="2"/>
      <c r="P360" s="2"/>
      <c r="Q360" s="2"/>
      <c r="R360" s="2"/>
    </row>
    <row r="361" spans="1:18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191"/>
      <c r="L361" s="191"/>
      <c r="M361" s="74"/>
      <c r="N361" s="2"/>
      <c r="O361" s="2"/>
      <c r="P361" s="2"/>
      <c r="Q361" s="2"/>
      <c r="R361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STATS'!$C$15*2</f>
        <v>188554</v>
      </c>
      <c r="D10" s="88">
        <f>'MONTHLY STATS'!$C$21*2</f>
        <v>107512</v>
      </c>
      <c r="E10" s="88">
        <f>'MONTHLY STATS'!$C$27*2</f>
        <v>636418</v>
      </c>
      <c r="F10" s="88">
        <f>'MONTHLY STATS'!$C$33*2</f>
        <v>329676</v>
      </c>
      <c r="G10" s="88">
        <f>'MONTHLY STATS'!$C$39*2</f>
        <v>185296</v>
      </c>
      <c r="H10" s="88">
        <f>'MONTHLY STATS'!$C$45*2</f>
        <v>519066</v>
      </c>
      <c r="I10" s="88">
        <f>'MONTHLY STATS'!$C$51*2</f>
        <v>359064</v>
      </c>
      <c r="J10" s="88">
        <f>'MONTHLY STATS'!$C$57*2</f>
        <v>482500</v>
      </c>
      <c r="K10" s="88">
        <f>'MONTHLY STATS'!$C$63*2</f>
        <v>662984</v>
      </c>
      <c r="L10" s="88">
        <f>'MONTHLY STATS'!$C$69*2</f>
        <v>78048</v>
      </c>
      <c r="M10" s="88">
        <f>'MONTHLY STATS'!$C$75*2</f>
        <v>637702</v>
      </c>
      <c r="N10" s="88">
        <f>'MONTHLY STATS'!$C$81*2</f>
        <v>123384</v>
      </c>
      <c r="O10" s="89">
        <f>SUM(B10:N10)</f>
        <v>4675950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STATS'!$C$16*2</f>
        <v>191396</v>
      </c>
      <c r="D11" s="88">
        <f>'MONTHLY STATS'!$C$22*2</f>
        <v>109040</v>
      </c>
      <c r="E11" s="88">
        <f>'MONTHLY STATS'!$C$28*2</f>
        <v>680144</v>
      </c>
      <c r="F11" s="88">
        <f>'MONTHLY STATS'!$C$34*2</f>
        <v>350696</v>
      </c>
      <c r="G11" s="88">
        <f>'MONTHLY STATS'!$C$40*2</f>
        <v>190612</v>
      </c>
      <c r="H11" s="88">
        <f>'MONTHLY STATS'!$C$46*2</f>
        <v>524420</v>
      </c>
      <c r="I11" s="88">
        <f>'MONTHLY STATS'!$C$52*2</f>
        <v>369866</v>
      </c>
      <c r="J11" s="88">
        <f>'MONTHLY STATS'!$C$58*2</f>
        <v>504774</v>
      </c>
      <c r="K11" s="88">
        <f>'MONTHLY STATS'!$C$64*2</f>
        <v>714686</v>
      </c>
      <c r="L11" s="88">
        <f>'MONTHLY STATS'!$C$70*2</f>
        <v>74810</v>
      </c>
      <c r="M11" s="88">
        <f>'MONTHLY STATS'!$C$76*2</f>
        <v>667478</v>
      </c>
      <c r="N11" s="88">
        <f>'MONTHLY STATS'!$C$82*2</f>
        <v>132356</v>
      </c>
      <c r="O11" s="89">
        <f>SUM(B11:N11)</f>
        <v>4897468</v>
      </c>
      <c r="P11" s="82"/>
    </row>
    <row r="12" spans="1:16" ht="15.75" x14ac:dyDescent="0.25">
      <c r="A12" s="87">
        <f>DATE(2024,9,1)</f>
        <v>45536</v>
      </c>
      <c r="B12" s="88">
        <f>'MONTHLY STATS'!$C$11*2</f>
        <v>351328</v>
      </c>
      <c r="C12" s="88">
        <f>'MONTHLY STATS'!$C$17*2</f>
        <v>182320</v>
      </c>
      <c r="D12" s="88">
        <f>'MONTHLY STATS'!$C$23*2</f>
        <v>100240</v>
      </c>
      <c r="E12" s="88">
        <f>'MONTHLY STATS'!$C$29*2</f>
        <v>612854</v>
      </c>
      <c r="F12" s="88">
        <f>'MONTHLY STATS'!$C$35*2</f>
        <v>321766</v>
      </c>
      <c r="G12" s="88">
        <f>'MONTHLY STATS'!$C$41*2</f>
        <v>183232</v>
      </c>
      <c r="H12" s="88">
        <f>'MONTHLY STATS'!$C$47*2</f>
        <v>482426</v>
      </c>
      <c r="I12" s="88">
        <f>'MONTHLY STATS'!$C$53*2</f>
        <v>338566</v>
      </c>
      <c r="J12" s="88">
        <f>'MONTHLY STATS'!$C$59*2</f>
        <v>452412</v>
      </c>
      <c r="K12" s="88">
        <f>'MONTHLY STATS'!$C$65*2</f>
        <v>641438</v>
      </c>
      <c r="L12" s="88">
        <f>'MONTHLY STATS'!$C$71*2</f>
        <v>67730</v>
      </c>
      <c r="M12" s="88">
        <f>'MONTHLY STATS'!$C$77*2</f>
        <v>590644</v>
      </c>
      <c r="N12" s="88">
        <f>'MONTHLY STATS'!$C$83*2</f>
        <v>115382</v>
      </c>
      <c r="O12" s="89">
        <f>SUM(B12:N12)</f>
        <v>4440338</v>
      </c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1104264</v>
      </c>
      <c r="C23" s="89">
        <f t="shared" si="0"/>
        <v>562270</v>
      </c>
      <c r="D23" s="89">
        <f t="shared" si="0"/>
        <v>316792</v>
      </c>
      <c r="E23" s="89">
        <f t="shared" si="0"/>
        <v>1929416</v>
      </c>
      <c r="F23" s="89">
        <f t="shared" si="0"/>
        <v>1002138</v>
      </c>
      <c r="G23" s="89">
        <f>SUM(G10:G21)</f>
        <v>559140</v>
      </c>
      <c r="H23" s="89">
        <f t="shared" si="0"/>
        <v>1525912</v>
      </c>
      <c r="I23" s="89">
        <f>SUM(I10:I21)</f>
        <v>1067496</v>
      </c>
      <c r="J23" s="89">
        <f t="shared" si="0"/>
        <v>1439686</v>
      </c>
      <c r="K23" s="89">
        <f>SUM(K10:K21)</f>
        <v>2019108</v>
      </c>
      <c r="L23" s="89">
        <f t="shared" si="0"/>
        <v>220588</v>
      </c>
      <c r="M23" s="89">
        <f t="shared" si="0"/>
        <v>1895824</v>
      </c>
      <c r="N23" s="89">
        <f t="shared" si="0"/>
        <v>371122</v>
      </c>
      <c r="O23" s="89">
        <f t="shared" si="0"/>
        <v>14013756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STATS'!$K$15*0.21</f>
        <v>1403139.9395999999</v>
      </c>
      <c r="D31" s="88">
        <f>'MONTHLY STATS'!$K$21*0.21</f>
        <v>812098.99889999989</v>
      </c>
      <c r="E31" s="88">
        <f>'MONTHLY STATS'!$K$27*0.21</f>
        <v>4317520.4750999995</v>
      </c>
      <c r="F31" s="88">
        <f>'MONTHLY STATS'!$K$33*0.21</f>
        <v>2672148.2087999997</v>
      </c>
      <c r="G31" s="88">
        <f>'MONTHLY STATS'!$K$39*0.21</f>
        <v>1227660.7833</v>
      </c>
      <c r="H31" s="88">
        <f>'MONTHLY STATS'!$K$45*0.21</f>
        <v>2468440.0167</v>
      </c>
      <c r="I31" s="88">
        <f>'MONTHLY STATS'!$K$51*0.21</f>
        <v>2507634.5490000001</v>
      </c>
      <c r="J31" s="88">
        <f>'MONTHLY STATS'!$K$57*0.21</f>
        <v>3535118.2944</v>
      </c>
      <c r="K31" s="88">
        <f>'MONTHLY STATS'!$K$63*0.21</f>
        <v>4342159.0505999997</v>
      </c>
      <c r="L31" s="88">
        <f>'MONTHLY STATS'!$K$69*0.21</f>
        <v>594235.39769999997</v>
      </c>
      <c r="M31" s="88">
        <f>'MONTHLY STATS'!$K$75*0.21</f>
        <v>5058469.9388999995</v>
      </c>
      <c r="N31" s="88">
        <f>'MONTHLY STATS'!$K$81*0.21</f>
        <v>844344.35399999993</v>
      </c>
      <c r="O31" s="89">
        <f>SUM(B31:N31)</f>
        <v>32590698.054599997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STATS'!$K$16*0.21</f>
        <v>1517222.0279999999</v>
      </c>
      <c r="D32" s="88">
        <f>'MONTHLY STATS'!$K$22*0.21</f>
        <v>824302.82129999995</v>
      </c>
      <c r="E32" s="88">
        <f>'MONTHLY STATS'!$K$28*0.21</f>
        <v>4815352.5861</v>
      </c>
      <c r="F32" s="88">
        <f>'MONTHLY STATS'!$K$34*0.21</f>
        <v>2899883.0027999999</v>
      </c>
      <c r="G32" s="88">
        <f>'MONTHLY STATS'!$K$40*0.21</f>
        <v>1282179.5448</v>
      </c>
      <c r="H32" s="88">
        <f>'MONTHLY STATS'!$K$46*0.21</f>
        <v>2490679.6529999999</v>
      </c>
      <c r="I32" s="88">
        <f>'MONTHLY STATS'!$K$52*0.21</f>
        <v>2439859.9826999996</v>
      </c>
      <c r="J32" s="88">
        <f>'MONTHLY STATS'!$K$58*0.21</f>
        <v>3725145.4547999995</v>
      </c>
      <c r="K32" s="88">
        <f>'MONTHLY STATS'!$K$64*0.21</f>
        <v>4546256.2298999997</v>
      </c>
      <c r="L32" s="88">
        <f>'MONTHLY STATS'!$K$70*0.21</f>
        <v>570887.85179999995</v>
      </c>
      <c r="M32" s="88">
        <f>'MONTHLY STATS'!$K$76*0.21</f>
        <v>5355656.3277000003</v>
      </c>
      <c r="N32" s="88">
        <f>'MONTHLY STATS'!$K$82*0.21</f>
        <v>899361.20819999999</v>
      </c>
      <c r="O32" s="89">
        <f>SUM(B32:N32)</f>
        <v>34305350.396099992</v>
      </c>
      <c r="P32" s="82"/>
    </row>
    <row r="33" spans="1:16" ht="15.75" x14ac:dyDescent="0.25">
      <c r="A33" s="87">
        <f>DATE(2024,9,1)</f>
        <v>45536</v>
      </c>
      <c r="B33" s="88">
        <f>'MONTHLY STATS'!$K$11*0.21</f>
        <v>2626037.4525000001</v>
      </c>
      <c r="C33" s="88">
        <f>'MONTHLY STATS'!$K$17*0.21</f>
        <v>1432403.8784999999</v>
      </c>
      <c r="D33" s="88">
        <f>'MONTHLY STATS'!$K$23*0.21</f>
        <v>802136.2355999999</v>
      </c>
      <c r="E33" s="293">
        <f>(20250921.53+180818.97)*0.21</f>
        <v>4290665.5049999999</v>
      </c>
      <c r="F33" s="88">
        <f>'MONTHLY STATS'!$K$35*0.21</f>
        <v>2631985.3076999998</v>
      </c>
      <c r="G33" s="88">
        <f>'MONTHLY STATS'!$K$41*0.21</f>
        <v>1237701.7548</v>
      </c>
      <c r="H33" s="88">
        <f>'MONTHLY STATS'!$K$47*0.21</f>
        <v>2327781.3026999999</v>
      </c>
      <c r="I33" s="88">
        <f>'MONTHLY STATS'!$K$53*0.21</f>
        <v>2222638.1814000001</v>
      </c>
      <c r="J33" s="88">
        <f>'MONTHLY STATS'!$K$59*0.21</f>
        <v>3460903.5698999995</v>
      </c>
      <c r="K33" s="88">
        <f>'MONTHLY STATS'!$K$65*0.21</f>
        <v>4287985.0565999998</v>
      </c>
      <c r="L33" s="88">
        <f>'MONTHLY STATS'!$K$71*0.21</f>
        <v>518574.9387</v>
      </c>
      <c r="M33" s="88">
        <f>'MONTHLY STATS'!$K$77*0.21</f>
        <v>4961396.517</v>
      </c>
      <c r="N33" s="88">
        <f>'MONTHLY STATS'!$K$83*0.21</f>
        <v>745698.59069999994</v>
      </c>
      <c r="O33" s="89">
        <f>SUM(B33:N33)</f>
        <v>31545908.291100003</v>
      </c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8372329.2050999999</v>
      </c>
      <c r="C44" s="89">
        <f t="shared" si="1"/>
        <v>4352765.8460999997</v>
      </c>
      <c r="D44" s="89">
        <f t="shared" si="1"/>
        <v>2438538.0557999997</v>
      </c>
      <c r="E44" s="89">
        <f t="shared" si="1"/>
        <v>13423538.566199999</v>
      </c>
      <c r="F44" s="89">
        <f t="shared" si="1"/>
        <v>8204016.5192999998</v>
      </c>
      <c r="G44" s="89">
        <f t="shared" si="1"/>
        <v>3747542.0828999998</v>
      </c>
      <c r="H44" s="89">
        <f t="shared" si="1"/>
        <v>7286900.9724000003</v>
      </c>
      <c r="I44" s="89">
        <f>SUM(I31:I42)</f>
        <v>7170132.7131000003</v>
      </c>
      <c r="J44" s="89">
        <f t="shared" si="1"/>
        <v>10721167.3191</v>
      </c>
      <c r="K44" s="89">
        <f>SUM(K31:K42)</f>
        <v>13176400.337099999</v>
      </c>
      <c r="L44" s="89">
        <f t="shared" si="1"/>
        <v>1683698.1882</v>
      </c>
      <c r="M44" s="89">
        <f t="shared" si="1"/>
        <v>15375522.783599999</v>
      </c>
      <c r="N44" s="89">
        <f t="shared" si="1"/>
        <v>2489404.1529000001</v>
      </c>
      <c r="O44" s="89">
        <f t="shared" si="1"/>
        <v>98441956.74179998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92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>(+D9-E9)/E9</f>
        <v>-0.2229806600470563</v>
      </c>
      <c r="G9" s="214">
        <f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>(+D10-E10)/E10</f>
        <v>-0.24942410494434217</v>
      </c>
      <c r="G10" s="214">
        <f>D10/C10</f>
        <v>0.13773220495352514</v>
      </c>
      <c r="H10" s="122"/>
    </row>
    <row r="11" spans="1:8" ht="15.75" x14ac:dyDescent="0.25">
      <c r="A11" s="129"/>
      <c r="B11" s="130">
        <f>DATE(2024,9,1)</f>
        <v>45536</v>
      </c>
      <c r="C11" s="203">
        <v>14685718</v>
      </c>
      <c r="D11" s="203">
        <v>1892412</v>
      </c>
      <c r="E11" s="203">
        <v>1895240.5</v>
      </c>
      <c r="F11" s="131">
        <f>(+D11-E11)/E11</f>
        <v>-1.4924227294636221E-3</v>
      </c>
      <c r="G11" s="214">
        <f>D11/C11</f>
        <v>0.12886070670838157</v>
      </c>
      <c r="H11" s="122"/>
    </row>
    <row r="12" spans="1:8" ht="15.75" thickBot="1" x14ac:dyDescent="0.25">
      <c r="A12" s="132"/>
      <c r="B12" s="133"/>
      <c r="C12" s="203"/>
      <c r="D12" s="203"/>
      <c r="E12" s="203"/>
      <c r="F12" s="131"/>
      <c r="G12" s="214"/>
      <c r="H12" s="122"/>
    </row>
    <row r="13" spans="1:8" ht="17.25" thickTop="1" thickBot="1" x14ac:dyDescent="0.3">
      <c r="A13" s="134" t="s">
        <v>14</v>
      </c>
      <c r="B13" s="135"/>
      <c r="C13" s="200">
        <f>SUM(C9:C12)</f>
        <v>47809914</v>
      </c>
      <c r="D13" s="200">
        <f>SUM(D9:D12)</f>
        <v>6272743.9000000004</v>
      </c>
      <c r="E13" s="200">
        <f>SUM(E9:E12)</f>
        <v>7634073.5</v>
      </c>
      <c r="F13" s="136">
        <f>(+D13-E13)/E13</f>
        <v>-0.17832283118573586</v>
      </c>
      <c r="G13" s="211">
        <f>D13/C13</f>
        <v>0.13120173987344969</v>
      </c>
      <c r="H13" s="122"/>
    </row>
    <row r="14" spans="1:8" ht="15.75" customHeight="1" thickTop="1" x14ac:dyDescent="0.25">
      <c r="A14" s="137"/>
      <c r="B14" s="138"/>
      <c r="C14" s="204"/>
      <c r="D14" s="204"/>
      <c r="E14" s="204"/>
      <c r="F14" s="139"/>
      <c r="G14" s="215"/>
      <c r="H14" s="122"/>
    </row>
    <row r="15" spans="1:8" ht="15.75" x14ac:dyDescent="0.25">
      <c r="A15" s="19" t="s">
        <v>15</v>
      </c>
      <c r="B15" s="130">
        <f>DATE(2024,7,1)</f>
        <v>45474</v>
      </c>
      <c r="C15" s="203">
        <v>2084705</v>
      </c>
      <c r="D15" s="203">
        <v>481789</v>
      </c>
      <c r="E15" s="203">
        <v>614728</v>
      </c>
      <c r="F15" s="131">
        <f>(+D15-E15)/E15</f>
        <v>-0.21625662081440897</v>
      </c>
      <c r="G15" s="214">
        <f>D15/C15</f>
        <v>0.23110655944126388</v>
      </c>
      <c r="H15" s="122"/>
    </row>
    <row r="16" spans="1:8" ht="15.75" x14ac:dyDescent="0.25">
      <c r="A16" s="19"/>
      <c r="B16" s="130">
        <f>DATE(2024,8,1)</f>
        <v>45505</v>
      </c>
      <c r="C16" s="203">
        <v>2432555</v>
      </c>
      <c r="D16" s="203">
        <v>713769.5</v>
      </c>
      <c r="E16" s="203">
        <v>388628</v>
      </c>
      <c r="F16" s="131">
        <f>(+D16-E16)/E16</f>
        <v>0.83663940838025053</v>
      </c>
      <c r="G16" s="214">
        <f>D16/C16</f>
        <v>0.29342378692362558</v>
      </c>
      <c r="H16" s="122"/>
    </row>
    <row r="17" spans="1:8" ht="15.75" x14ac:dyDescent="0.25">
      <c r="A17" s="19"/>
      <c r="B17" s="130">
        <f>DATE(2024,9,1)</f>
        <v>45536</v>
      </c>
      <c r="C17" s="203">
        <v>2226166</v>
      </c>
      <c r="D17" s="203">
        <v>548040</v>
      </c>
      <c r="E17" s="203">
        <v>596038.5</v>
      </c>
      <c r="F17" s="131">
        <f>(+D17-E17)/E17</f>
        <v>-8.0529194003407495E-2</v>
      </c>
      <c r="G17" s="214">
        <f>D17/C17</f>
        <v>0.24618110239757501</v>
      </c>
      <c r="H17" s="122"/>
    </row>
    <row r="18" spans="1:8" ht="15.75" thickBot="1" x14ac:dyDescent="0.25">
      <c r="A18" s="132"/>
      <c r="B18" s="130"/>
      <c r="C18" s="203"/>
      <c r="D18" s="203"/>
      <c r="E18" s="203"/>
      <c r="F18" s="131"/>
      <c r="G18" s="214"/>
      <c r="H18" s="122"/>
    </row>
    <row r="19" spans="1:8" ht="17.25" thickTop="1" thickBot="1" x14ac:dyDescent="0.3">
      <c r="A19" s="134" t="s">
        <v>14</v>
      </c>
      <c r="B19" s="135"/>
      <c r="C19" s="200">
        <f>SUM(C15:C18)</f>
        <v>6743426</v>
      </c>
      <c r="D19" s="200">
        <f>SUM(D15:D18)</f>
        <v>1743598.5</v>
      </c>
      <c r="E19" s="200">
        <f>SUM(E15:E18)</f>
        <v>1599394.5</v>
      </c>
      <c r="F19" s="136">
        <f>(+D19-E19)/E19</f>
        <v>9.0161620538272452E-2</v>
      </c>
      <c r="G19" s="211">
        <f>D19/C19</f>
        <v>0.25856270981545582</v>
      </c>
      <c r="H19" s="122"/>
    </row>
    <row r="20" spans="1:8" ht="15.75" customHeight="1" thickTop="1" x14ac:dyDescent="0.25">
      <c r="A20" s="254"/>
      <c r="B20" s="138"/>
      <c r="C20" s="204"/>
      <c r="D20" s="204"/>
      <c r="E20" s="204"/>
      <c r="F20" s="139"/>
      <c r="G20" s="218"/>
      <c r="H20" s="122"/>
    </row>
    <row r="21" spans="1:8" ht="15.75" x14ac:dyDescent="0.25">
      <c r="A21" s="19" t="s">
        <v>62</v>
      </c>
      <c r="B21" s="130">
        <f>DATE(2024,7,1)</f>
        <v>45474</v>
      </c>
      <c r="C21" s="203">
        <v>1293032</v>
      </c>
      <c r="D21" s="203">
        <v>281475</v>
      </c>
      <c r="E21" s="203">
        <v>166322.5</v>
      </c>
      <c r="F21" s="131">
        <f>(+D21-E21)/E21</f>
        <v>0.6923446917885433</v>
      </c>
      <c r="G21" s="214">
        <f>D21/C21</f>
        <v>0.2176860278786604</v>
      </c>
      <c r="H21" s="122"/>
    </row>
    <row r="22" spans="1:8" ht="15.75" x14ac:dyDescent="0.25">
      <c r="A22" s="19"/>
      <c r="B22" s="130">
        <f>DATE(2024,8,1)</f>
        <v>45505</v>
      </c>
      <c r="C22" s="203">
        <v>1364653</v>
      </c>
      <c r="D22" s="203">
        <v>304278.5</v>
      </c>
      <c r="E22" s="203">
        <v>264487</v>
      </c>
      <c r="F22" s="131">
        <f>(+D22-E22)/E22</f>
        <v>0.15044784809839426</v>
      </c>
      <c r="G22" s="214">
        <f>D22/C22</f>
        <v>0.22297133410471379</v>
      </c>
      <c r="H22" s="122"/>
    </row>
    <row r="23" spans="1:8" ht="15.75" x14ac:dyDescent="0.25">
      <c r="A23" s="19"/>
      <c r="B23" s="130">
        <f>DATE(2024,9,1)</f>
        <v>45536</v>
      </c>
      <c r="C23" s="203">
        <v>1205397</v>
      </c>
      <c r="D23" s="203">
        <v>260316</v>
      </c>
      <c r="E23" s="203">
        <v>353812</v>
      </c>
      <c r="F23" s="131">
        <f>(+D23-E23)/E23</f>
        <v>-0.264253332278159</v>
      </c>
      <c r="G23" s="214">
        <f>D23/C23</f>
        <v>0.21595872563147245</v>
      </c>
      <c r="H23" s="122"/>
    </row>
    <row r="24" spans="1:8" ht="15.75" thickBot="1" x14ac:dyDescent="0.25">
      <c r="A24" s="132"/>
      <c r="B24" s="130"/>
      <c r="C24" s="203"/>
      <c r="D24" s="203"/>
      <c r="E24" s="203"/>
      <c r="F24" s="131"/>
      <c r="G24" s="214"/>
      <c r="H24" s="122"/>
    </row>
    <row r="25" spans="1:8" ht="17.25" thickTop="1" thickBot="1" x14ac:dyDescent="0.3">
      <c r="A25" s="140" t="s">
        <v>14</v>
      </c>
      <c r="B25" s="141"/>
      <c r="C25" s="205">
        <f>SUM(C21:C24)</f>
        <v>3863082</v>
      </c>
      <c r="D25" s="205">
        <f>SUM(D21:D24)</f>
        <v>846069.5</v>
      </c>
      <c r="E25" s="205">
        <f>SUM(E21:E24)</f>
        <v>784621.5</v>
      </c>
      <c r="F25" s="142">
        <f>(+D25-E25)/E25</f>
        <v>7.8315468031401131E-2</v>
      </c>
      <c r="G25" s="216">
        <f>D25/C25</f>
        <v>0.21901411877873678</v>
      </c>
      <c r="H25" s="122"/>
    </row>
    <row r="26" spans="1:8" ht="15.75" thickTop="1" x14ac:dyDescent="0.2">
      <c r="A26" s="132"/>
      <c r="B26" s="133"/>
      <c r="C26" s="203"/>
      <c r="D26" s="203"/>
      <c r="E26" s="203"/>
      <c r="F26" s="131"/>
      <c r="G26" s="217"/>
      <c r="H26" s="122"/>
    </row>
    <row r="27" spans="1:8" ht="15.75" x14ac:dyDescent="0.25">
      <c r="A27" s="176" t="s">
        <v>58</v>
      </c>
      <c r="B27" s="130">
        <f>DATE(2024,7,1)</f>
        <v>45474</v>
      </c>
      <c r="C27" s="203">
        <v>16481677</v>
      </c>
      <c r="D27" s="203">
        <v>2924457.34</v>
      </c>
      <c r="E27" s="203">
        <v>3803022</v>
      </c>
      <c r="F27" s="131">
        <f>(+D27-E27)/E27</f>
        <v>-0.23101750660395867</v>
      </c>
      <c r="G27" s="214">
        <f>D27/C27</f>
        <v>0.17743687975440847</v>
      </c>
      <c r="H27" s="122"/>
    </row>
    <row r="28" spans="1:8" ht="15.75" x14ac:dyDescent="0.25">
      <c r="A28" s="176"/>
      <c r="B28" s="130">
        <f>DATE(2024,8,1)</f>
        <v>45505</v>
      </c>
      <c r="C28" s="203">
        <v>16878247</v>
      </c>
      <c r="D28" s="203">
        <v>4174786.65</v>
      </c>
      <c r="E28" s="203">
        <v>2558007.38</v>
      </c>
      <c r="F28" s="131">
        <f>(+D28-E28)/E28</f>
        <v>0.63204636649640944</v>
      </c>
      <c r="G28" s="214">
        <f>D28/C28</f>
        <v>0.24734717118430605</v>
      </c>
      <c r="H28" s="122"/>
    </row>
    <row r="29" spans="1:8" ht="15.75" x14ac:dyDescent="0.25">
      <c r="A29" s="176"/>
      <c r="B29" s="130">
        <f>DATE(2024,9,1)</f>
        <v>45536</v>
      </c>
      <c r="C29" s="203">
        <v>17130312</v>
      </c>
      <c r="D29" s="203">
        <v>3154365.16</v>
      </c>
      <c r="E29" s="203">
        <v>3090684.15</v>
      </c>
      <c r="F29" s="131">
        <f>(+D29-E29)/E29</f>
        <v>2.0604179175021893E-2</v>
      </c>
      <c r="G29" s="214">
        <f>D29/C29</f>
        <v>0.18413938753713302</v>
      </c>
      <c r="H29" s="122"/>
    </row>
    <row r="30" spans="1:8" ht="15.75" customHeight="1" thickBot="1" x14ac:dyDescent="0.25">
      <c r="A30" s="132"/>
      <c r="B30" s="133"/>
      <c r="C30" s="203"/>
      <c r="D30" s="203"/>
      <c r="E30" s="203"/>
      <c r="F30" s="131"/>
      <c r="G30" s="214"/>
      <c r="H30" s="122"/>
    </row>
    <row r="31" spans="1:8" ht="17.25" customHeight="1" thickTop="1" thickBot="1" x14ac:dyDescent="0.3">
      <c r="A31" s="140" t="s">
        <v>14</v>
      </c>
      <c r="B31" s="141"/>
      <c r="C31" s="205">
        <f>SUM(C27:C30)</f>
        <v>50490236</v>
      </c>
      <c r="D31" s="205">
        <f>SUM(D27:D30)</f>
        <v>10253609.15</v>
      </c>
      <c r="E31" s="205">
        <f>SUM(E27:E30)</f>
        <v>9451713.5299999993</v>
      </c>
      <c r="F31" s="142">
        <f>(+D31-E31)/E31</f>
        <v>8.4841295438627312E-2</v>
      </c>
      <c r="G31" s="216">
        <f>D31/C31</f>
        <v>0.20308103036000863</v>
      </c>
      <c r="H31" s="122"/>
    </row>
    <row r="32" spans="1:8" ht="15.75" customHeight="1" thickTop="1" x14ac:dyDescent="0.2">
      <c r="A32" s="132"/>
      <c r="B32" s="133"/>
      <c r="C32" s="203"/>
      <c r="D32" s="203"/>
      <c r="E32" s="203"/>
      <c r="F32" s="131"/>
      <c r="G32" s="217"/>
      <c r="H32" s="122"/>
    </row>
    <row r="33" spans="1:8" ht="15" customHeight="1" x14ac:dyDescent="0.25">
      <c r="A33" s="129" t="s">
        <v>60</v>
      </c>
      <c r="B33" s="130">
        <f>DATE(2024,7,1)</f>
        <v>45474</v>
      </c>
      <c r="C33" s="203">
        <v>14778119</v>
      </c>
      <c r="D33" s="203">
        <v>2983132</v>
      </c>
      <c r="E33" s="203">
        <v>3308388.5</v>
      </c>
      <c r="F33" s="131">
        <f>(+D33-E33)/E33</f>
        <v>-9.8312667934857101E-2</v>
      </c>
      <c r="G33" s="214">
        <f>D33/C33</f>
        <v>0.20186141416238426</v>
      </c>
      <c r="H33" s="122"/>
    </row>
    <row r="34" spans="1:8" ht="15" customHeight="1" x14ac:dyDescent="0.25">
      <c r="A34" s="129"/>
      <c r="B34" s="130">
        <f>DATE(2024,8,1)</f>
        <v>45505</v>
      </c>
      <c r="C34" s="203">
        <v>14088991</v>
      </c>
      <c r="D34" s="203">
        <v>3594985</v>
      </c>
      <c r="E34" s="203">
        <v>3099426.5</v>
      </c>
      <c r="F34" s="131">
        <f>(+D34-E34)/E34</f>
        <v>0.15988715976971868</v>
      </c>
      <c r="G34" s="214">
        <f>D34/C34</f>
        <v>0.25516270114730005</v>
      </c>
      <c r="H34" s="122"/>
    </row>
    <row r="35" spans="1:8" ht="15" customHeight="1" x14ac:dyDescent="0.25">
      <c r="A35" s="129"/>
      <c r="B35" s="130">
        <f>DATE(2024,9,1)</f>
        <v>45536</v>
      </c>
      <c r="C35" s="203">
        <v>13973200.310000001</v>
      </c>
      <c r="D35" s="203">
        <v>3439229.31</v>
      </c>
      <c r="E35" s="203">
        <v>3032057</v>
      </c>
      <c r="F35" s="131">
        <f>(+D35-E35)/E35</f>
        <v>0.13428913440611442</v>
      </c>
      <c r="G35" s="214">
        <f>D35/C35</f>
        <v>0.24613039487730637</v>
      </c>
      <c r="H35" s="122"/>
    </row>
    <row r="36" spans="1:8" ht="15.75" thickBot="1" x14ac:dyDescent="0.25">
      <c r="A36" s="132"/>
      <c r="B36" s="130"/>
      <c r="C36" s="203"/>
      <c r="D36" s="203"/>
      <c r="E36" s="203"/>
      <c r="F36" s="131"/>
      <c r="G36" s="214"/>
      <c r="H36" s="122"/>
    </row>
    <row r="37" spans="1:8" ht="17.25" customHeight="1" thickTop="1" thickBot="1" x14ac:dyDescent="0.3">
      <c r="A37" s="140" t="s">
        <v>14</v>
      </c>
      <c r="B37" s="141"/>
      <c r="C37" s="206">
        <f>SUM(C33:C36)</f>
        <v>42840310.310000002</v>
      </c>
      <c r="D37" s="260">
        <f>SUM(D33:D36)</f>
        <v>10017346.310000001</v>
      </c>
      <c r="E37" s="205">
        <f>SUM(E33:E36)</f>
        <v>9439872</v>
      </c>
      <c r="F37" s="267">
        <f>(+D37-E37)/E37</f>
        <v>6.1173955536685296E-2</v>
      </c>
      <c r="G37" s="266">
        <f>D37/C37</f>
        <v>0.2338299194733354</v>
      </c>
      <c r="H37" s="122"/>
    </row>
    <row r="38" spans="1:8" ht="15.75" customHeight="1" thickTop="1" x14ac:dyDescent="0.25">
      <c r="A38" s="129"/>
      <c r="B38" s="133"/>
      <c r="C38" s="203"/>
      <c r="D38" s="203"/>
      <c r="E38" s="203"/>
      <c r="F38" s="131"/>
      <c r="G38" s="217"/>
      <c r="H38" s="122"/>
    </row>
    <row r="39" spans="1:8" ht="15.75" x14ac:dyDescent="0.25">
      <c r="A39" s="129" t="s">
        <v>64</v>
      </c>
      <c r="B39" s="130">
        <f>DATE(2024,7,1)</f>
        <v>45474</v>
      </c>
      <c r="C39" s="203">
        <v>3271046</v>
      </c>
      <c r="D39" s="203">
        <v>749499</v>
      </c>
      <c r="E39" s="203">
        <v>707897</v>
      </c>
      <c r="F39" s="131">
        <f>(+D39-E39)/E39</f>
        <v>5.876843665109472E-2</v>
      </c>
      <c r="G39" s="214">
        <f>D39/C39</f>
        <v>0.22913129317044151</v>
      </c>
      <c r="H39" s="122"/>
    </row>
    <row r="40" spans="1:8" ht="15.75" x14ac:dyDescent="0.25">
      <c r="A40" s="129"/>
      <c r="B40" s="130">
        <f>DATE(2024,8,1)</f>
        <v>45505</v>
      </c>
      <c r="C40" s="203">
        <v>3343771</v>
      </c>
      <c r="D40" s="203">
        <v>714655.5</v>
      </c>
      <c r="E40" s="203">
        <v>871889</v>
      </c>
      <c r="F40" s="131">
        <f>(+D40-E40)/E40</f>
        <v>-0.1803366024803616</v>
      </c>
      <c r="G40" s="214">
        <f>D40/C40</f>
        <v>0.21372740537554755</v>
      </c>
      <c r="H40" s="122"/>
    </row>
    <row r="41" spans="1:8" ht="15.75" x14ac:dyDescent="0.25">
      <c r="A41" s="129"/>
      <c r="B41" s="130">
        <f>DATE(2024,9,1)</f>
        <v>45536</v>
      </c>
      <c r="C41" s="203">
        <v>2841222</v>
      </c>
      <c r="D41" s="203">
        <v>930975</v>
      </c>
      <c r="E41" s="203">
        <v>529240.5</v>
      </c>
      <c r="F41" s="131">
        <f>(+D41-E41)/E41</f>
        <v>0.75907739487057402</v>
      </c>
      <c r="G41" s="214">
        <f>D41/C41</f>
        <v>0.32766710943389854</v>
      </c>
      <c r="H41" s="122"/>
    </row>
    <row r="42" spans="1:8" ht="15.75" customHeight="1" thickBot="1" x14ac:dyDescent="0.3">
      <c r="A42" s="129"/>
      <c r="B42" s="130"/>
      <c r="C42" s="203"/>
      <c r="D42" s="203"/>
      <c r="E42" s="203"/>
      <c r="F42" s="131"/>
      <c r="G42" s="214"/>
      <c r="H42" s="122"/>
    </row>
    <row r="43" spans="1:8" ht="17.25" thickTop="1" thickBot="1" x14ac:dyDescent="0.3">
      <c r="A43" s="140" t="s">
        <v>14</v>
      </c>
      <c r="B43" s="141"/>
      <c r="C43" s="206">
        <f>SUM(C39:C42)</f>
        <v>9456039</v>
      </c>
      <c r="D43" s="260">
        <f>SUM(D39:D42)</f>
        <v>2395129.5</v>
      </c>
      <c r="E43" s="206">
        <f>SUM(E39:E42)</f>
        <v>2109026.5</v>
      </c>
      <c r="F43" s="267">
        <f>(+D43-E43)/E43</f>
        <v>0.13565642726632407</v>
      </c>
      <c r="G43" s="266">
        <f>D43/C43</f>
        <v>0.25329099213740552</v>
      </c>
      <c r="H43" s="122"/>
    </row>
    <row r="44" spans="1:8" ht="15.75" customHeight="1" thickTop="1" x14ac:dyDescent="0.25">
      <c r="A44" s="129"/>
      <c r="B44" s="133"/>
      <c r="C44" s="203"/>
      <c r="D44" s="203"/>
      <c r="E44" s="203"/>
      <c r="F44" s="131"/>
      <c r="G44" s="217"/>
      <c r="H44" s="122"/>
    </row>
    <row r="45" spans="1:8" ht="15.75" x14ac:dyDescent="0.25">
      <c r="A45" s="129" t="s">
        <v>67</v>
      </c>
      <c r="B45" s="130">
        <f>DATE(2024,7,1)</f>
        <v>45474</v>
      </c>
      <c r="C45" s="203">
        <v>11086800</v>
      </c>
      <c r="D45" s="203">
        <v>1112358.5</v>
      </c>
      <c r="E45" s="203">
        <v>826564</v>
      </c>
      <c r="F45" s="131">
        <f>(+D45-E45)/E45</f>
        <v>0.34576209464723845</v>
      </c>
      <c r="G45" s="214">
        <f>D45/C45</f>
        <v>0.10033179095861745</v>
      </c>
      <c r="H45" s="122"/>
    </row>
    <row r="46" spans="1:8" ht="15.75" x14ac:dyDescent="0.25">
      <c r="A46" s="129"/>
      <c r="B46" s="130">
        <f>DATE(2024,8,1)</f>
        <v>45505</v>
      </c>
      <c r="C46" s="203">
        <v>9584251</v>
      </c>
      <c r="D46" s="203">
        <v>743956</v>
      </c>
      <c r="E46" s="203">
        <v>916100.5</v>
      </c>
      <c r="F46" s="131">
        <f>(+D46-E46)/E46</f>
        <v>-0.18791006008620234</v>
      </c>
      <c r="G46" s="214">
        <f>D46/C46</f>
        <v>7.7622758418993826E-2</v>
      </c>
      <c r="H46" s="122"/>
    </row>
    <row r="47" spans="1:8" ht="15.75" x14ac:dyDescent="0.25">
      <c r="A47" s="129"/>
      <c r="B47" s="130">
        <f>DATE(2024,9,1)</f>
        <v>45536</v>
      </c>
      <c r="C47" s="203">
        <v>8024758</v>
      </c>
      <c r="D47" s="203">
        <v>865028.5</v>
      </c>
      <c r="E47" s="203">
        <v>1270044.5</v>
      </c>
      <c r="F47" s="131">
        <f>(+D47-E47)/E47</f>
        <v>-0.31889906219821429</v>
      </c>
      <c r="G47" s="214">
        <f>D47/C47</f>
        <v>0.10779496403505252</v>
      </c>
      <c r="H47" s="122"/>
    </row>
    <row r="48" spans="1:8" ht="15.75" customHeight="1" thickBot="1" x14ac:dyDescent="0.3">
      <c r="A48" s="129"/>
      <c r="B48" s="130"/>
      <c r="C48" s="203"/>
      <c r="D48" s="203"/>
      <c r="E48" s="203"/>
      <c r="F48" s="131"/>
      <c r="G48" s="214"/>
      <c r="H48" s="122"/>
    </row>
    <row r="49" spans="1:8" ht="17.25" thickTop="1" thickBot="1" x14ac:dyDescent="0.3">
      <c r="A49" s="140" t="s">
        <v>14</v>
      </c>
      <c r="B49" s="141"/>
      <c r="C49" s="206">
        <f>SUM(C45:C48)</f>
        <v>28695809</v>
      </c>
      <c r="D49" s="260">
        <f>SUM(D45:D48)</f>
        <v>2721343</v>
      </c>
      <c r="E49" s="206">
        <f>SUM(E45:E48)</f>
        <v>3012709</v>
      </c>
      <c r="F49" s="268">
        <f>(+D49-E49)/E49</f>
        <v>-9.6712294483137937E-2</v>
      </c>
      <c r="G49" s="266">
        <f>D49/C49</f>
        <v>9.4834162019966056E-2</v>
      </c>
      <c r="H49" s="122"/>
    </row>
    <row r="50" spans="1:8" ht="15.75" customHeight="1" thickTop="1" x14ac:dyDescent="0.25">
      <c r="A50" s="129"/>
      <c r="B50" s="138"/>
      <c r="C50" s="204"/>
      <c r="D50" s="204"/>
      <c r="E50" s="204"/>
      <c r="F50" s="139"/>
      <c r="G50" s="215"/>
      <c r="H50" s="122"/>
    </row>
    <row r="51" spans="1:8" ht="15.75" x14ac:dyDescent="0.25">
      <c r="A51" s="129" t="s">
        <v>69</v>
      </c>
      <c r="B51" s="130">
        <f>DATE(2024,7,1)</f>
        <v>45474</v>
      </c>
      <c r="C51" s="203">
        <v>6094984</v>
      </c>
      <c r="D51" s="203">
        <v>1491620.4</v>
      </c>
      <c r="E51" s="203">
        <v>1705016.95</v>
      </c>
      <c r="F51" s="131">
        <f>(+D51-E51)/E51</f>
        <v>-0.12515802262259038</v>
      </c>
      <c r="G51" s="214">
        <f>D51/C51</f>
        <v>0.24472917402244204</v>
      </c>
      <c r="H51" s="122"/>
    </row>
    <row r="52" spans="1:8" ht="15.75" x14ac:dyDescent="0.25">
      <c r="A52" s="129"/>
      <c r="B52" s="130">
        <f>DATE(2024,8,1)</f>
        <v>45505</v>
      </c>
      <c r="C52" s="203">
        <v>6126161</v>
      </c>
      <c r="D52" s="203">
        <v>1342748.66</v>
      </c>
      <c r="E52" s="203">
        <v>1401382.35</v>
      </c>
      <c r="F52" s="131">
        <f>(+D52-E52)/E52</f>
        <v>-4.1839894729657594E-2</v>
      </c>
      <c r="G52" s="214">
        <f>D52/C52</f>
        <v>0.21918272471128328</v>
      </c>
      <c r="H52" s="122"/>
    </row>
    <row r="53" spans="1:8" ht="15.75" x14ac:dyDescent="0.25">
      <c r="A53" s="129"/>
      <c r="B53" s="130">
        <f>DATE(2024,9,1)</f>
        <v>45536</v>
      </c>
      <c r="C53" s="203">
        <v>5616372</v>
      </c>
      <c r="D53" s="203">
        <v>1469217.16</v>
      </c>
      <c r="E53" s="203">
        <v>1626153.96</v>
      </c>
      <c r="F53" s="131">
        <f>(+D53-E53)/E53</f>
        <v>-9.6507959184873274E-2</v>
      </c>
      <c r="G53" s="214">
        <f>D53/C53</f>
        <v>0.26159541426386995</v>
      </c>
      <c r="H53" s="122"/>
    </row>
    <row r="54" spans="1:8" ht="15.75" customHeight="1" thickBot="1" x14ac:dyDescent="0.3">
      <c r="A54" s="129"/>
      <c r="B54" s="130"/>
      <c r="C54" s="203"/>
      <c r="D54" s="203"/>
      <c r="E54" s="203"/>
      <c r="F54" s="131"/>
      <c r="G54" s="214"/>
      <c r="H54" s="122"/>
    </row>
    <row r="55" spans="1:8" ht="17.25" thickTop="1" thickBot="1" x14ac:dyDescent="0.3">
      <c r="A55" s="140" t="s">
        <v>14</v>
      </c>
      <c r="B55" s="141"/>
      <c r="C55" s="205">
        <f>SUM(C51:C54)</f>
        <v>17837517</v>
      </c>
      <c r="D55" s="205">
        <f>SUM(D51:D54)</f>
        <v>4303586.22</v>
      </c>
      <c r="E55" s="205">
        <f>SUM(E51:E54)</f>
        <v>4732553.26</v>
      </c>
      <c r="F55" s="142">
        <f>(+D55-E55)/E55</f>
        <v>-9.0641777584559088E-2</v>
      </c>
      <c r="G55" s="216">
        <f>D55/C55</f>
        <v>0.24126599122512399</v>
      </c>
      <c r="H55" s="122"/>
    </row>
    <row r="56" spans="1:8" ht="15.75" customHeight="1" thickTop="1" x14ac:dyDescent="0.25">
      <c r="A56" s="137"/>
      <c r="B56" s="138"/>
      <c r="C56" s="204"/>
      <c r="D56" s="204"/>
      <c r="E56" s="204"/>
      <c r="F56" s="139"/>
      <c r="G56" s="215"/>
      <c r="H56" s="122"/>
    </row>
    <row r="57" spans="1:8" ht="15.75" x14ac:dyDescent="0.25">
      <c r="A57" s="129" t="s">
        <v>16</v>
      </c>
      <c r="B57" s="130">
        <f>DATE(2024,7,1)</f>
        <v>45474</v>
      </c>
      <c r="C57" s="203">
        <v>10271681</v>
      </c>
      <c r="D57" s="203">
        <v>2089350</v>
      </c>
      <c r="E57" s="203">
        <v>2105009.5</v>
      </c>
      <c r="F57" s="131">
        <f>(+D57-E57)/E57</f>
        <v>-7.4391588256490053E-3</v>
      </c>
      <c r="G57" s="214">
        <f>D57/C57</f>
        <v>0.20340877019058518</v>
      </c>
      <c r="H57" s="122"/>
    </row>
    <row r="58" spans="1:8" ht="15.75" x14ac:dyDescent="0.25">
      <c r="A58" s="129"/>
      <c r="B58" s="130">
        <f>DATE(2024,8,1)</f>
        <v>45505</v>
      </c>
      <c r="C58" s="203">
        <v>10387348</v>
      </c>
      <c r="D58" s="203">
        <v>2032596</v>
      </c>
      <c r="E58" s="203">
        <v>1767561.15</v>
      </c>
      <c r="F58" s="131">
        <f>(+D58-E58)/E58</f>
        <v>0.1499438081675421</v>
      </c>
      <c r="G58" s="214">
        <f>D58/C58</f>
        <v>0.19567997529301992</v>
      </c>
      <c r="H58" s="122"/>
    </row>
    <row r="59" spans="1:8" ht="15.75" x14ac:dyDescent="0.25">
      <c r="A59" s="129"/>
      <c r="B59" s="130">
        <f>DATE(2024,9,1)</f>
        <v>45536</v>
      </c>
      <c r="C59" s="203">
        <v>9975436</v>
      </c>
      <c r="D59" s="203">
        <v>2006849.5</v>
      </c>
      <c r="E59" s="203">
        <v>2123175</v>
      </c>
      <c r="F59" s="131">
        <f>(+D59-E59)/E59</f>
        <v>-5.4788465387921391E-2</v>
      </c>
      <c r="G59" s="214">
        <f>D59/C59</f>
        <v>0.20117912640610394</v>
      </c>
      <c r="H59" s="122"/>
    </row>
    <row r="60" spans="1:8" ht="15.75" customHeight="1" thickBot="1" x14ac:dyDescent="0.3">
      <c r="A60" s="129"/>
      <c r="B60" s="130"/>
      <c r="C60" s="203"/>
      <c r="D60" s="203"/>
      <c r="E60" s="203"/>
      <c r="F60" s="131"/>
      <c r="G60" s="214"/>
      <c r="H60" s="122"/>
    </row>
    <row r="61" spans="1:8" ht="17.25" thickTop="1" thickBot="1" x14ac:dyDescent="0.3">
      <c r="A61" s="140" t="s">
        <v>14</v>
      </c>
      <c r="B61" s="141"/>
      <c r="C61" s="205">
        <f>SUM(C57:C60)</f>
        <v>30634465</v>
      </c>
      <c r="D61" s="205">
        <f>SUM(D57:D60)</f>
        <v>6128795.5</v>
      </c>
      <c r="E61" s="205">
        <f>SUM(E57:E60)</f>
        <v>5995745.6500000004</v>
      </c>
      <c r="F61" s="142">
        <f>(+D61-E61)/E61</f>
        <v>2.2190709507498806E-2</v>
      </c>
      <c r="G61" s="216">
        <f>D61/C61</f>
        <v>0.20006210325527146</v>
      </c>
      <c r="H61" s="122"/>
    </row>
    <row r="62" spans="1:8" ht="15.75" customHeight="1" thickTop="1" x14ac:dyDescent="0.25">
      <c r="A62" s="137"/>
      <c r="B62" s="138"/>
      <c r="C62" s="204"/>
      <c r="D62" s="204"/>
      <c r="E62" s="204"/>
      <c r="F62" s="139"/>
      <c r="G62" s="215"/>
      <c r="H62" s="122"/>
    </row>
    <row r="63" spans="1:8" ht="15.75" x14ac:dyDescent="0.25">
      <c r="A63" s="129" t="s">
        <v>53</v>
      </c>
      <c r="B63" s="130">
        <f>DATE(2024,7,1)</f>
        <v>45474</v>
      </c>
      <c r="C63" s="203">
        <v>12525863</v>
      </c>
      <c r="D63" s="203">
        <v>2603604.12</v>
      </c>
      <c r="E63" s="203">
        <v>2697018.32</v>
      </c>
      <c r="F63" s="131">
        <f>(+D63-E63)/E63</f>
        <v>-3.4636101396597015E-2</v>
      </c>
      <c r="G63" s="214">
        <f>D63/C63</f>
        <v>0.20785826254047327</v>
      </c>
      <c r="H63" s="122"/>
    </row>
    <row r="64" spans="1:8" ht="15.75" x14ac:dyDescent="0.25">
      <c r="A64" s="129"/>
      <c r="B64" s="130">
        <f>DATE(2024,8,1)</f>
        <v>45505</v>
      </c>
      <c r="C64" s="203">
        <v>13140688</v>
      </c>
      <c r="D64" s="203">
        <v>2949818.5</v>
      </c>
      <c r="E64" s="203">
        <v>2176274.1</v>
      </c>
      <c r="F64" s="131">
        <f>(+D64-E64)/E64</f>
        <v>0.35544438083419727</v>
      </c>
      <c r="G64" s="214">
        <f>D64/C64</f>
        <v>0.22447976087705607</v>
      </c>
      <c r="H64" s="122"/>
    </row>
    <row r="65" spans="1:8" ht="15.75" x14ac:dyDescent="0.25">
      <c r="A65" s="129"/>
      <c r="B65" s="130">
        <f>DATE(2024,9,1)</f>
        <v>45536</v>
      </c>
      <c r="C65" s="203">
        <v>13252840</v>
      </c>
      <c r="D65" s="203">
        <v>2576080.2400000002</v>
      </c>
      <c r="E65" s="203">
        <v>3641267.7</v>
      </c>
      <c r="F65" s="131">
        <f>(+D65-E65)/E65</f>
        <v>-0.29253203767468122</v>
      </c>
      <c r="G65" s="214">
        <f>D65/C65</f>
        <v>0.19437948696279442</v>
      </c>
      <c r="H65" s="122"/>
    </row>
    <row r="66" spans="1:8" ht="15.75" thickBot="1" x14ac:dyDescent="0.25">
      <c r="A66" s="132"/>
      <c r="B66" s="130"/>
      <c r="C66" s="203"/>
      <c r="D66" s="203"/>
      <c r="E66" s="203"/>
      <c r="F66" s="131"/>
      <c r="G66" s="214"/>
      <c r="H66" s="122"/>
    </row>
    <row r="67" spans="1:8" ht="17.25" thickTop="1" thickBot="1" x14ac:dyDescent="0.3">
      <c r="A67" s="140" t="s">
        <v>14</v>
      </c>
      <c r="B67" s="141"/>
      <c r="C67" s="206">
        <f>SUM(C63:C66)</f>
        <v>38919391</v>
      </c>
      <c r="D67" s="206">
        <f>SUM(D63:D66)</f>
        <v>8129502.8600000003</v>
      </c>
      <c r="E67" s="206">
        <f>SUM(E63:E66)</f>
        <v>8514560.120000001</v>
      </c>
      <c r="F67" s="142">
        <f>(+D67-E67)/E67</f>
        <v>-4.5223388474941048E-2</v>
      </c>
      <c r="G67" s="266">
        <f>D67/C67</f>
        <v>0.2088805259054542</v>
      </c>
      <c r="H67" s="122"/>
    </row>
    <row r="68" spans="1:8" ht="15.75" customHeight="1" thickTop="1" x14ac:dyDescent="0.25">
      <c r="A68" s="137"/>
      <c r="B68" s="138"/>
      <c r="C68" s="204"/>
      <c r="D68" s="204"/>
      <c r="E68" s="204"/>
      <c r="F68" s="139"/>
      <c r="G68" s="218"/>
      <c r="H68" s="122"/>
    </row>
    <row r="69" spans="1:8" ht="15.75" x14ac:dyDescent="0.25">
      <c r="A69" s="129" t="s">
        <v>54</v>
      </c>
      <c r="B69" s="130">
        <f>DATE(2024,7,1)</f>
        <v>45474</v>
      </c>
      <c r="C69" s="203">
        <v>0</v>
      </c>
      <c r="D69" s="203">
        <v>0</v>
      </c>
      <c r="E69" s="203">
        <v>54168.5</v>
      </c>
      <c r="F69" s="131">
        <f>(+D69-E69)/E69</f>
        <v>-1</v>
      </c>
      <c r="G69" s="214">
        <v>0</v>
      </c>
      <c r="H69" s="122"/>
    </row>
    <row r="70" spans="1:8" ht="15.75" x14ac:dyDescent="0.25">
      <c r="A70" s="129"/>
      <c r="B70" s="130">
        <f>DATE(2024,8,1)</f>
        <v>45505</v>
      </c>
      <c r="C70" s="203">
        <v>0</v>
      </c>
      <c r="D70" s="203">
        <v>0</v>
      </c>
      <c r="E70" s="203">
        <v>48279.5</v>
      </c>
      <c r="F70" s="131">
        <f>(+D70-E70)/E70</f>
        <v>-1</v>
      </c>
      <c r="G70" s="214">
        <v>0</v>
      </c>
      <c r="H70" s="122"/>
    </row>
    <row r="71" spans="1:8" ht="15.75" x14ac:dyDescent="0.25">
      <c r="A71" s="129"/>
      <c r="B71" s="130">
        <f>DATE(2024,9,1)</f>
        <v>45536</v>
      </c>
      <c r="C71" s="203">
        <v>0</v>
      </c>
      <c r="D71" s="203">
        <v>0</v>
      </c>
      <c r="E71" s="203">
        <v>44777.5</v>
      </c>
      <c r="F71" s="131">
        <v>-1</v>
      </c>
      <c r="G71" s="214">
        <v>0</v>
      </c>
      <c r="H71" s="122"/>
    </row>
    <row r="72" spans="1:8" ht="15.75" thickBot="1" x14ac:dyDescent="0.25">
      <c r="A72" s="132"/>
      <c r="B72" s="133"/>
      <c r="C72" s="203"/>
      <c r="D72" s="203"/>
      <c r="E72" s="203"/>
      <c r="F72" s="131"/>
      <c r="G72" s="214"/>
      <c r="H72" s="122"/>
    </row>
    <row r="73" spans="1:8" ht="17.25" thickTop="1" thickBot="1" x14ac:dyDescent="0.3">
      <c r="A73" s="143" t="s">
        <v>14</v>
      </c>
      <c r="B73" s="144"/>
      <c r="C73" s="206">
        <f>SUM(C69:C72)</f>
        <v>0</v>
      </c>
      <c r="D73" s="206">
        <f>SUM(D69:D72)</f>
        <v>0</v>
      </c>
      <c r="E73" s="206">
        <f>SUM(E69:E72)</f>
        <v>147225.5</v>
      </c>
      <c r="F73" s="142">
        <f>(+D73-E73)/E73</f>
        <v>-1</v>
      </c>
      <c r="G73" s="216">
        <v>0</v>
      </c>
      <c r="H73" s="122"/>
    </row>
    <row r="74" spans="1:8" ht="15.75" customHeight="1" thickTop="1" x14ac:dyDescent="0.25">
      <c r="A74" s="129"/>
      <c r="B74" s="133"/>
      <c r="C74" s="203"/>
      <c r="D74" s="203"/>
      <c r="E74" s="203"/>
      <c r="F74" s="131"/>
      <c r="G74" s="217"/>
      <c r="H74" s="122"/>
    </row>
    <row r="75" spans="1:8" ht="15.75" x14ac:dyDescent="0.25">
      <c r="A75" s="129" t="s">
        <v>37</v>
      </c>
      <c r="B75" s="130">
        <f>DATE(2024,7,1)</f>
        <v>45474</v>
      </c>
      <c r="C75" s="203">
        <v>20074379</v>
      </c>
      <c r="D75" s="203">
        <v>4532513.72</v>
      </c>
      <c r="E75" s="203">
        <v>4690410.88</v>
      </c>
      <c r="F75" s="131">
        <f>(+D75-E75)/E75</f>
        <v>-3.3663822645746584E-2</v>
      </c>
      <c r="G75" s="214">
        <f>D75/C75</f>
        <v>0.22578599915842976</v>
      </c>
      <c r="H75" s="122"/>
    </row>
    <row r="76" spans="1:8" ht="15.75" x14ac:dyDescent="0.25">
      <c r="A76" s="129"/>
      <c r="B76" s="130">
        <f>DATE(2024,8,1)</f>
        <v>45505</v>
      </c>
      <c r="C76" s="203">
        <v>20524592</v>
      </c>
      <c r="D76" s="203">
        <v>4951353.17</v>
      </c>
      <c r="E76" s="203">
        <v>3109199.97</v>
      </c>
      <c r="F76" s="131">
        <f>(+D76-E76)/E76</f>
        <v>0.59248463198717949</v>
      </c>
      <c r="G76" s="214">
        <f>D76/C76</f>
        <v>0.24124002903443828</v>
      </c>
      <c r="H76" s="122"/>
    </row>
    <row r="77" spans="1:8" ht="15.75" x14ac:dyDescent="0.25">
      <c r="A77" s="129"/>
      <c r="B77" s="130">
        <f>DATE(2024,9,1)</f>
        <v>45536</v>
      </c>
      <c r="C77" s="203">
        <v>19563697</v>
      </c>
      <c r="D77" s="203">
        <v>4582987.34</v>
      </c>
      <c r="E77" s="203">
        <v>4835353.0999999996</v>
      </c>
      <c r="F77" s="131">
        <f>(+D77-E77)/E77</f>
        <v>-5.219179546577473E-2</v>
      </c>
      <c r="G77" s="214">
        <f>D77/C77</f>
        <v>0.2342597792227103</v>
      </c>
      <c r="H77" s="122"/>
    </row>
    <row r="78" spans="1:8" ht="15.75" thickBot="1" x14ac:dyDescent="0.25">
      <c r="A78" s="132"/>
      <c r="B78" s="133"/>
      <c r="C78" s="203"/>
      <c r="D78" s="203"/>
      <c r="E78" s="203"/>
      <c r="F78" s="131"/>
      <c r="G78" s="214"/>
      <c r="H78" s="122"/>
    </row>
    <row r="79" spans="1:8" ht="17.25" thickTop="1" thickBot="1" x14ac:dyDescent="0.3">
      <c r="A79" s="140" t="s">
        <v>14</v>
      </c>
      <c r="B79" s="141"/>
      <c r="C79" s="205">
        <f>SUM(C75:C78)</f>
        <v>60162668</v>
      </c>
      <c r="D79" s="206">
        <f>SUM(D75:D78)</f>
        <v>14066854.23</v>
      </c>
      <c r="E79" s="205">
        <f>SUM(E75:E78)</f>
        <v>12634963.949999999</v>
      </c>
      <c r="F79" s="142">
        <f>(+D79-E79)/E79</f>
        <v>0.113327611037624</v>
      </c>
      <c r="G79" s="216">
        <f>D79/C79</f>
        <v>0.23381367046421545</v>
      </c>
      <c r="H79" s="122"/>
    </row>
    <row r="80" spans="1:8" ht="15.75" customHeight="1" thickTop="1" x14ac:dyDescent="0.25">
      <c r="A80" s="129"/>
      <c r="B80" s="133"/>
      <c r="C80" s="203"/>
      <c r="D80" s="203"/>
      <c r="E80" s="203"/>
      <c r="F80" s="131"/>
      <c r="G80" s="217"/>
      <c r="H80" s="122"/>
    </row>
    <row r="81" spans="1:8" ht="15.75" x14ac:dyDescent="0.25">
      <c r="A81" s="129" t="s">
        <v>57</v>
      </c>
      <c r="B81" s="130">
        <f>DATE(2024,7,1)</f>
        <v>45474</v>
      </c>
      <c r="C81" s="203">
        <v>584831</v>
      </c>
      <c r="D81" s="203">
        <v>133926.5</v>
      </c>
      <c r="E81" s="203">
        <v>167507.5</v>
      </c>
      <c r="F81" s="131">
        <f>(+D81-E81)/E81</f>
        <v>-0.20047460561467398</v>
      </c>
      <c r="G81" s="214">
        <f>D81/C81</f>
        <v>0.22900034368903152</v>
      </c>
      <c r="H81" s="122"/>
    </row>
    <row r="82" spans="1:8" ht="15.75" x14ac:dyDescent="0.25">
      <c r="A82" s="129"/>
      <c r="B82" s="130">
        <f>DATE(2024,8,1)</f>
        <v>45505</v>
      </c>
      <c r="C82" s="203">
        <v>723929</v>
      </c>
      <c r="D82" s="203">
        <v>188568.5</v>
      </c>
      <c r="E82" s="203">
        <v>211410</v>
      </c>
      <c r="F82" s="131">
        <f>(+D82-E82)/E82</f>
        <v>-0.10804361193888652</v>
      </c>
      <c r="G82" s="214">
        <f>D82/C82</f>
        <v>0.26047927351991701</v>
      </c>
      <c r="H82" s="122"/>
    </row>
    <row r="83" spans="1:8" ht="15.75" x14ac:dyDescent="0.25">
      <c r="A83" s="129"/>
      <c r="B83" s="130">
        <f>DATE(2024,9,1)</f>
        <v>45536</v>
      </c>
      <c r="C83" s="203">
        <v>577445</v>
      </c>
      <c r="D83" s="203">
        <v>118770</v>
      </c>
      <c r="E83" s="203">
        <v>169350</v>
      </c>
      <c r="F83" s="131">
        <f>(+D83-E83)/E83</f>
        <v>-0.29867139061116033</v>
      </c>
      <c r="G83" s="214">
        <f>D83/C83</f>
        <v>0.20568192641723454</v>
      </c>
      <c r="H83" s="122"/>
    </row>
    <row r="84" spans="1:8" ht="15.75" thickBot="1" x14ac:dyDescent="0.25">
      <c r="A84" s="132"/>
      <c r="B84" s="133"/>
      <c r="C84" s="203"/>
      <c r="D84" s="203"/>
      <c r="E84" s="203"/>
      <c r="F84" s="131"/>
      <c r="G84" s="214"/>
      <c r="H84" s="122"/>
    </row>
    <row r="85" spans="1:8" ht="17.25" thickTop="1" thickBot="1" x14ac:dyDescent="0.3">
      <c r="A85" s="134" t="s">
        <v>14</v>
      </c>
      <c r="B85" s="135"/>
      <c r="C85" s="200">
        <f>SUM(C81:C84)</f>
        <v>1886205</v>
      </c>
      <c r="D85" s="206">
        <f>SUM(D81:D84)</f>
        <v>441265</v>
      </c>
      <c r="E85" s="206">
        <f>SUM(E81:E84)</f>
        <v>548267.5</v>
      </c>
      <c r="F85" s="142">
        <f>(+D85-E85)/E85</f>
        <v>-0.19516476902242064</v>
      </c>
      <c r="G85" s="216">
        <f>D85/C85</f>
        <v>0.23394328824279439</v>
      </c>
      <c r="H85" s="122"/>
    </row>
    <row r="86" spans="1:8" ht="16.5" thickTop="1" thickBot="1" x14ac:dyDescent="0.25">
      <c r="A86" s="145"/>
      <c r="B86" s="138"/>
      <c r="C86" s="204"/>
      <c r="D86" s="204"/>
      <c r="E86" s="204"/>
      <c r="F86" s="139"/>
      <c r="G86" s="215"/>
      <c r="H86" s="122"/>
    </row>
    <row r="87" spans="1:8" ht="17.25" thickTop="1" thickBot="1" x14ac:dyDescent="0.3">
      <c r="A87" s="146" t="s">
        <v>38</v>
      </c>
      <c r="B87" s="120"/>
      <c r="C87" s="200">
        <f>C85+C79+C61+C49+C37+C25+C13+C31+C73+C19+C55+C67+C43</f>
        <v>339339062.31</v>
      </c>
      <c r="D87" s="200">
        <f>D85+D79+D61+D49+D37+D25+D13+D31+D73+D19+D55+D67+D43</f>
        <v>67319843.669999987</v>
      </c>
      <c r="E87" s="200">
        <f>E85+E79+E61+E49+E37+E25+E13+E31+E73+E19+E55+E67+E43</f>
        <v>66604726.510000005</v>
      </c>
      <c r="F87" s="136">
        <f>(+D87-E87)/E87</f>
        <v>1.0736732923790538E-2</v>
      </c>
      <c r="G87" s="211">
        <f>D87/C87</f>
        <v>0.19838518799377297</v>
      </c>
      <c r="H87" s="122"/>
    </row>
    <row r="88" spans="1:8" ht="17.25" thickTop="1" thickBot="1" x14ac:dyDescent="0.3">
      <c r="A88" s="146"/>
      <c r="B88" s="120"/>
      <c r="C88" s="200"/>
      <c r="D88" s="200"/>
      <c r="E88" s="200"/>
      <c r="F88" s="136"/>
      <c r="G88" s="211"/>
      <c r="H88" s="122"/>
    </row>
    <row r="89" spans="1:8" ht="17.25" thickTop="1" thickBot="1" x14ac:dyDescent="0.3">
      <c r="A89" s="264" t="s">
        <v>39</v>
      </c>
      <c r="B89" s="265"/>
      <c r="C89" s="205">
        <f>+C11+C17+C23+C29+C35+C41+C47+C53+C59+C65+C71+C77+C83</f>
        <v>109072563.31</v>
      </c>
      <c r="D89" s="205">
        <f>+D11+D17+D23+D29+D35+D41+D47+D53+D59+D65+D71+D77+D83</f>
        <v>21844270.210000001</v>
      </c>
      <c r="E89" s="205">
        <f>+E11+E17+E23+E29+E35+E41+E47+E53+E59+E65+E71+E77+E83</f>
        <v>23207194.409999996</v>
      </c>
      <c r="F89" s="267">
        <f>(+D89-E89)/E89</f>
        <v>-5.8728520816489153E-2</v>
      </c>
      <c r="G89" s="216">
        <f>D89/C89</f>
        <v>0.20027282340395197</v>
      </c>
      <c r="H89" s="122"/>
    </row>
    <row r="90" spans="1:8" ht="16.5" thickTop="1" x14ac:dyDescent="0.25">
      <c r="A90" s="255"/>
      <c r="B90" s="257"/>
      <c r="C90" s="258"/>
      <c r="D90" s="258"/>
      <c r="E90" s="258"/>
      <c r="F90" s="259"/>
      <c r="G90" s="256"/>
      <c r="H90" s="256"/>
    </row>
    <row r="91" spans="1:8" ht="18.75" x14ac:dyDescent="0.3">
      <c r="A91" s="262" t="s">
        <v>40</v>
      </c>
      <c r="B91" s="116"/>
      <c r="C91" s="207"/>
      <c r="D91" s="207"/>
      <c r="E91" s="207"/>
      <c r="F91" s="147"/>
      <c r="G91" s="219"/>
    </row>
    <row r="92" spans="1:8" ht="15.75" x14ac:dyDescent="0.25">
      <c r="A92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x14ac:dyDescent="0.25">
      <c r="A12" s="163"/>
      <c r="B12" s="164">
        <f>DATE(24,9,1)</f>
        <v>9011</v>
      </c>
      <c r="C12" s="225">
        <v>0</v>
      </c>
      <c r="D12" s="225">
        <v>0</v>
      </c>
      <c r="E12" s="225">
        <v>0</v>
      </c>
      <c r="F12" s="165">
        <v>0</v>
      </c>
      <c r="G12" s="240">
        <v>0</v>
      </c>
      <c r="H12" s="288">
        <v>0</v>
      </c>
    </row>
    <row r="13" spans="1:8" ht="15.75" thickBot="1" x14ac:dyDescent="0.25">
      <c r="A13" s="166"/>
      <c r="B13" s="167"/>
      <c r="C13" s="225"/>
      <c r="D13" s="225"/>
      <c r="E13" s="225"/>
      <c r="F13" s="165"/>
      <c r="G13" s="240"/>
      <c r="H13" s="241"/>
    </row>
    <row r="14" spans="1:8" ht="17.25" thickTop="1" thickBot="1" x14ac:dyDescent="0.3">
      <c r="A14" s="168" t="s">
        <v>14</v>
      </c>
      <c r="B14" s="154"/>
      <c r="C14" s="222">
        <f>SUM(C10:C13)</f>
        <v>0</v>
      </c>
      <c r="D14" s="222">
        <f>SUM(D10:D13)</f>
        <v>0</v>
      </c>
      <c r="E14" s="222">
        <f>SUM(E10:E13)</f>
        <v>0</v>
      </c>
      <c r="F14" s="175">
        <v>0</v>
      </c>
      <c r="G14" s="244">
        <v>0</v>
      </c>
      <c r="H14" s="245">
        <v>0</v>
      </c>
    </row>
    <row r="15" spans="1:8" ht="15.75" thickTop="1" x14ac:dyDescent="0.2">
      <c r="A15" s="170"/>
      <c r="B15" s="171"/>
      <c r="C15" s="226"/>
      <c r="D15" s="226"/>
      <c r="E15" s="226"/>
      <c r="F15" s="172"/>
      <c r="G15" s="242"/>
      <c r="H15" s="243"/>
    </row>
    <row r="16" spans="1:8" ht="15.75" x14ac:dyDescent="0.25">
      <c r="A16" s="19" t="s">
        <v>48</v>
      </c>
      <c r="B16" s="164">
        <f>DATE(24,7,1)</f>
        <v>8949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41">
        <v>0</v>
      </c>
    </row>
    <row r="17" spans="1:8" ht="15.75" x14ac:dyDescent="0.25">
      <c r="A17" s="19"/>
      <c r="B17" s="164">
        <f>DATE(24,8,1)</f>
        <v>8980</v>
      </c>
      <c r="C17" s="225">
        <v>0</v>
      </c>
      <c r="D17" s="225">
        <v>0</v>
      </c>
      <c r="E17" s="225">
        <v>0</v>
      </c>
      <c r="F17" s="165">
        <v>0</v>
      </c>
      <c r="G17" s="240">
        <v>0</v>
      </c>
      <c r="H17" s="241">
        <v>0</v>
      </c>
    </row>
    <row r="18" spans="1:8" ht="15.75" x14ac:dyDescent="0.25">
      <c r="A18" s="19"/>
      <c r="B18" s="164">
        <f>DATE(24,9,1)</f>
        <v>9011</v>
      </c>
      <c r="C18" s="225">
        <v>0</v>
      </c>
      <c r="D18" s="225">
        <v>0</v>
      </c>
      <c r="E18" s="225">
        <v>0</v>
      </c>
      <c r="F18" s="165">
        <v>0</v>
      </c>
      <c r="G18" s="240">
        <v>0</v>
      </c>
      <c r="H18" s="241">
        <v>0</v>
      </c>
    </row>
    <row r="19" spans="1:8" ht="15.75" thickBot="1" x14ac:dyDescent="0.25">
      <c r="A19" s="166"/>
      <c r="B19" s="164"/>
      <c r="C19" s="225"/>
      <c r="D19" s="225"/>
      <c r="E19" s="225"/>
      <c r="F19" s="165"/>
      <c r="G19" s="240"/>
      <c r="H19" s="241"/>
    </row>
    <row r="20" spans="1:8" ht="17.25" thickTop="1" thickBot="1" x14ac:dyDescent="0.3">
      <c r="A20" s="168" t="s">
        <v>14</v>
      </c>
      <c r="B20" s="154"/>
      <c r="C20" s="222">
        <f>SUM(C16:C19)</f>
        <v>0</v>
      </c>
      <c r="D20" s="222">
        <f>SUM(D16:D19)</f>
        <v>0</v>
      </c>
      <c r="E20" s="222">
        <f>SUM(E16:E19)</f>
        <v>0</v>
      </c>
      <c r="F20" s="169">
        <v>0</v>
      </c>
      <c r="G20" s="235">
        <v>0</v>
      </c>
      <c r="H20" s="236">
        <v>0</v>
      </c>
    </row>
    <row r="21" spans="1:8" ht="15.75" thickTop="1" x14ac:dyDescent="0.2">
      <c r="A21" s="170"/>
      <c r="B21" s="171"/>
      <c r="C21" s="226"/>
      <c r="D21" s="226"/>
      <c r="E21" s="226"/>
      <c r="F21" s="172"/>
      <c r="G21" s="242"/>
      <c r="H21" s="243"/>
    </row>
    <row r="22" spans="1:8" ht="15.75" x14ac:dyDescent="0.25">
      <c r="A22" s="19" t="s">
        <v>62</v>
      </c>
      <c r="B22" s="164">
        <f>DATE(24,7,1)</f>
        <v>8949</v>
      </c>
      <c r="C22" s="225">
        <v>0</v>
      </c>
      <c r="D22" s="225">
        <v>0</v>
      </c>
      <c r="E22" s="225">
        <v>0</v>
      </c>
      <c r="F22" s="165">
        <v>0</v>
      </c>
      <c r="G22" s="240">
        <v>0</v>
      </c>
      <c r="H22" s="241">
        <v>0</v>
      </c>
    </row>
    <row r="23" spans="1:8" ht="15.75" x14ac:dyDescent="0.25">
      <c r="A23" s="19"/>
      <c r="B23" s="164">
        <f>DATE(24,8,1)</f>
        <v>8980</v>
      </c>
      <c r="C23" s="225">
        <v>0</v>
      </c>
      <c r="D23" s="225">
        <v>0</v>
      </c>
      <c r="E23" s="225">
        <v>0</v>
      </c>
      <c r="F23" s="165">
        <v>0</v>
      </c>
      <c r="G23" s="240">
        <v>0</v>
      </c>
      <c r="H23" s="241">
        <v>0</v>
      </c>
    </row>
    <row r="24" spans="1:8" ht="15.75" x14ac:dyDescent="0.25">
      <c r="A24" s="19"/>
      <c r="B24" s="164">
        <f>DATE(24,9,1)</f>
        <v>9011</v>
      </c>
      <c r="C24" s="225">
        <v>0</v>
      </c>
      <c r="D24" s="225">
        <v>0</v>
      </c>
      <c r="E24" s="225">
        <v>0</v>
      </c>
      <c r="F24" s="165">
        <v>0</v>
      </c>
      <c r="G24" s="240">
        <v>0</v>
      </c>
      <c r="H24" s="241">
        <v>0</v>
      </c>
    </row>
    <row r="25" spans="1:8" ht="15.75" thickBot="1" x14ac:dyDescent="0.25">
      <c r="A25" s="166"/>
      <c r="B25" s="164"/>
      <c r="C25" s="225"/>
      <c r="D25" s="225"/>
      <c r="E25" s="225"/>
      <c r="F25" s="165"/>
      <c r="G25" s="240"/>
      <c r="H25" s="241"/>
    </row>
    <row r="26" spans="1:8" ht="17.25" thickTop="1" thickBot="1" x14ac:dyDescent="0.3">
      <c r="A26" s="173" t="s">
        <v>14</v>
      </c>
      <c r="B26" s="174"/>
      <c r="C26" s="227">
        <f>SUM(C22:C25)</f>
        <v>0</v>
      </c>
      <c r="D26" s="227">
        <f>SUM(D22:D25)</f>
        <v>0</v>
      </c>
      <c r="E26" s="227">
        <f>SUM(E22:E25)</f>
        <v>0</v>
      </c>
      <c r="F26" s="175">
        <v>0</v>
      </c>
      <c r="G26" s="244">
        <v>0</v>
      </c>
      <c r="H26" s="245">
        <v>0</v>
      </c>
    </row>
    <row r="27" spans="1:8" ht="15.75" thickTop="1" x14ac:dyDescent="0.2">
      <c r="A27" s="166"/>
      <c r="B27" s="167"/>
      <c r="C27" s="225"/>
      <c r="D27" s="225"/>
      <c r="E27" s="225"/>
      <c r="F27" s="165"/>
      <c r="G27" s="240"/>
      <c r="H27" s="241"/>
    </row>
    <row r="28" spans="1:8" ht="15.75" x14ac:dyDescent="0.25">
      <c r="A28" s="176" t="s">
        <v>58</v>
      </c>
      <c r="B28" s="164">
        <f>DATE(24,7,1)</f>
        <v>8949</v>
      </c>
      <c r="C28" s="225">
        <v>0</v>
      </c>
      <c r="D28" s="225">
        <v>0</v>
      </c>
      <c r="E28" s="225">
        <v>0</v>
      </c>
      <c r="F28" s="165">
        <v>0</v>
      </c>
      <c r="G28" s="240">
        <v>0</v>
      </c>
      <c r="H28" s="288">
        <v>0</v>
      </c>
    </row>
    <row r="29" spans="1:8" ht="15.75" x14ac:dyDescent="0.25">
      <c r="A29" s="176"/>
      <c r="B29" s="164">
        <f>DATE(24,8,1)</f>
        <v>8980</v>
      </c>
      <c r="C29" s="225">
        <v>0</v>
      </c>
      <c r="D29" s="225">
        <v>0</v>
      </c>
      <c r="E29" s="225">
        <v>0</v>
      </c>
      <c r="F29" s="165">
        <v>0</v>
      </c>
      <c r="G29" s="240">
        <v>0</v>
      </c>
      <c r="H29" s="288">
        <v>0</v>
      </c>
    </row>
    <row r="30" spans="1:8" ht="15.75" x14ac:dyDescent="0.25">
      <c r="A30" s="176"/>
      <c r="B30" s="164">
        <f>DATE(24,9,1)</f>
        <v>9011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88">
        <v>0</v>
      </c>
    </row>
    <row r="31" spans="1:8" ht="15.75" thickBot="1" x14ac:dyDescent="0.25">
      <c r="A31" s="166"/>
      <c r="B31" s="167"/>
      <c r="C31" s="225"/>
      <c r="D31" s="225"/>
      <c r="E31" s="225"/>
      <c r="F31" s="165"/>
      <c r="G31" s="240"/>
      <c r="H31" s="241"/>
    </row>
    <row r="32" spans="1:8" ht="17.25" thickTop="1" thickBot="1" x14ac:dyDescent="0.3">
      <c r="A32" s="173" t="s">
        <v>14</v>
      </c>
      <c r="B32" s="177"/>
      <c r="C32" s="227">
        <f>SUM(C28:C31)</f>
        <v>0</v>
      </c>
      <c r="D32" s="227">
        <f>SUM(D28:D31)</f>
        <v>0</v>
      </c>
      <c r="E32" s="227">
        <f>SUM(E28:E31)</f>
        <v>0</v>
      </c>
      <c r="F32" s="175">
        <v>0</v>
      </c>
      <c r="G32" s="244">
        <v>0</v>
      </c>
      <c r="H32" s="245">
        <v>0</v>
      </c>
    </row>
    <row r="33" spans="1:8" ht="15.75" thickTop="1" x14ac:dyDescent="0.2">
      <c r="A33" s="166"/>
      <c r="B33" s="167"/>
      <c r="C33" s="225"/>
      <c r="D33" s="225"/>
      <c r="E33" s="225"/>
      <c r="F33" s="165"/>
      <c r="G33" s="240"/>
      <c r="H33" s="241"/>
    </row>
    <row r="34" spans="1:8" ht="15.75" x14ac:dyDescent="0.25">
      <c r="A34" s="163" t="s">
        <v>60</v>
      </c>
      <c r="B34" s="164">
        <f>DATE(24,7,1)</f>
        <v>8949</v>
      </c>
      <c r="C34" s="225">
        <v>0</v>
      </c>
      <c r="D34" s="225">
        <v>0</v>
      </c>
      <c r="E34" s="225">
        <v>0</v>
      </c>
      <c r="F34" s="165">
        <v>0</v>
      </c>
      <c r="G34" s="240">
        <v>0</v>
      </c>
      <c r="H34" s="241">
        <v>0</v>
      </c>
    </row>
    <row r="35" spans="1:8" ht="15.75" x14ac:dyDescent="0.25">
      <c r="A35" s="163"/>
      <c r="B35" s="164">
        <f>DATE(24,8,1)</f>
        <v>8980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41">
        <v>0</v>
      </c>
    </row>
    <row r="36" spans="1:8" ht="15.75" x14ac:dyDescent="0.25">
      <c r="A36" s="163"/>
      <c r="B36" s="164">
        <f>DATE(24,9,1)</f>
        <v>9011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41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73" t="s">
        <v>14</v>
      </c>
      <c r="B38" s="174"/>
      <c r="C38" s="227">
        <f>SUM(C34:C37)</f>
        <v>0</v>
      </c>
      <c r="D38" s="229">
        <f>SUM(D34:D37)</f>
        <v>0</v>
      </c>
      <c r="E38" s="270">
        <f>SUM(E34:E37)</f>
        <v>0</v>
      </c>
      <c r="F38" s="175">
        <v>0</v>
      </c>
      <c r="G38" s="244">
        <v>0</v>
      </c>
      <c r="H38" s="245">
        <v>0</v>
      </c>
    </row>
    <row r="39" spans="1:8" ht="15.75" thickTop="1" x14ac:dyDescent="0.2">
      <c r="A39" s="166"/>
      <c r="B39" s="167"/>
      <c r="C39" s="225"/>
      <c r="D39" s="225"/>
      <c r="E39" s="225"/>
      <c r="F39" s="165"/>
      <c r="G39" s="240"/>
      <c r="H39" s="241"/>
    </row>
    <row r="40" spans="1:8" ht="15.75" x14ac:dyDescent="0.25">
      <c r="A40" s="163" t="s">
        <v>64</v>
      </c>
      <c r="B40" s="164">
        <f>DATE(24,7,1)</f>
        <v>8949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63"/>
      <c r="B41" s="164">
        <f>DATE(24,8,1)</f>
        <v>8980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x14ac:dyDescent="0.25">
      <c r="A42" s="163"/>
      <c r="B42" s="164">
        <f>DATE(24,9,1)</f>
        <v>9011</v>
      </c>
      <c r="C42" s="225">
        <v>0</v>
      </c>
      <c r="D42" s="225">
        <v>0</v>
      </c>
      <c r="E42" s="225">
        <v>0</v>
      </c>
      <c r="F42" s="165">
        <v>0</v>
      </c>
      <c r="G42" s="240">
        <v>0</v>
      </c>
      <c r="H42" s="241">
        <v>0</v>
      </c>
    </row>
    <row r="43" spans="1:8" ht="15.75" thickBot="1" x14ac:dyDescent="0.25">
      <c r="A43" s="166"/>
      <c r="B43" s="164"/>
      <c r="C43" s="225"/>
      <c r="D43" s="225"/>
      <c r="E43" s="225"/>
      <c r="F43" s="165"/>
      <c r="G43" s="240"/>
      <c r="H43" s="241"/>
    </row>
    <row r="44" spans="1:8" ht="17.25" thickTop="1" thickBot="1" x14ac:dyDescent="0.3">
      <c r="A44" s="173" t="s">
        <v>14</v>
      </c>
      <c r="B44" s="174"/>
      <c r="C44" s="227">
        <f>SUM(C40:C43)</f>
        <v>0</v>
      </c>
      <c r="D44" s="229">
        <f>SUM(D40:D43)</f>
        <v>0</v>
      </c>
      <c r="E44" s="270">
        <f>SUM(E40:E43)</f>
        <v>0</v>
      </c>
      <c r="F44" s="175">
        <v>0</v>
      </c>
      <c r="G44" s="244">
        <v>0</v>
      </c>
      <c r="H44" s="245">
        <v>0</v>
      </c>
    </row>
    <row r="45" spans="1:8" ht="15.75" thickTop="1" x14ac:dyDescent="0.2">
      <c r="A45" s="166"/>
      <c r="B45" s="167"/>
      <c r="C45" s="225"/>
      <c r="D45" s="225"/>
      <c r="E45" s="225"/>
      <c r="F45" s="165"/>
      <c r="G45" s="240"/>
      <c r="H45" s="241"/>
    </row>
    <row r="46" spans="1:8" ht="15.75" x14ac:dyDescent="0.25">
      <c r="A46" s="163" t="s">
        <v>67</v>
      </c>
      <c r="B46" s="164">
        <f>DATE(24,7,1)</f>
        <v>8949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ht="15.75" x14ac:dyDescent="0.25">
      <c r="A47" s="163"/>
      <c r="B47" s="164">
        <f>DATE(24,8,1)</f>
        <v>8980</v>
      </c>
      <c r="C47" s="225">
        <v>0</v>
      </c>
      <c r="D47" s="225">
        <v>0</v>
      </c>
      <c r="E47" s="225">
        <v>0</v>
      </c>
      <c r="F47" s="165">
        <v>0</v>
      </c>
      <c r="G47" s="240">
        <v>0</v>
      </c>
      <c r="H47" s="241">
        <v>0</v>
      </c>
    </row>
    <row r="48" spans="1:8" ht="15.75" x14ac:dyDescent="0.25">
      <c r="A48" s="163"/>
      <c r="B48" s="164">
        <f>DATE(24,9,1)</f>
        <v>9011</v>
      </c>
      <c r="C48" s="225">
        <v>0</v>
      </c>
      <c r="D48" s="225">
        <v>0</v>
      </c>
      <c r="E48" s="225">
        <v>0</v>
      </c>
      <c r="F48" s="165">
        <v>0</v>
      </c>
      <c r="G48" s="240">
        <v>0</v>
      </c>
      <c r="H48" s="241">
        <v>0</v>
      </c>
    </row>
    <row r="49" spans="1:8" ht="15.75" thickBot="1" x14ac:dyDescent="0.25">
      <c r="A49" s="166"/>
      <c r="B49" s="164"/>
      <c r="C49" s="225"/>
      <c r="D49" s="225"/>
      <c r="E49" s="225"/>
      <c r="F49" s="165"/>
      <c r="G49" s="240"/>
      <c r="H49" s="241"/>
    </row>
    <row r="50" spans="1:8" ht="17.25" thickTop="1" thickBot="1" x14ac:dyDescent="0.3">
      <c r="A50" s="173" t="s">
        <v>14</v>
      </c>
      <c r="B50" s="174"/>
      <c r="C50" s="227">
        <f>SUM(C46:C49)</f>
        <v>0</v>
      </c>
      <c r="D50" s="229">
        <f>SUM(D46:D49)</f>
        <v>0</v>
      </c>
      <c r="E50" s="270">
        <f>SUM(E46:E49)</f>
        <v>0</v>
      </c>
      <c r="F50" s="175">
        <v>0</v>
      </c>
      <c r="G50" s="244">
        <v>0</v>
      </c>
      <c r="H50" s="245">
        <v>0</v>
      </c>
    </row>
    <row r="51" spans="1:8" ht="15.75" thickTop="1" x14ac:dyDescent="0.2">
      <c r="A51" s="166"/>
      <c r="B51" s="167"/>
      <c r="C51" s="225"/>
      <c r="D51" s="225"/>
      <c r="E51" s="225"/>
      <c r="F51" s="165"/>
      <c r="G51" s="240"/>
      <c r="H51" s="241"/>
    </row>
    <row r="52" spans="1:8" ht="15.75" x14ac:dyDescent="0.25">
      <c r="A52" s="163" t="s">
        <v>69</v>
      </c>
      <c r="B52" s="164">
        <f>DATE(24,7,1)</f>
        <v>8949</v>
      </c>
      <c r="C52" s="225">
        <v>0</v>
      </c>
      <c r="D52" s="225">
        <v>0</v>
      </c>
      <c r="E52" s="225">
        <v>0</v>
      </c>
      <c r="F52" s="165">
        <v>0</v>
      </c>
      <c r="G52" s="240">
        <v>0</v>
      </c>
      <c r="H52" s="241">
        <v>0</v>
      </c>
    </row>
    <row r="53" spans="1:8" ht="15.75" x14ac:dyDescent="0.25">
      <c r="A53" s="163"/>
      <c r="B53" s="164">
        <f>DATE(24,8,1)</f>
        <v>8980</v>
      </c>
      <c r="C53" s="225">
        <v>0</v>
      </c>
      <c r="D53" s="225">
        <v>0</v>
      </c>
      <c r="E53" s="225">
        <v>0</v>
      </c>
      <c r="F53" s="165">
        <v>0</v>
      </c>
      <c r="G53" s="240">
        <v>0</v>
      </c>
      <c r="H53" s="241">
        <v>0</v>
      </c>
    </row>
    <row r="54" spans="1:8" ht="15.75" x14ac:dyDescent="0.25">
      <c r="A54" s="163"/>
      <c r="B54" s="164">
        <f>DATE(24,9,1)</f>
        <v>9011</v>
      </c>
      <c r="C54" s="225">
        <v>0</v>
      </c>
      <c r="D54" s="225">
        <v>0</v>
      </c>
      <c r="E54" s="225">
        <v>0</v>
      </c>
      <c r="F54" s="165">
        <v>0</v>
      </c>
      <c r="G54" s="240">
        <v>0</v>
      </c>
      <c r="H54" s="241">
        <v>0</v>
      </c>
    </row>
    <row r="55" spans="1:8" ht="15.75" thickBot="1" x14ac:dyDescent="0.25">
      <c r="A55" s="166"/>
      <c r="B55" s="164"/>
      <c r="C55" s="225"/>
      <c r="D55" s="225"/>
      <c r="E55" s="225"/>
      <c r="F55" s="165"/>
      <c r="G55" s="240"/>
      <c r="H55" s="241"/>
    </row>
    <row r="56" spans="1:8" ht="17.25" thickTop="1" thickBot="1" x14ac:dyDescent="0.3">
      <c r="A56" s="173" t="s">
        <v>14</v>
      </c>
      <c r="B56" s="174"/>
      <c r="C56" s="227">
        <f>SUM(C52:C55)</f>
        <v>0</v>
      </c>
      <c r="D56" s="229">
        <f>SUM(D52:D55)</f>
        <v>0</v>
      </c>
      <c r="E56" s="270">
        <f>SUM(E52:E55)</f>
        <v>0</v>
      </c>
      <c r="F56" s="175">
        <v>0</v>
      </c>
      <c r="G56" s="248">
        <v>0</v>
      </c>
      <c r="H56" s="269">
        <v>0</v>
      </c>
    </row>
    <row r="57" spans="1:8" ht="15.75" thickTop="1" x14ac:dyDescent="0.2">
      <c r="A57" s="166"/>
      <c r="B57" s="178"/>
      <c r="C57" s="228"/>
      <c r="D57" s="228"/>
      <c r="E57" s="228"/>
      <c r="F57" s="179"/>
      <c r="G57" s="246"/>
      <c r="H57" s="247"/>
    </row>
    <row r="58" spans="1:8" ht="15.75" x14ac:dyDescent="0.25">
      <c r="A58" s="163" t="s">
        <v>16</v>
      </c>
      <c r="B58" s="164">
        <f>DATE(24,7,1)</f>
        <v>8949</v>
      </c>
      <c r="C58" s="225">
        <v>0</v>
      </c>
      <c r="D58" s="225">
        <v>0</v>
      </c>
      <c r="E58" s="225">
        <v>0</v>
      </c>
      <c r="F58" s="165">
        <v>0</v>
      </c>
      <c r="G58" s="240">
        <v>0</v>
      </c>
      <c r="H58" s="241">
        <v>0</v>
      </c>
    </row>
    <row r="59" spans="1:8" ht="15.75" x14ac:dyDescent="0.25">
      <c r="A59" s="163"/>
      <c r="B59" s="164">
        <f>DATE(24,8,1)</f>
        <v>8980</v>
      </c>
      <c r="C59" s="225">
        <v>0</v>
      </c>
      <c r="D59" s="225">
        <v>0</v>
      </c>
      <c r="E59" s="225">
        <v>0</v>
      </c>
      <c r="F59" s="165">
        <v>0</v>
      </c>
      <c r="G59" s="240">
        <v>0</v>
      </c>
      <c r="H59" s="241">
        <v>0</v>
      </c>
    </row>
    <row r="60" spans="1:8" ht="15.75" x14ac:dyDescent="0.25">
      <c r="A60" s="163"/>
      <c r="B60" s="164">
        <f>DATE(24,9,1)</f>
        <v>9011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6.5" thickBot="1" x14ac:dyDescent="0.3">
      <c r="A61" s="163"/>
      <c r="B61" s="164"/>
      <c r="C61" s="225"/>
      <c r="D61" s="225"/>
      <c r="E61" s="225"/>
      <c r="F61" s="165"/>
      <c r="G61" s="240"/>
      <c r="H61" s="241"/>
    </row>
    <row r="62" spans="1:8" ht="17.25" thickTop="1" thickBot="1" x14ac:dyDescent="0.3">
      <c r="A62" s="173" t="s">
        <v>14</v>
      </c>
      <c r="B62" s="180"/>
      <c r="C62" s="227">
        <f>SUM(C58:C61)</f>
        <v>0</v>
      </c>
      <c r="D62" s="227">
        <f>SUM(D58:D61)</f>
        <v>0</v>
      </c>
      <c r="E62" s="227">
        <f>SUM(E58:E61)</f>
        <v>0</v>
      </c>
      <c r="F62" s="175">
        <v>0</v>
      </c>
      <c r="G62" s="244">
        <v>0</v>
      </c>
      <c r="H62" s="245">
        <v>0</v>
      </c>
    </row>
    <row r="63" spans="1:8" ht="15.75" thickTop="1" x14ac:dyDescent="0.2">
      <c r="A63" s="170"/>
      <c r="B63" s="171"/>
      <c r="C63" s="226"/>
      <c r="D63" s="226"/>
      <c r="E63" s="226"/>
      <c r="F63" s="172"/>
      <c r="G63" s="242"/>
      <c r="H63" s="243"/>
    </row>
    <row r="64" spans="1:8" ht="15.75" x14ac:dyDescent="0.25">
      <c r="A64" s="163" t="s">
        <v>53</v>
      </c>
      <c r="B64" s="164">
        <f>DATE(24,7,1)</f>
        <v>8949</v>
      </c>
      <c r="C64" s="225">
        <v>1481325</v>
      </c>
      <c r="D64" s="225">
        <v>68164.28</v>
      </c>
      <c r="E64" s="225">
        <v>0</v>
      </c>
      <c r="F64" s="165">
        <v>1</v>
      </c>
      <c r="G64" s="240">
        <f>+D64/C64</f>
        <v>4.6015749413531801E-2</v>
      </c>
      <c r="H64" s="288">
        <f>1-G64</f>
        <v>0.95398425058646819</v>
      </c>
    </row>
    <row r="65" spans="1:8" ht="15.75" x14ac:dyDescent="0.25">
      <c r="A65" s="163"/>
      <c r="B65" s="164">
        <f>DATE(24,8,1)</f>
        <v>8980</v>
      </c>
      <c r="C65" s="225">
        <v>1838291</v>
      </c>
      <c r="D65" s="225">
        <v>71751.61</v>
      </c>
      <c r="E65" s="225">
        <v>0</v>
      </c>
      <c r="F65" s="165">
        <v>1</v>
      </c>
      <c r="G65" s="240">
        <f>+D65/C65</f>
        <v>3.9031693023574614E-2</v>
      </c>
      <c r="H65" s="288">
        <f>1-G65</f>
        <v>0.96096830697642543</v>
      </c>
    </row>
    <row r="66" spans="1:8" ht="15.75" x14ac:dyDescent="0.25">
      <c r="A66" s="163"/>
      <c r="B66" s="164">
        <f>DATE(24,9,1)</f>
        <v>9011</v>
      </c>
      <c r="C66" s="225">
        <v>1248806</v>
      </c>
      <c r="D66" s="225">
        <v>43866.52</v>
      </c>
      <c r="E66" s="225">
        <v>0</v>
      </c>
      <c r="F66" s="165">
        <v>1</v>
      </c>
      <c r="G66" s="240">
        <f>+D66/C66</f>
        <v>3.5126769089834607E-2</v>
      </c>
      <c r="H66" s="288">
        <f>1-G66</f>
        <v>0.96487323091016541</v>
      </c>
    </row>
    <row r="67" spans="1:8" ht="15.75" thickBot="1" x14ac:dyDescent="0.25">
      <c r="A67" s="166"/>
      <c r="B67" s="167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SUM(C64:C67)</f>
        <v>4568422</v>
      </c>
      <c r="D68" s="227">
        <f>SUM(D64:D67)</f>
        <v>183782.41</v>
      </c>
      <c r="E68" s="227">
        <f>SUM(E64:E67)</f>
        <v>0</v>
      </c>
      <c r="F68" s="175">
        <v>1</v>
      </c>
      <c r="G68" s="290">
        <f>+D68/C68</f>
        <v>4.0228860205996732E-2</v>
      </c>
      <c r="H68" s="291">
        <f>1-G68</f>
        <v>0.9597711397940033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54</v>
      </c>
      <c r="B70" s="164">
        <f>DATE(24,7,1)</f>
        <v>8949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DATE(24,8,1)</f>
        <v>8980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41">
        <v>0</v>
      </c>
    </row>
    <row r="72" spans="1:8" ht="15.75" x14ac:dyDescent="0.25">
      <c r="A72" s="163"/>
      <c r="B72" s="164">
        <f>DATE(24,9,1)</f>
        <v>9011</v>
      </c>
      <c r="C72" s="225">
        <v>0</v>
      </c>
      <c r="D72" s="225">
        <v>0</v>
      </c>
      <c r="E72" s="225">
        <v>0</v>
      </c>
      <c r="F72" s="165">
        <v>0</v>
      </c>
      <c r="G72" s="240">
        <v>0</v>
      </c>
      <c r="H72" s="241">
        <v>0</v>
      </c>
    </row>
    <row r="73" spans="1:8" ht="15.75" thickBot="1" x14ac:dyDescent="0.25">
      <c r="A73" s="166"/>
      <c r="B73" s="167"/>
      <c r="C73" s="225"/>
      <c r="D73" s="225"/>
      <c r="E73" s="225"/>
      <c r="F73" s="165"/>
      <c r="G73" s="240"/>
      <c r="H73" s="241"/>
    </row>
    <row r="74" spans="1:8" ht="17.25" thickTop="1" thickBot="1" x14ac:dyDescent="0.3">
      <c r="A74" s="181" t="s">
        <v>14</v>
      </c>
      <c r="B74" s="182"/>
      <c r="C74" s="229">
        <f>SUM(C70:C73)</f>
        <v>0</v>
      </c>
      <c r="D74" s="229">
        <f>SUM(D70:D73)</f>
        <v>0</v>
      </c>
      <c r="E74" s="229">
        <f>SUM(E70:E73)</f>
        <v>0</v>
      </c>
      <c r="F74" s="175">
        <v>0</v>
      </c>
      <c r="G74" s="244">
        <v>0</v>
      </c>
      <c r="H74" s="245">
        <v>0</v>
      </c>
    </row>
    <row r="75" spans="1:8" ht="15.75" thickTop="1" x14ac:dyDescent="0.2">
      <c r="A75" s="166"/>
      <c r="B75" s="167"/>
      <c r="C75" s="225"/>
      <c r="D75" s="225"/>
      <c r="E75" s="225"/>
      <c r="F75" s="165"/>
      <c r="G75" s="240"/>
      <c r="H75" s="241"/>
    </row>
    <row r="76" spans="1:8" ht="15.75" x14ac:dyDescent="0.25">
      <c r="A76" s="163" t="s">
        <v>37</v>
      </c>
      <c r="B76" s="164">
        <f>DATE(24,7,1)</f>
        <v>8949</v>
      </c>
      <c r="C76" s="225">
        <v>0</v>
      </c>
      <c r="D76" s="225">
        <v>0</v>
      </c>
      <c r="E76" s="225">
        <v>179389.2</v>
      </c>
      <c r="F76" s="165">
        <f>+(D76-E76)/E76</f>
        <v>-1</v>
      </c>
      <c r="G76" s="240">
        <v>0</v>
      </c>
      <c r="H76" s="288">
        <v>0</v>
      </c>
    </row>
    <row r="77" spans="1:8" ht="15.75" x14ac:dyDescent="0.25">
      <c r="A77" s="163"/>
      <c r="B77" s="164">
        <f>DATE(24,8,1)</f>
        <v>8980</v>
      </c>
      <c r="C77" s="225">
        <v>0</v>
      </c>
      <c r="D77" s="225">
        <v>0</v>
      </c>
      <c r="E77" s="225">
        <v>198288.36</v>
      </c>
      <c r="F77" s="165">
        <f>+(D77-E77)/E77</f>
        <v>-1</v>
      </c>
      <c r="G77" s="240">
        <v>0</v>
      </c>
      <c r="H77" s="288">
        <v>0</v>
      </c>
    </row>
    <row r="78" spans="1:8" ht="15.75" x14ac:dyDescent="0.25">
      <c r="A78" s="163"/>
      <c r="B78" s="164">
        <f>DATE(24,9,1)</f>
        <v>9011</v>
      </c>
      <c r="C78" s="225">
        <v>0</v>
      </c>
      <c r="D78" s="225">
        <v>0</v>
      </c>
      <c r="E78" s="225">
        <v>223122.42</v>
      </c>
      <c r="F78" s="165">
        <f>+(D78-E78)/E78</f>
        <v>-1</v>
      </c>
      <c r="G78" s="240">
        <v>0</v>
      </c>
      <c r="H78" s="288">
        <v>0</v>
      </c>
    </row>
    <row r="79" spans="1:8" ht="15.75" thickBot="1" x14ac:dyDescent="0.25">
      <c r="A79" s="166"/>
      <c r="B79" s="167"/>
      <c r="C79" s="225"/>
      <c r="D79" s="225"/>
      <c r="E79" s="225"/>
      <c r="F79" s="165"/>
      <c r="G79" s="240"/>
      <c r="H79" s="241"/>
    </row>
    <row r="80" spans="1:8" ht="17.25" thickTop="1" thickBot="1" x14ac:dyDescent="0.3">
      <c r="A80" s="173" t="s">
        <v>14</v>
      </c>
      <c r="B80" s="174"/>
      <c r="C80" s="227">
        <f>SUM(C76:C79)</f>
        <v>0</v>
      </c>
      <c r="D80" s="227">
        <f>SUM(D76:D79)</f>
        <v>0</v>
      </c>
      <c r="E80" s="227">
        <f>SUM(E76:E79)</f>
        <v>600799.98</v>
      </c>
      <c r="F80" s="175">
        <f>+(D80-E80)/E80</f>
        <v>-1</v>
      </c>
      <c r="G80" s="244">
        <v>0</v>
      </c>
      <c r="H80" s="245">
        <v>0</v>
      </c>
    </row>
    <row r="81" spans="1:8" ht="15.75" thickTop="1" x14ac:dyDescent="0.2">
      <c r="A81" s="166"/>
      <c r="B81" s="167"/>
      <c r="C81" s="225"/>
      <c r="D81" s="225"/>
      <c r="E81" s="225"/>
      <c r="F81" s="165"/>
      <c r="G81" s="240"/>
      <c r="H81" s="241"/>
    </row>
    <row r="82" spans="1:8" ht="15.75" x14ac:dyDescent="0.25">
      <c r="A82" s="163" t="s">
        <v>57</v>
      </c>
      <c r="B82" s="164">
        <f>DATE(24,7,1)</f>
        <v>8949</v>
      </c>
      <c r="C82" s="225">
        <v>0</v>
      </c>
      <c r="D82" s="225">
        <v>0</v>
      </c>
      <c r="E82" s="225">
        <v>0</v>
      </c>
      <c r="F82" s="165">
        <v>0</v>
      </c>
      <c r="G82" s="240">
        <v>0</v>
      </c>
      <c r="H82" s="241">
        <v>0</v>
      </c>
    </row>
    <row r="83" spans="1:8" ht="15.75" x14ac:dyDescent="0.25">
      <c r="A83" s="163"/>
      <c r="B83" s="164">
        <f>DATE(24,8,1)</f>
        <v>8980</v>
      </c>
      <c r="C83" s="225">
        <v>0</v>
      </c>
      <c r="D83" s="225">
        <v>0</v>
      </c>
      <c r="E83" s="225">
        <v>0</v>
      </c>
      <c r="F83" s="165">
        <v>0</v>
      </c>
      <c r="G83" s="240">
        <v>0</v>
      </c>
      <c r="H83" s="241">
        <v>0</v>
      </c>
    </row>
    <row r="84" spans="1:8" ht="15.75" x14ac:dyDescent="0.25">
      <c r="A84" s="163"/>
      <c r="B84" s="164">
        <f>DATE(24,9,1)</f>
        <v>9011</v>
      </c>
      <c r="C84" s="225">
        <v>0</v>
      </c>
      <c r="D84" s="225">
        <v>0</v>
      </c>
      <c r="E84" s="225">
        <v>0</v>
      </c>
      <c r="F84" s="165">
        <v>0</v>
      </c>
      <c r="G84" s="240">
        <v>0</v>
      </c>
      <c r="H84" s="241">
        <v>0</v>
      </c>
    </row>
    <row r="85" spans="1:8" ht="15.75" thickBot="1" x14ac:dyDescent="0.25">
      <c r="A85" s="166"/>
      <c r="B85" s="167"/>
      <c r="C85" s="225"/>
      <c r="D85" s="225"/>
      <c r="E85" s="225"/>
      <c r="F85" s="165"/>
      <c r="G85" s="240"/>
      <c r="H85" s="241"/>
    </row>
    <row r="86" spans="1:8" ht="17.25" thickTop="1" thickBot="1" x14ac:dyDescent="0.3">
      <c r="A86" s="168" t="s">
        <v>14</v>
      </c>
      <c r="B86" s="154"/>
      <c r="C86" s="222">
        <f>SUM(C82:C85)</f>
        <v>0</v>
      </c>
      <c r="D86" s="222">
        <f>SUM(D82:D85)</f>
        <v>0</v>
      </c>
      <c r="E86" s="222">
        <f>SUM(E82:E85)</f>
        <v>0</v>
      </c>
      <c r="F86" s="175">
        <v>0</v>
      </c>
      <c r="G86" s="244">
        <v>0</v>
      </c>
      <c r="H86" s="245">
        <v>0</v>
      </c>
    </row>
    <row r="87" spans="1:8" ht="16.5" thickTop="1" thickBot="1" x14ac:dyDescent="0.25">
      <c r="A87" s="170"/>
      <c r="B87" s="171"/>
      <c r="C87" s="226"/>
      <c r="D87" s="226"/>
      <c r="E87" s="226"/>
      <c r="F87" s="172"/>
      <c r="G87" s="242"/>
      <c r="H87" s="243"/>
    </row>
    <row r="88" spans="1:8" ht="17.25" thickTop="1" thickBot="1" x14ac:dyDescent="0.3">
      <c r="A88" s="183" t="s">
        <v>38</v>
      </c>
      <c r="B88" s="154"/>
      <c r="C88" s="222">
        <f>C86+C80+C62+C50+C38+C26+C14+C32+C74+C20+C56+C68+C44</f>
        <v>4568422</v>
      </c>
      <c r="D88" s="222">
        <f>D86+D80+D62+D50+D38+D26+D14+D32+D74+D20+D56+D68+D44</f>
        <v>183782.41</v>
      </c>
      <c r="E88" s="222">
        <f>E86+E80+E62+E50+E38+E26+E14+E32+E74+E20+E56+E68+E44</f>
        <v>600799.98</v>
      </c>
      <c r="F88" s="175">
        <f>+(D88-E88)/E88</f>
        <v>-0.69410383469054038</v>
      </c>
      <c r="G88" s="235">
        <f>D88/C88</f>
        <v>4.0228860205996732E-2</v>
      </c>
      <c r="H88" s="236">
        <f>1-G88</f>
        <v>0.9597711397940033</v>
      </c>
    </row>
    <row r="89" spans="1:8" ht="17.25" thickTop="1" thickBot="1" x14ac:dyDescent="0.3">
      <c r="A89" s="183"/>
      <c r="B89" s="154"/>
      <c r="C89" s="222"/>
      <c r="D89" s="222"/>
      <c r="E89" s="222"/>
      <c r="F89" s="169"/>
      <c r="G89" s="235"/>
      <c r="H89" s="236"/>
    </row>
    <row r="90" spans="1:8" ht="17.25" thickTop="1" thickBot="1" x14ac:dyDescent="0.3">
      <c r="A90" s="183" t="s">
        <v>39</v>
      </c>
      <c r="B90" s="154"/>
      <c r="C90" s="222">
        <f>+C12+C18+C24+C30+C36+C42+C48+C54+C60+C66+C72+C78+C84</f>
        <v>1248806</v>
      </c>
      <c r="D90" s="222">
        <f>+D12+D18+D24+D30+D36+D42+D48+D54+D60+D66+D72+D78+D84</f>
        <v>43866.52</v>
      </c>
      <c r="E90" s="222">
        <f>+E12+E18+E24+E30+E36+E42+E48+E54+E60+E66+E72+E78+E84</f>
        <v>223122.42</v>
      </c>
      <c r="F90" s="175">
        <f>+(D90-E90)/E90</f>
        <v>-0.80339707681549888</v>
      </c>
      <c r="G90" s="235">
        <f>D90/C90</f>
        <v>3.5126769089834607E-2</v>
      </c>
      <c r="H90" s="245">
        <f>1-G90</f>
        <v>0.96487323091016541</v>
      </c>
    </row>
    <row r="91" spans="1:8" ht="16.5" thickTop="1" x14ac:dyDescent="0.25">
      <c r="A91" s="184"/>
      <c r="B91" s="185"/>
      <c r="C91" s="230"/>
      <c r="D91" s="230"/>
      <c r="E91" s="230"/>
      <c r="F91" s="186"/>
      <c r="G91" s="249"/>
      <c r="H91" s="249"/>
    </row>
    <row r="92" spans="1:8" ht="18.75" x14ac:dyDescent="0.3">
      <c r="A92" s="187" t="s">
        <v>49</v>
      </c>
      <c r="B92" s="188"/>
      <c r="C92" s="231"/>
      <c r="D92" s="231"/>
      <c r="E92" s="231"/>
      <c r="F92" s="189"/>
      <c r="G92" s="250"/>
      <c r="H92" s="250"/>
    </row>
    <row r="93" spans="1:8" ht="15.75" x14ac:dyDescent="0.25">
      <c r="A93" s="190"/>
      <c r="B93" s="188"/>
      <c r="C93" s="231"/>
      <c r="D93" s="231"/>
      <c r="E93" s="231"/>
      <c r="F93" s="189"/>
      <c r="G93" s="256"/>
      <c r="H93" s="256"/>
    </row>
  </sheetData>
  <printOptions horizontalCentered="1"/>
  <pageMargins left="0.7" right="0.45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94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118534778.8</v>
      </c>
      <c r="D10" s="225">
        <v>11227961.560000001</v>
      </c>
      <c r="E10" s="225">
        <v>12225071.779999999</v>
      </c>
      <c r="F10" s="165">
        <f>(+D10-E10)/E10</f>
        <v>-8.1562729278306031E-2</v>
      </c>
      <c r="G10" s="240">
        <f>D10/C10</f>
        <v>9.4722930043549383E-2</v>
      </c>
      <c r="H10" s="241">
        <f>1-G10</f>
        <v>0.90527706995645063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>(+D11-E11)/E11</f>
        <v>5.4713810434131475E-2</v>
      </c>
      <c r="G11" s="240">
        <f>D11/C11</f>
        <v>9.3913961842514132E-2</v>
      </c>
      <c r="H11" s="241">
        <f>1-G11</f>
        <v>0.9060860381574859</v>
      </c>
      <c r="I11" s="156"/>
    </row>
    <row r="12" spans="1:9" ht="15.75" x14ac:dyDescent="0.25">
      <c r="A12" s="163"/>
      <c r="B12" s="164">
        <f>DATE(24,9,1)</f>
        <v>9011</v>
      </c>
      <c r="C12" s="225">
        <v>114630255.55</v>
      </c>
      <c r="D12" s="225">
        <v>10612528.25</v>
      </c>
      <c r="E12" s="225">
        <v>10888864.68</v>
      </c>
      <c r="F12" s="165">
        <f>(+D12-E12)/E12</f>
        <v>-2.5377891829949685E-2</v>
      </c>
      <c r="G12" s="240">
        <f>D12/C12</f>
        <v>9.2580516366126173E-2</v>
      </c>
      <c r="H12" s="241">
        <f>1-G12</f>
        <v>0.90741948363387381</v>
      </c>
      <c r="I12" s="156"/>
    </row>
    <row r="13" spans="1:9" ht="15.75" thickBot="1" x14ac:dyDescent="0.25">
      <c r="A13" s="166"/>
      <c r="B13" s="167"/>
      <c r="C13" s="225"/>
      <c r="D13" s="225"/>
      <c r="E13" s="225"/>
      <c r="F13" s="165"/>
      <c r="G13" s="240"/>
      <c r="H13" s="241"/>
      <c r="I13" s="156"/>
    </row>
    <row r="14" spans="1:9" ht="17.25" thickTop="1" thickBot="1" x14ac:dyDescent="0.3">
      <c r="A14" s="168" t="s">
        <v>14</v>
      </c>
      <c r="B14" s="154"/>
      <c r="C14" s="222">
        <f>SUM(C10:C13)</f>
        <v>358332798.22000003</v>
      </c>
      <c r="D14" s="222">
        <f>SUM(D10:D13)</f>
        <v>33595490.409999996</v>
      </c>
      <c r="E14" s="222">
        <f>SUM(E10:E13)</f>
        <v>34259140.479999997</v>
      </c>
      <c r="F14" s="169">
        <f>(+D14-E14)/E14</f>
        <v>-1.9371474610912372E-2</v>
      </c>
      <c r="G14" s="235">
        <f>D14/C14</f>
        <v>9.3754996966183085E-2</v>
      </c>
      <c r="H14" s="236">
        <f>1-G14</f>
        <v>0.90624500303381694</v>
      </c>
      <c r="I14" s="156"/>
    </row>
    <row r="15" spans="1:9" ht="15.75" thickTop="1" x14ac:dyDescent="0.2">
      <c r="A15" s="170"/>
      <c r="B15" s="171"/>
      <c r="C15" s="226"/>
      <c r="D15" s="226"/>
      <c r="E15" s="226"/>
      <c r="F15" s="172"/>
      <c r="G15" s="242"/>
      <c r="H15" s="243"/>
      <c r="I15" s="156"/>
    </row>
    <row r="16" spans="1:9" ht="15.75" x14ac:dyDescent="0.25">
      <c r="A16" s="19" t="s">
        <v>48</v>
      </c>
      <c r="B16" s="164">
        <f>DATE(24,7,1)</f>
        <v>8949</v>
      </c>
      <c r="C16" s="225">
        <v>64713519.609999999</v>
      </c>
      <c r="D16" s="225">
        <v>6199829.7599999998</v>
      </c>
      <c r="E16" s="225">
        <v>7575374.3200000003</v>
      </c>
      <c r="F16" s="165">
        <f>(+D16-E16)/E16</f>
        <v>-0.18158106806265389</v>
      </c>
      <c r="G16" s="240">
        <f>D16/C16</f>
        <v>9.5804243029333824E-2</v>
      </c>
      <c r="H16" s="241">
        <f>1-G16</f>
        <v>0.90419575697066623</v>
      </c>
      <c r="I16" s="156"/>
    </row>
    <row r="17" spans="1:9" ht="15.75" x14ac:dyDescent="0.25">
      <c r="A17" s="19"/>
      <c r="B17" s="164">
        <f>DATE(24,8,1)</f>
        <v>8980</v>
      </c>
      <c r="C17" s="225">
        <v>65418921.670000002</v>
      </c>
      <c r="D17" s="225">
        <v>6511097.2999999998</v>
      </c>
      <c r="E17" s="225">
        <v>7089689.0300000003</v>
      </c>
      <c r="F17" s="165">
        <f>(+D17-E17)/E17</f>
        <v>-8.1610311475114217E-2</v>
      </c>
      <c r="G17" s="240">
        <f>D17/C17</f>
        <v>9.9529266667595928E-2</v>
      </c>
      <c r="H17" s="241">
        <f>1-G17</f>
        <v>0.90047073333240402</v>
      </c>
      <c r="I17" s="156"/>
    </row>
    <row r="18" spans="1:9" ht="15.75" x14ac:dyDescent="0.25">
      <c r="A18" s="19"/>
      <c r="B18" s="164">
        <f>DATE(24,9,1)</f>
        <v>9011</v>
      </c>
      <c r="C18" s="225">
        <v>60663890.479999997</v>
      </c>
      <c r="D18" s="225">
        <v>6272930.8499999996</v>
      </c>
      <c r="E18" s="225">
        <v>6608716.9299999997</v>
      </c>
      <c r="F18" s="165">
        <f>(+D18-E18)/E18</f>
        <v>-5.080957219936489E-2</v>
      </c>
      <c r="G18" s="240">
        <f>D18/C18</f>
        <v>0.10340469100095211</v>
      </c>
      <c r="H18" s="241">
        <f>1-G18</f>
        <v>0.89659530899904794</v>
      </c>
      <c r="I18" s="156"/>
    </row>
    <row r="19" spans="1:9" ht="15.75" thickBot="1" x14ac:dyDescent="0.25">
      <c r="A19" s="166"/>
      <c r="B19" s="164"/>
      <c r="C19" s="225"/>
      <c r="D19" s="225"/>
      <c r="E19" s="225"/>
      <c r="F19" s="165"/>
      <c r="G19" s="240"/>
      <c r="H19" s="241"/>
      <c r="I19" s="156"/>
    </row>
    <row r="20" spans="1:9" ht="17.25" thickTop="1" thickBot="1" x14ac:dyDescent="0.3">
      <c r="A20" s="168" t="s">
        <v>14</v>
      </c>
      <c r="B20" s="154"/>
      <c r="C20" s="222">
        <f>SUM(C16:C19)</f>
        <v>190796331.75999999</v>
      </c>
      <c r="D20" s="222">
        <f>SUM(D16:D19)</f>
        <v>18983857.909999996</v>
      </c>
      <c r="E20" s="222">
        <f>SUM(E16:E19)</f>
        <v>21273780.280000001</v>
      </c>
      <c r="F20" s="169">
        <f>(+D20-E20)/E20</f>
        <v>-0.10764059512980946</v>
      </c>
      <c r="G20" s="235">
        <f>D20/C20</f>
        <v>9.949802354627825E-2</v>
      </c>
      <c r="H20" s="236">
        <f>1-G20</f>
        <v>0.90050197645372176</v>
      </c>
      <c r="I20" s="156"/>
    </row>
    <row r="21" spans="1:9" ht="15.75" thickTop="1" x14ac:dyDescent="0.2">
      <c r="A21" s="170"/>
      <c r="B21" s="171"/>
      <c r="C21" s="226"/>
      <c r="D21" s="226"/>
      <c r="E21" s="226"/>
      <c r="F21" s="172"/>
      <c r="G21" s="242"/>
      <c r="H21" s="243"/>
      <c r="I21" s="156"/>
    </row>
    <row r="22" spans="1:9" ht="15.75" x14ac:dyDescent="0.25">
      <c r="A22" s="19" t="s">
        <v>62</v>
      </c>
      <c r="B22" s="164">
        <f>DATE(24,7,1)</f>
        <v>8949</v>
      </c>
      <c r="C22" s="225">
        <v>34246805.920000002</v>
      </c>
      <c r="D22" s="225">
        <v>3585663.09</v>
      </c>
      <c r="E22" s="225">
        <v>3728602.99</v>
      </c>
      <c r="F22" s="165">
        <f>(+D22-E22)/E22</f>
        <v>-3.8336047142417909E-2</v>
      </c>
      <c r="G22" s="240">
        <f>D22/C22</f>
        <v>0.10470065729271373</v>
      </c>
      <c r="H22" s="241">
        <f>1-G22</f>
        <v>0.89529934270728628</v>
      </c>
      <c r="I22" s="156"/>
    </row>
    <row r="23" spans="1:9" ht="15.75" x14ac:dyDescent="0.25">
      <c r="A23" s="19"/>
      <c r="B23" s="164">
        <f>DATE(24,8,1)</f>
        <v>8980</v>
      </c>
      <c r="C23" s="225">
        <v>33907448.079999998</v>
      </c>
      <c r="D23" s="225">
        <v>3620973.03</v>
      </c>
      <c r="E23" s="225">
        <v>3492885.71</v>
      </c>
      <c r="F23" s="165">
        <f>(+D23-E23)/E23</f>
        <v>3.6670916438316513E-2</v>
      </c>
      <c r="G23" s="240">
        <f>D23/C23</f>
        <v>0.10678990118798701</v>
      </c>
      <c r="H23" s="241">
        <f>1-G23</f>
        <v>0.89321009881201296</v>
      </c>
      <c r="I23" s="156"/>
    </row>
    <row r="24" spans="1:9" ht="15.75" x14ac:dyDescent="0.25">
      <c r="A24" s="19"/>
      <c r="B24" s="164">
        <f>DATE(24,9,1)</f>
        <v>9011</v>
      </c>
      <c r="C24" s="225">
        <v>33139127.579999998</v>
      </c>
      <c r="D24" s="225">
        <v>3559380.36</v>
      </c>
      <c r="E24" s="225">
        <v>3669671.06</v>
      </c>
      <c r="F24" s="165">
        <f>(+D24-E24)/E24</f>
        <v>-3.0054655634448115E-2</v>
      </c>
      <c r="G24" s="240">
        <f>D24/C24</f>
        <v>0.10740718359007567</v>
      </c>
      <c r="H24" s="241">
        <f>1-G24</f>
        <v>0.89259281640992438</v>
      </c>
      <c r="I24" s="156"/>
    </row>
    <row r="25" spans="1:9" ht="15.75" thickBot="1" x14ac:dyDescent="0.25">
      <c r="A25" s="166"/>
      <c r="B25" s="164"/>
      <c r="C25" s="225"/>
      <c r="D25" s="225"/>
      <c r="E25" s="225"/>
      <c r="F25" s="165"/>
      <c r="G25" s="240"/>
      <c r="H25" s="241"/>
      <c r="I25" s="156"/>
    </row>
    <row r="26" spans="1:9" ht="17.25" thickTop="1" thickBot="1" x14ac:dyDescent="0.3">
      <c r="A26" s="173" t="s">
        <v>14</v>
      </c>
      <c r="B26" s="174"/>
      <c r="C26" s="227">
        <f>SUM(C22:C25)</f>
        <v>101293381.58</v>
      </c>
      <c r="D26" s="227">
        <f>SUM(D22:D25)</f>
        <v>10766016.479999999</v>
      </c>
      <c r="E26" s="227">
        <f>SUM(E22:E25)</f>
        <v>10891159.76</v>
      </c>
      <c r="F26" s="175">
        <f>(+D26-E26)/E26</f>
        <v>-1.1490353897811265E-2</v>
      </c>
      <c r="G26" s="244">
        <f>D26/C26</f>
        <v>0.10628548787757826</v>
      </c>
      <c r="H26" s="245">
        <f>1-G26</f>
        <v>0.8937145121224217</v>
      </c>
      <c r="I26" s="156"/>
    </row>
    <row r="27" spans="1:9" ht="15.75" thickTop="1" x14ac:dyDescent="0.2">
      <c r="A27" s="166"/>
      <c r="B27" s="167"/>
      <c r="C27" s="225"/>
      <c r="D27" s="225"/>
      <c r="E27" s="225"/>
      <c r="F27" s="165"/>
      <c r="G27" s="240"/>
      <c r="H27" s="241"/>
      <c r="I27" s="156"/>
    </row>
    <row r="28" spans="1:9" ht="15.75" x14ac:dyDescent="0.25">
      <c r="A28" s="176" t="s">
        <v>58</v>
      </c>
      <c r="B28" s="164">
        <f>DATE(24,7,1)</f>
        <v>8949</v>
      </c>
      <c r="C28" s="225">
        <v>202610536.06999999</v>
      </c>
      <c r="D28" s="225">
        <v>17635163.969999999</v>
      </c>
      <c r="E28" s="225">
        <v>18456668.579999998</v>
      </c>
      <c r="F28" s="165">
        <f>(+D28-E28)/E28</f>
        <v>-4.4509907432059417E-2</v>
      </c>
      <c r="G28" s="240">
        <f>D28/C28</f>
        <v>8.7039718230187288E-2</v>
      </c>
      <c r="H28" s="241">
        <f>1-G28</f>
        <v>0.9129602817698127</v>
      </c>
      <c r="I28" s="156"/>
    </row>
    <row r="29" spans="1:9" ht="15.75" x14ac:dyDescent="0.25">
      <c r="A29" s="176"/>
      <c r="B29" s="164">
        <f>DATE(24,8,1)</f>
        <v>8980</v>
      </c>
      <c r="C29" s="225">
        <v>208101818.58000001</v>
      </c>
      <c r="D29" s="225">
        <v>18755463.760000002</v>
      </c>
      <c r="E29" s="225">
        <v>17397451.300000001</v>
      </c>
      <c r="F29" s="165">
        <f>(+D29-E29)/E29</f>
        <v>7.8058126824588431E-2</v>
      </c>
      <c r="G29" s="240">
        <f>D29/C29</f>
        <v>9.012638086480676E-2</v>
      </c>
      <c r="H29" s="241">
        <f>1-G29</f>
        <v>0.90987361913519327</v>
      </c>
      <c r="I29" s="156"/>
    </row>
    <row r="30" spans="1:9" ht="15.75" x14ac:dyDescent="0.25">
      <c r="A30" s="176"/>
      <c r="B30" s="164">
        <f>DATE(24,9,1)</f>
        <v>9011</v>
      </c>
      <c r="C30" s="225">
        <v>192825170.84999999</v>
      </c>
      <c r="D30" s="225">
        <v>17096556.370000001</v>
      </c>
      <c r="E30" s="225">
        <v>17402399.579999998</v>
      </c>
      <c r="F30" s="165">
        <f>(+D30-E30)/E30</f>
        <v>-1.7574772294706567E-2</v>
      </c>
      <c r="G30" s="240">
        <f>D30/C30</f>
        <v>8.8663509512974983E-2</v>
      </c>
      <c r="H30" s="241">
        <f>1-G30</f>
        <v>0.91133649048702503</v>
      </c>
      <c r="I30" s="156"/>
    </row>
    <row r="31" spans="1:9" ht="15.75" thickBot="1" x14ac:dyDescent="0.25">
      <c r="A31" s="166"/>
      <c r="B31" s="167"/>
      <c r="C31" s="225"/>
      <c r="D31" s="225"/>
      <c r="E31" s="225"/>
      <c r="F31" s="165"/>
      <c r="G31" s="240"/>
      <c r="H31" s="241"/>
      <c r="I31" s="156"/>
    </row>
    <row r="32" spans="1:9" ht="17.25" thickTop="1" thickBot="1" x14ac:dyDescent="0.3">
      <c r="A32" s="173" t="s">
        <v>14</v>
      </c>
      <c r="B32" s="177"/>
      <c r="C32" s="227">
        <f>SUM(C28:C31)</f>
        <v>603537525.5</v>
      </c>
      <c r="D32" s="227">
        <f>SUM(D28:D31)</f>
        <v>53487184.100000009</v>
      </c>
      <c r="E32" s="227">
        <f>SUM(E28:E31)</f>
        <v>53256519.459999993</v>
      </c>
      <c r="F32" s="175">
        <f>(+D32-E32)/E32</f>
        <v>4.3312000547325201E-3</v>
      </c>
      <c r="G32" s="244">
        <f>D32/C32</f>
        <v>8.8622797821375915E-2</v>
      </c>
      <c r="H32" s="245">
        <f>1-G32</f>
        <v>0.91137720217862406</v>
      </c>
      <c r="I32" s="156"/>
    </row>
    <row r="33" spans="1:9" ht="15.75" thickTop="1" x14ac:dyDescent="0.2">
      <c r="A33" s="166"/>
      <c r="B33" s="167"/>
      <c r="C33" s="225"/>
      <c r="D33" s="225"/>
      <c r="E33" s="225"/>
      <c r="F33" s="165"/>
      <c r="G33" s="240"/>
      <c r="H33" s="241"/>
      <c r="I33" s="156"/>
    </row>
    <row r="34" spans="1:9" ht="15.75" x14ac:dyDescent="0.25">
      <c r="A34" s="163" t="s">
        <v>60</v>
      </c>
      <c r="B34" s="164">
        <f>DATE(24,7,1)</f>
        <v>8949</v>
      </c>
      <c r="C34" s="225">
        <v>99443642.319999993</v>
      </c>
      <c r="D34" s="225">
        <v>9741383.2799999993</v>
      </c>
      <c r="E34" s="225">
        <v>12067335.59</v>
      </c>
      <c r="F34" s="165">
        <f>(+D34-E34)/E34</f>
        <v>-0.1927477936328777</v>
      </c>
      <c r="G34" s="240">
        <f>D34/C34</f>
        <v>9.7958834297854583E-2</v>
      </c>
      <c r="H34" s="241">
        <f>1-G34</f>
        <v>0.90204116570214543</v>
      </c>
      <c r="I34" s="156"/>
    </row>
    <row r="35" spans="1:9" ht="15.75" x14ac:dyDescent="0.25">
      <c r="A35" s="163"/>
      <c r="B35" s="164">
        <f>DATE(24,8,1)</f>
        <v>8980</v>
      </c>
      <c r="C35" s="225">
        <v>105627378.45999999</v>
      </c>
      <c r="D35" s="225">
        <v>10213981.68</v>
      </c>
      <c r="E35" s="225">
        <v>10973674.99</v>
      </c>
      <c r="F35" s="165">
        <f>(+D35-E35)/E35</f>
        <v>-6.9228705123150408E-2</v>
      </c>
      <c r="G35" s="240">
        <f>D35/C35</f>
        <v>9.6698240824635531E-2</v>
      </c>
      <c r="H35" s="241">
        <f>1-G35</f>
        <v>0.90330175917536448</v>
      </c>
      <c r="I35" s="156"/>
    </row>
    <row r="36" spans="1:9" ht="15.75" x14ac:dyDescent="0.25">
      <c r="A36" s="163"/>
      <c r="B36" s="164">
        <f>DATE(24,9,1)</f>
        <v>9011</v>
      </c>
      <c r="C36" s="225">
        <v>100621148.75</v>
      </c>
      <c r="D36" s="225">
        <v>9094034.0600000005</v>
      </c>
      <c r="E36" s="225">
        <v>10801103.67</v>
      </c>
      <c r="F36" s="165">
        <f>(+D36-E36)/E36</f>
        <v>-0.15804584995710899</v>
      </c>
      <c r="G36" s="240">
        <f>D36/C36</f>
        <v>9.0378952864022047E-2</v>
      </c>
      <c r="H36" s="241">
        <f>1-G36</f>
        <v>0.90962104713597791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73" t="s">
        <v>14</v>
      </c>
      <c r="B38" s="174"/>
      <c r="C38" s="227">
        <f>SUM(C34:C37)</f>
        <v>305692169.52999997</v>
      </c>
      <c r="D38" s="229">
        <f>SUM(D34:D37)</f>
        <v>29049399.020000003</v>
      </c>
      <c r="E38" s="270">
        <f>SUM(E34:E37)</f>
        <v>33842114.25</v>
      </c>
      <c r="F38" s="271">
        <f>(+D38-E38)/E38</f>
        <v>-0.14161985254807172</v>
      </c>
      <c r="G38" s="248">
        <f>D38/C38</f>
        <v>9.5028273261507798E-2</v>
      </c>
      <c r="H38" s="269">
        <f>1-G38</f>
        <v>0.90497172673849224</v>
      </c>
      <c r="I38" s="156"/>
    </row>
    <row r="39" spans="1:9" ht="15.75" thickTop="1" x14ac:dyDescent="0.2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5.75" x14ac:dyDescent="0.25">
      <c r="A40" s="163" t="s">
        <v>64</v>
      </c>
      <c r="B40" s="164">
        <f>DATE(24,7,1)</f>
        <v>8949</v>
      </c>
      <c r="C40" s="225">
        <v>49733278</v>
      </c>
      <c r="D40" s="225">
        <v>5096504.7300000004</v>
      </c>
      <c r="E40" s="225">
        <v>5575819.8300000001</v>
      </c>
      <c r="F40" s="165">
        <f>(+D40-E40)/E40</f>
        <v>-8.5963161402939303E-2</v>
      </c>
      <c r="G40" s="240">
        <f>D40/C40</f>
        <v>0.10247675067788616</v>
      </c>
      <c r="H40" s="241">
        <f>1-G40</f>
        <v>0.8975232493221138</v>
      </c>
      <c r="I40" s="156"/>
    </row>
    <row r="41" spans="1:9" ht="15.75" x14ac:dyDescent="0.25">
      <c r="A41" s="163"/>
      <c r="B41" s="164">
        <f>DATE(24,8,1)</f>
        <v>8980</v>
      </c>
      <c r="C41" s="225">
        <v>51492711.810000002</v>
      </c>
      <c r="D41" s="225">
        <v>5390961.3799999999</v>
      </c>
      <c r="E41" s="225">
        <v>5122977.68</v>
      </c>
      <c r="F41" s="165">
        <f>(+D41-E41)/E41</f>
        <v>5.2310143970801019E-2</v>
      </c>
      <c r="G41" s="240">
        <f>D41/C41</f>
        <v>0.10469367781389721</v>
      </c>
      <c r="H41" s="241">
        <f>1-G41</f>
        <v>0.89530632218610284</v>
      </c>
      <c r="I41" s="156"/>
    </row>
    <row r="42" spans="1:9" ht="15.75" x14ac:dyDescent="0.25">
      <c r="A42" s="163"/>
      <c r="B42" s="164">
        <f>DATE(24,9,1)</f>
        <v>9011</v>
      </c>
      <c r="C42" s="225">
        <v>50284933.159999996</v>
      </c>
      <c r="D42" s="225">
        <v>4962842.88</v>
      </c>
      <c r="E42" s="225">
        <v>4693957.13</v>
      </c>
      <c r="F42" s="165">
        <f>(+D42-E42)/E42</f>
        <v>5.7283384264738696E-2</v>
      </c>
      <c r="G42" s="240">
        <f>D42/C42</f>
        <v>9.8694431276440023E-2</v>
      </c>
      <c r="H42" s="241">
        <f>1-G42</f>
        <v>0.90130556872355994</v>
      </c>
      <c r="I42" s="156"/>
    </row>
    <row r="43" spans="1:9" ht="15.75" thickBot="1" x14ac:dyDescent="0.25">
      <c r="A43" s="166"/>
      <c r="B43" s="164"/>
      <c r="C43" s="225"/>
      <c r="D43" s="225"/>
      <c r="E43" s="225"/>
      <c r="F43" s="165"/>
      <c r="G43" s="240"/>
      <c r="H43" s="241"/>
      <c r="I43" s="156"/>
    </row>
    <row r="44" spans="1:9" ht="17.25" thickTop="1" thickBot="1" x14ac:dyDescent="0.3">
      <c r="A44" s="173" t="s">
        <v>14</v>
      </c>
      <c r="B44" s="174"/>
      <c r="C44" s="227">
        <f>SUM(C40:C43)</f>
        <v>151510922.97</v>
      </c>
      <c r="D44" s="229">
        <f>SUM(D40:D43)</f>
        <v>15450308.989999998</v>
      </c>
      <c r="E44" s="270">
        <f>SUM(E40:E43)</f>
        <v>15392754.640000001</v>
      </c>
      <c r="F44" s="271">
        <f>(+D44-E44)/E44</f>
        <v>3.7390545971827276E-3</v>
      </c>
      <c r="G44" s="248">
        <f>D44/C44</f>
        <v>0.10197488528968465</v>
      </c>
      <c r="H44" s="269">
        <f>1-G44</f>
        <v>0.89802511471031532</v>
      </c>
      <c r="I44" s="156"/>
    </row>
    <row r="45" spans="1:9" ht="15.75" thickTop="1" x14ac:dyDescent="0.2">
      <c r="A45" s="166"/>
      <c r="B45" s="167"/>
      <c r="C45" s="225"/>
      <c r="D45" s="225"/>
      <c r="E45" s="225"/>
      <c r="F45" s="165"/>
      <c r="G45" s="240"/>
      <c r="H45" s="241"/>
      <c r="I45" s="156"/>
    </row>
    <row r="46" spans="1:9" ht="15.75" x14ac:dyDescent="0.25">
      <c r="A46" s="289" t="s">
        <v>67</v>
      </c>
      <c r="B46" s="164">
        <f>DATE(24,7,1)</f>
        <v>8949</v>
      </c>
      <c r="C46" s="225">
        <v>96961191.780000001</v>
      </c>
      <c r="D46" s="225">
        <v>10642117.77</v>
      </c>
      <c r="E46" s="225">
        <v>9977929.8800000008</v>
      </c>
      <c r="F46" s="165">
        <f>(+D46-E46)/E46</f>
        <v>6.656570029934894E-2</v>
      </c>
      <c r="G46" s="240">
        <f>D46/C46</f>
        <v>0.10975646621739574</v>
      </c>
      <c r="H46" s="241">
        <f>1-G46</f>
        <v>0.89024353378260423</v>
      </c>
      <c r="I46" s="156"/>
    </row>
    <row r="47" spans="1:9" ht="15.75" x14ac:dyDescent="0.25">
      <c r="A47" s="289"/>
      <c r="B47" s="164">
        <f>DATE(24,8,1)</f>
        <v>8980</v>
      </c>
      <c r="C47" s="225">
        <v>103358368.09</v>
      </c>
      <c r="D47" s="225">
        <v>11116423.300000001</v>
      </c>
      <c r="E47" s="225">
        <v>9956028.8800000008</v>
      </c>
      <c r="F47" s="165">
        <f>(+D47-E47)/E47</f>
        <v>0.11655193390720657</v>
      </c>
      <c r="G47" s="240">
        <f>D47/C47</f>
        <v>0.10755223312272402</v>
      </c>
      <c r="H47" s="241">
        <f>1-G47</f>
        <v>0.89244776687727601</v>
      </c>
      <c r="I47" s="156"/>
    </row>
    <row r="48" spans="1:9" ht="15.75" x14ac:dyDescent="0.25">
      <c r="A48" s="289"/>
      <c r="B48" s="164">
        <f>DATE(24,9,1)</f>
        <v>9011</v>
      </c>
      <c r="C48" s="225">
        <v>92952299.620000005</v>
      </c>
      <c r="D48" s="225">
        <v>10219644.369999999</v>
      </c>
      <c r="E48" s="225">
        <v>10479555.779999999</v>
      </c>
      <c r="F48" s="165">
        <f>(+D48-E48)/E48</f>
        <v>-2.4801758343233914E-2</v>
      </c>
      <c r="G48" s="240">
        <f>D48/C48</f>
        <v>0.10994504075508744</v>
      </c>
      <c r="H48" s="241">
        <f>1-G48</f>
        <v>0.89005495924491251</v>
      </c>
      <c r="I48" s="156"/>
    </row>
    <row r="49" spans="1:9" ht="15.75" thickBot="1" x14ac:dyDescent="0.25">
      <c r="A49" s="166"/>
      <c r="B49" s="164"/>
      <c r="C49" s="225"/>
      <c r="D49" s="225"/>
      <c r="E49" s="225"/>
      <c r="F49" s="165"/>
      <c r="G49" s="240"/>
      <c r="H49" s="241"/>
      <c r="I49" s="156"/>
    </row>
    <row r="50" spans="1:9" ht="17.25" thickTop="1" thickBot="1" x14ac:dyDescent="0.3">
      <c r="A50" s="173" t="s">
        <v>14</v>
      </c>
      <c r="B50" s="174"/>
      <c r="C50" s="227">
        <f>SUM(C46:C49)</f>
        <v>293271859.49000001</v>
      </c>
      <c r="D50" s="229">
        <f>SUM(D46:D49)</f>
        <v>31978185.439999998</v>
      </c>
      <c r="E50" s="270">
        <f>SUM(E46:E49)</f>
        <v>30413514.539999999</v>
      </c>
      <c r="F50" s="271">
        <f>(+D50-E50)/E50</f>
        <v>5.1446566556526567E-2</v>
      </c>
      <c r="G50" s="248">
        <f>D50/C50</f>
        <v>0.10903939264957124</v>
      </c>
      <c r="H50" s="269">
        <f>1-G50</f>
        <v>0.89096060735042881</v>
      </c>
      <c r="I50" s="156"/>
    </row>
    <row r="51" spans="1:9" ht="15.75" thickTop="1" x14ac:dyDescent="0.2">
      <c r="A51" s="166"/>
      <c r="B51" s="167"/>
      <c r="C51" s="225"/>
      <c r="D51" s="225"/>
      <c r="E51" s="225"/>
      <c r="F51" s="165"/>
      <c r="G51" s="240"/>
      <c r="H51" s="241"/>
      <c r="I51" s="156"/>
    </row>
    <row r="52" spans="1:9" ht="15.75" x14ac:dyDescent="0.25">
      <c r="A52" s="163" t="s">
        <v>69</v>
      </c>
      <c r="B52" s="164">
        <f>DATE(24,7,1)</f>
        <v>8949</v>
      </c>
      <c r="C52" s="225">
        <v>98195046.150000006</v>
      </c>
      <c r="D52" s="225">
        <v>10449496.5</v>
      </c>
      <c r="E52" s="225">
        <v>12329543.52</v>
      </c>
      <c r="F52" s="165">
        <f>(+D52-E52)/E52</f>
        <v>-0.15248310020158798</v>
      </c>
      <c r="G52" s="240">
        <f>D52/C52</f>
        <v>0.10641571962843871</v>
      </c>
      <c r="H52" s="241">
        <f>1-G52</f>
        <v>0.89358428037156123</v>
      </c>
      <c r="I52" s="156"/>
    </row>
    <row r="53" spans="1:9" ht="15.75" x14ac:dyDescent="0.25">
      <c r="A53" s="163"/>
      <c r="B53" s="164">
        <f>DATE(24,8,1)</f>
        <v>8980</v>
      </c>
      <c r="C53" s="225">
        <v>100939375.79000001</v>
      </c>
      <c r="D53" s="225">
        <v>10275632.210000001</v>
      </c>
      <c r="E53" s="225">
        <v>11665095.210000001</v>
      </c>
      <c r="F53" s="165">
        <f>(+D53-E53)/E53</f>
        <v>-0.11911287263295298</v>
      </c>
      <c r="G53" s="240">
        <f>D53/C53</f>
        <v>0.10180003719636634</v>
      </c>
      <c r="H53" s="241">
        <f>1-G53</f>
        <v>0.89819996280363368</v>
      </c>
      <c r="I53" s="156"/>
    </row>
    <row r="54" spans="1:9" ht="15.75" x14ac:dyDescent="0.25">
      <c r="A54" s="163"/>
      <c r="B54" s="164">
        <f>DATE(24,9,1)</f>
        <v>9011</v>
      </c>
      <c r="C54" s="225">
        <v>92743358.060000002</v>
      </c>
      <c r="D54" s="225">
        <v>9114774.1799999997</v>
      </c>
      <c r="E54" s="225">
        <v>12009719.560000001</v>
      </c>
      <c r="F54" s="165">
        <f>(+D54-E54)/E54</f>
        <v>-0.24105020650457226</v>
      </c>
      <c r="G54" s="240">
        <f>D54/C54</f>
        <v>9.8279535814340763E-2</v>
      </c>
      <c r="H54" s="241">
        <f>1-G54</f>
        <v>0.90172046418565921</v>
      </c>
      <c r="I54" s="156"/>
    </row>
    <row r="55" spans="1:9" ht="15.75" thickBot="1" x14ac:dyDescent="0.25">
      <c r="A55" s="166"/>
      <c r="B55" s="164"/>
      <c r="C55" s="225"/>
      <c r="D55" s="225"/>
      <c r="E55" s="225"/>
      <c r="F55" s="165"/>
      <c r="G55" s="240"/>
      <c r="H55" s="241"/>
      <c r="I55" s="156"/>
    </row>
    <row r="56" spans="1:9" ht="17.25" thickTop="1" thickBot="1" x14ac:dyDescent="0.3">
      <c r="A56" s="173" t="s">
        <v>14</v>
      </c>
      <c r="B56" s="174"/>
      <c r="C56" s="227">
        <f>SUM(C52:C55)</f>
        <v>291877780</v>
      </c>
      <c r="D56" s="229">
        <f>SUM(D52:D55)</f>
        <v>29839902.890000001</v>
      </c>
      <c r="E56" s="270">
        <f>SUM(E52:E55)</f>
        <v>36004358.289999999</v>
      </c>
      <c r="F56" s="175">
        <f>(+D56-E56)/E56</f>
        <v>-0.17121414441962546</v>
      </c>
      <c r="G56" s="248">
        <f>D56/C56</f>
        <v>0.10223423958480156</v>
      </c>
      <c r="H56" s="269">
        <f>1-G56</f>
        <v>0.8977657604151984</v>
      </c>
      <c r="I56" s="156"/>
    </row>
    <row r="57" spans="1:9" ht="15.75" thickTop="1" x14ac:dyDescent="0.2">
      <c r="A57" s="166"/>
      <c r="B57" s="178"/>
      <c r="C57" s="228"/>
      <c r="D57" s="228"/>
      <c r="E57" s="228"/>
      <c r="F57" s="179"/>
      <c r="G57" s="246"/>
      <c r="H57" s="247"/>
      <c r="I57" s="156"/>
    </row>
    <row r="58" spans="1:9" ht="15.75" x14ac:dyDescent="0.25">
      <c r="A58" s="163" t="s">
        <v>16</v>
      </c>
      <c r="B58" s="164">
        <f>DATE(24,7,1)</f>
        <v>8949</v>
      </c>
      <c r="C58" s="225">
        <v>151481252</v>
      </c>
      <c r="D58" s="225">
        <v>14744546.640000001</v>
      </c>
      <c r="E58" s="225">
        <v>15534932.51</v>
      </c>
      <c r="F58" s="165">
        <f>(+D58-E58)/E58</f>
        <v>-5.0877972562238007E-2</v>
      </c>
      <c r="G58" s="240">
        <f>D58/C58</f>
        <v>9.7335785421155618E-2</v>
      </c>
      <c r="H58" s="241">
        <f>1-G58</f>
        <v>0.90266421457884438</v>
      </c>
      <c r="I58" s="156"/>
    </row>
    <row r="59" spans="1:9" ht="15.75" x14ac:dyDescent="0.25">
      <c r="A59" s="163"/>
      <c r="B59" s="164">
        <f>DATE(24,8,1)</f>
        <v>8980</v>
      </c>
      <c r="C59" s="225">
        <v>158229059.27000001</v>
      </c>
      <c r="D59" s="225">
        <v>15706191.880000001</v>
      </c>
      <c r="E59" s="225">
        <v>14573354.48</v>
      </c>
      <c r="F59" s="165">
        <f>(+D59-E59)/E59</f>
        <v>7.7733469089403526E-2</v>
      </c>
      <c r="G59" s="240">
        <f>D59/C59</f>
        <v>9.9262372869190596E-2</v>
      </c>
      <c r="H59" s="241">
        <f>1-G59</f>
        <v>0.9007376271308094</v>
      </c>
      <c r="I59" s="156"/>
    </row>
    <row r="60" spans="1:9" ht="15.75" x14ac:dyDescent="0.25">
      <c r="A60" s="163"/>
      <c r="B60" s="164">
        <f>DATE(24,9,1)</f>
        <v>9011</v>
      </c>
      <c r="C60" s="225">
        <v>144531767.61000001</v>
      </c>
      <c r="D60" s="225">
        <v>14473643.689999999</v>
      </c>
      <c r="E60" s="225">
        <v>14733622.32</v>
      </c>
      <c r="F60" s="165">
        <f>(+D60-E60)/E60</f>
        <v>-1.7645262268403308E-2</v>
      </c>
      <c r="G60" s="240">
        <f>D60/C60</f>
        <v>0.10014160851512745</v>
      </c>
      <c r="H60" s="241">
        <f>1-G60</f>
        <v>0.89985839148487257</v>
      </c>
      <c r="I60" s="156"/>
    </row>
    <row r="61" spans="1:9" ht="15.75" customHeight="1" thickBot="1" x14ac:dyDescent="0.3">
      <c r="A61" s="163"/>
      <c r="B61" s="164"/>
      <c r="C61" s="225"/>
      <c r="D61" s="225"/>
      <c r="E61" s="225"/>
      <c r="F61" s="165"/>
      <c r="G61" s="240"/>
      <c r="H61" s="241"/>
      <c r="I61" s="156"/>
    </row>
    <row r="62" spans="1:9" ht="17.25" thickTop="1" thickBot="1" x14ac:dyDescent="0.3">
      <c r="A62" s="173" t="s">
        <v>14</v>
      </c>
      <c r="B62" s="180"/>
      <c r="C62" s="227">
        <f>SUM(C58:C61)</f>
        <v>454242078.88</v>
      </c>
      <c r="D62" s="227">
        <f>SUM(D58:D61)</f>
        <v>44924382.210000001</v>
      </c>
      <c r="E62" s="227">
        <f>SUM(E58:E61)</f>
        <v>44841909.310000002</v>
      </c>
      <c r="F62" s="175">
        <f>(+D62-E62)/E62</f>
        <v>1.8391924266616048E-3</v>
      </c>
      <c r="G62" s="244">
        <f>D62/C62</f>
        <v>9.8899649105093052E-2</v>
      </c>
      <c r="H62" s="245">
        <f>1-G62</f>
        <v>0.90110035089490692</v>
      </c>
      <c r="I62" s="156"/>
    </row>
    <row r="63" spans="1:9" ht="15.75" thickTop="1" x14ac:dyDescent="0.2">
      <c r="A63" s="170"/>
      <c r="B63" s="171"/>
      <c r="C63" s="226"/>
      <c r="D63" s="226"/>
      <c r="E63" s="226"/>
      <c r="F63" s="172"/>
      <c r="G63" s="242"/>
      <c r="H63" s="243"/>
      <c r="I63" s="156"/>
    </row>
    <row r="64" spans="1:9" ht="15.75" x14ac:dyDescent="0.25">
      <c r="A64" s="163" t="s">
        <v>53</v>
      </c>
      <c r="B64" s="164">
        <f>DATE(24,7,1)</f>
        <v>8949</v>
      </c>
      <c r="C64" s="225">
        <v>199355720.71000001</v>
      </c>
      <c r="D64" s="225">
        <v>18005179.460000001</v>
      </c>
      <c r="E64" s="225">
        <v>19538214.289999999</v>
      </c>
      <c r="F64" s="165">
        <f>(+D64-E64)/E64</f>
        <v>-7.8463405470203709E-2</v>
      </c>
      <c r="G64" s="240">
        <f>D64/C64</f>
        <v>9.0316843659540041E-2</v>
      </c>
      <c r="H64" s="241">
        <f>1-G64</f>
        <v>0.90968315634045993</v>
      </c>
      <c r="I64" s="156"/>
    </row>
    <row r="65" spans="1:9" ht="15.75" x14ac:dyDescent="0.25">
      <c r="A65" s="163"/>
      <c r="B65" s="164">
        <f>DATE(24,8,1)</f>
        <v>8980</v>
      </c>
      <c r="C65" s="225">
        <v>206483807.88999999</v>
      </c>
      <c r="D65" s="225">
        <v>18627269.079999998</v>
      </c>
      <c r="E65" s="225">
        <v>18436883.300000001</v>
      </c>
      <c r="F65" s="165">
        <f>(+D65-E65)/E65</f>
        <v>1.0326353804061744E-2</v>
      </c>
      <c r="G65" s="240">
        <f>D65/C65</f>
        <v>9.0211766580376579E-2</v>
      </c>
      <c r="H65" s="241">
        <f>1-G65</f>
        <v>0.90978823341962345</v>
      </c>
      <c r="I65" s="156"/>
    </row>
    <row r="66" spans="1:9" ht="15.75" x14ac:dyDescent="0.25">
      <c r="A66" s="163"/>
      <c r="B66" s="164">
        <f>DATE(24,9,1)</f>
        <v>9011</v>
      </c>
      <c r="C66" s="225">
        <v>192127916.56</v>
      </c>
      <c r="D66" s="225">
        <v>17799029.699999999</v>
      </c>
      <c r="E66" s="225">
        <v>17898589.149999999</v>
      </c>
      <c r="F66" s="165">
        <f>(+D66-E66)/E66</f>
        <v>-5.5624188680815246E-3</v>
      </c>
      <c r="G66" s="240">
        <f>D66/C66</f>
        <v>9.2641558908704999E-2</v>
      </c>
      <c r="H66" s="241">
        <f>1-G66</f>
        <v>0.90735844109129504</v>
      </c>
      <c r="I66" s="156"/>
    </row>
    <row r="67" spans="1:9" ht="15.75" thickBot="1" x14ac:dyDescent="0.25">
      <c r="A67" s="166"/>
      <c r="B67" s="167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SUM(C64:C67)</f>
        <v>597967445.16000009</v>
      </c>
      <c r="D68" s="227">
        <f>SUM(D64:D67)</f>
        <v>54431478.239999995</v>
      </c>
      <c r="E68" s="227">
        <f>SUM(E64:E67)</f>
        <v>55873686.740000002</v>
      </c>
      <c r="F68" s="175">
        <f>(+D68-E68)/E68</f>
        <v>-2.5811944479538516E-2</v>
      </c>
      <c r="G68" s="248">
        <f>D68/C68</f>
        <v>9.1027494357047462E-2</v>
      </c>
      <c r="H68" s="269">
        <f>1-G68</f>
        <v>0.90897250564295251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54</v>
      </c>
      <c r="B70" s="164">
        <f>DATE(24,7,1)</f>
        <v>8949</v>
      </c>
      <c r="C70" s="225">
        <v>26342389.710000001</v>
      </c>
      <c r="D70" s="225">
        <v>2829692.37</v>
      </c>
      <c r="E70" s="225">
        <v>3124210.48</v>
      </c>
      <c r="F70" s="165">
        <f>(+D70-E70)/E70</f>
        <v>-9.4269612078120887E-2</v>
      </c>
      <c r="G70" s="240">
        <f>D70/C70</f>
        <v>0.10741972923306205</v>
      </c>
      <c r="H70" s="241">
        <f>1-G70</f>
        <v>0.89258027076693791</v>
      </c>
      <c r="I70" s="156"/>
    </row>
    <row r="71" spans="1:9" ht="15.75" x14ac:dyDescent="0.25">
      <c r="A71" s="163"/>
      <c r="B71" s="164">
        <f>DATE(24,8,1)</f>
        <v>8980</v>
      </c>
      <c r="C71" s="225">
        <v>24520575.949999999</v>
      </c>
      <c r="D71" s="225">
        <v>2718513.58</v>
      </c>
      <c r="E71" s="225">
        <v>2824739.23</v>
      </c>
      <c r="F71" s="165">
        <f>(+D71-E71)/E71</f>
        <v>-3.7605471284512131E-2</v>
      </c>
      <c r="G71" s="240">
        <f>D71/C71</f>
        <v>0.11086662831832872</v>
      </c>
      <c r="H71" s="241">
        <f>1-G71</f>
        <v>0.88913337168167128</v>
      </c>
      <c r="I71" s="156"/>
    </row>
    <row r="72" spans="1:9" ht="15.75" x14ac:dyDescent="0.25">
      <c r="A72" s="163"/>
      <c r="B72" s="164">
        <f>DATE(24,9,1)</f>
        <v>9011</v>
      </c>
      <c r="C72" s="225">
        <v>22560708.02</v>
      </c>
      <c r="D72" s="225">
        <v>2469404.4700000002</v>
      </c>
      <c r="E72" s="225">
        <v>2831375.91</v>
      </c>
      <c r="F72" s="165">
        <f>(+D72-E72)/E72</f>
        <v>-0.12784294685900607</v>
      </c>
      <c r="G72" s="240">
        <f>D72/C72</f>
        <v>0.1094559828446377</v>
      </c>
      <c r="H72" s="241">
        <f>1-G72</f>
        <v>0.89054401715536224</v>
      </c>
      <c r="I72" s="156"/>
    </row>
    <row r="73" spans="1:9" ht="15.75" thickBot="1" x14ac:dyDescent="0.25">
      <c r="A73" s="166"/>
      <c r="B73" s="167"/>
      <c r="C73" s="225"/>
      <c r="D73" s="225"/>
      <c r="E73" s="225"/>
      <c r="F73" s="165"/>
      <c r="G73" s="240"/>
      <c r="H73" s="241"/>
      <c r="I73" s="156"/>
    </row>
    <row r="74" spans="1:9" ht="17.25" thickTop="1" thickBot="1" x14ac:dyDescent="0.3">
      <c r="A74" s="181" t="s">
        <v>14</v>
      </c>
      <c r="B74" s="182"/>
      <c r="C74" s="229">
        <f>SUM(C70:C73)</f>
        <v>73423673.679999992</v>
      </c>
      <c r="D74" s="229">
        <f>SUM(D70:D73)</f>
        <v>8017610.4199999999</v>
      </c>
      <c r="E74" s="229">
        <f>SUM(E70:E73)</f>
        <v>8780325.620000001</v>
      </c>
      <c r="F74" s="175">
        <f>(+D74-E74)/E74</f>
        <v>-8.6866391180604186E-2</v>
      </c>
      <c r="G74" s="248">
        <f>D74/C74</f>
        <v>0.10919653046703834</v>
      </c>
      <c r="H74" s="245">
        <f>1-G74</f>
        <v>0.89080346953296163</v>
      </c>
      <c r="I74" s="156"/>
    </row>
    <row r="75" spans="1:9" ht="15.75" thickTop="1" x14ac:dyDescent="0.2">
      <c r="A75" s="166"/>
      <c r="B75" s="167"/>
      <c r="C75" s="225"/>
      <c r="D75" s="225"/>
      <c r="E75" s="225"/>
      <c r="F75" s="165"/>
      <c r="G75" s="240"/>
      <c r="H75" s="241"/>
      <c r="I75" s="156"/>
    </row>
    <row r="76" spans="1:9" ht="15.75" x14ac:dyDescent="0.25">
      <c r="A76" s="163" t="s">
        <v>37</v>
      </c>
      <c r="B76" s="164">
        <f>DATE(24,7,1)</f>
        <v>8949</v>
      </c>
      <c r="C76" s="225">
        <v>214526687.88</v>
      </c>
      <c r="D76" s="225">
        <v>19555438.370000001</v>
      </c>
      <c r="E76" s="225">
        <v>20801294.73</v>
      </c>
      <c r="F76" s="165">
        <f>(+D76-E76)/E76</f>
        <v>-5.9893212233717498E-2</v>
      </c>
      <c r="G76" s="240">
        <f>D76/C76</f>
        <v>9.1156203282916237E-2</v>
      </c>
      <c r="H76" s="241">
        <f>1-G76</f>
        <v>0.90884379671708371</v>
      </c>
      <c r="I76" s="156"/>
    </row>
    <row r="77" spans="1:9" ht="15.75" x14ac:dyDescent="0.25">
      <c r="A77" s="163"/>
      <c r="B77" s="164">
        <f>DATE(24,8,1)</f>
        <v>8980</v>
      </c>
      <c r="C77" s="225">
        <v>226588625.44999999</v>
      </c>
      <c r="D77" s="225">
        <v>20551772.199999999</v>
      </c>
      <c r="E77" s="225">
        <v>20038616.34</v>
      </c>
      <c r="F77" s="165">
        <f>(+D77-E77)/E77</f>
        <v>2.5608347966404522E-2</v>
      </c>
      <c r="G77" s="240">
        <f>D77/C77</f>
        <v>9.0700811478001755E-2</v>
      </c>
      <c r="H77" s="241">
        <f>1-G77</f>
        <v>0.9092991885219982</v>
      </c>
      <c r="I77" s="156"/>
    </row>
    <row r="78" spans="1:9" ht="15.75" x14ac:dyDescent="0.25">
      <c r="A78" s="163"/>
      <c r="B78" s="164">
        <f>DATE(24,9,1)</f>
        <v>9011</v>
      </c>
      <c r="C78" s="225">
        <v>210013954.52000001</v>
      </c>
      <c r="D78" s="225">
        <v>19042710.359999999</v>
      </c>
      <c r="E78" s="225">
        <v>19545369.489999998</v>
      </c>
      <c r="F78" s="165">
        <f>(+D78-E78)/E78</f>
        <v>-2.5717555774894641E-2</v>
      </c>
      <c r="G78" s="240">
        <f>D78/C78</f>
        <v>9.0673547876965133E-2</v>
      </c>
      <c r="H78" s="241">
        <f>1-G78</f>
        <v>0.90932645212303487</v>
      </c>
      <c r="I78" s="156"/>
    </row>
    <row r="79" spans="1:9" ht="15.75" thickBot="1" x14ac:dyDescent="0.25">
      <c r="A79" s="166"/>
      <c r="B79" s="167"/>
      <c r="C79" s="225"/>
      <c r="D79" s="225"/>
      <c r="E79" s="225"/>
      <c r="F79" s="165"/>
      <c r="G79" s="240"/>
      <c r="H79" s="241"/>
      <c r="I79" s="156"/>
    </row>
    <row r="80" spans="1:9" ht="17.25" thickTop="1" thickBot="1" x14ac:dyDescent="0.3">
      <c r="A80" s="173" t="s">
        <v>14</v>
      </c>
      <c r="B80" s="174"/>
      <c r="C80" s="227">
        <f>SUM(C76:C79)</f>
        <v>651129267.85000002</v>
      </c>
      <c r="D80" s="227">
        <f>SUM(D76:D79)</f>
        <v>59149920.93</v>
      </c>
      <c r="E80" s="227">
        <f>SUM(E76:E79)</f>
        <v>60385280.560000002</v>
      </c>
      <c r="F80" s="175">
        <f>(+D80-E80)/E80</f>
        <v>-2.0457959597828233E-2</v>
      </c>
      <c r="G80" s="244">
        <f>D80/C80</f>
        <v>9.0842055257799134E-2</v>
      </c>
      <c r="H80" s="245">
        <f>1-G80</f>
        <v>0.90915794474220091</v>
      </c>
      <c r="I80" s="156"/>
    </row>
    <row r="81" spans="1:9" ht="15.75" thickTop="1" x14ac:dyDescent="0.2">
      <c r="A81" s="166"/>
      <c r="B81" s="167"/>
      <c r="C81" s="225"/>
      <c r="D81" s="225"/>
      <c r="E81" s="225"/>
      <c r="F81" s="165"/>
      <c r="G81" s="240"/>
      <c r="H81" s="241"/>
      <c r="I81" s="156"/>
    </row>
    <row r="82" spans="1:9" ht="15.75" x14ac:dyDescent="0.25">
      <c r="A82" s="163" t="s">
        <v>57</v>
      </c>
      <c r="B82" s="164">
        <f>DATE(24,7,1)</f>
        <v>8949</v>
      </c>
      <c r="C82" s="225">
        <v>33789311.990000002</v>
      </c>
      <c r="D82" s="225">
        <v>3886760.9</v>
      </c>
      <c r="E82" s="225">
        <v>3743935.17</v>
      </c>
      <c r="F82" s="165">
        <f>(+D82-E82)/E82</f>
        <v>3.8148558539276199E-2</v>
      </c>
      <c r="G82" s="240">
        <f>D82/C82</f>
        <v>0.11502929983156486</v>
      </c>
      <c r="H82" s="241">
        <f>1-G82</f>
        <v>0.88497070016843515</v>
      </c>
      <c r="I82" s="156"/>
    </row>
    <row r="83" spans="1:9" ht="15.75" x14ac:dyDescent="0.25">
      <c r="A83" s="163"/>
      <c r="B83" s="164">
        <f>DATE(24,8,1)</f>
        <v>8980</v>
      </c>
      <c r="C83" s="225">
        <v>35967561.380000003</v>
      </c>
      <c r="D83" s="225">
        <v>4094103.92</v>
      </c>
      <c r="E83" s="225">
        <v>3650833.47</v>
      </c>
      <c r="F83" s="165">
        <f>(+D83-E83)/E83</f>
        <v>0.12141623375661659</v>
      </c>
      <c r="G83" s="240">
        <f>D83/C83</f>
        <v>0.11382767590900819</v>
      </c>
      <c r="H83" s="241">
        <f>1-G83</f>
        <v>0.88617232409099178</v>
      </c>
      <c r="I83" s="156"/>
    </row>
    <row r="84" spans="1:9" ht="15.75" x14ac:dyDescent="0.25">
      <c r="A84" s="163"/>
      <c r="B84" s="164">
        <f>DATE(24,9,1)</f>
        <v>9011</v>
      </c>
      <c r="C84" s="225">
        <v>31698488.16</v>
      </c>
      <c r="D84" s="225">
        <v>3432175.67</v>
      </c>
      <c r="E84" s="225">
        <v>3571965.85</v>
      </c>
      <c r="F84" s="165">
        <f>(+D84-E84)/E84</f>
        <v>-3.9135362954267928E-2</v>
      </c>
      <c r="G84" s="240">
        <f>D84/C84</f>
        <v>0.1082756897640004</v>
      </c>
      <c r="H84" s="241">
        <f>1-G84</f>
        <v>0.89172431023599963</v>
      </c>
      <c r="I84" s="156"/>
    </row>
    <row r="85" spans="1:9" ht="15.75" thickBot="1" x14ac:dyDescent="0.25">
      <c r="A85" s="166"/>
      <c r="B85" s="167"/>
      <c r="C85" s="225"/>
      <c r="D85" s="225"/>
      <c r="E85" s="225"/>
      <c r="F85" s="165"/>
      <c r="G85" s="240"/>
      <c r="H85" s="241"/>
      <c r="I85" s="156"/>
    </row>
    <row r="86" spans="1:9" ht="17.25" thickTop="1" thickBot="1" x14ac:dyDescent="0.3">
      <c r="A86" s="168" t="s">
        <v>14</v>
      </c>
      <c r="B86" s="154"/>
      <c r="C86" s="222">
        <f>SUM(C82:C85)</f>
        <v>101455361.53</v>
      </c>
      <c r="D86" s="222">
        <f>SUM(D82:D85)</f>
        <v>11413040.49</v>
      </c>
      <c r="E86" s="222">
        <f>SUM(E82:E85)</f>
        <v>10966734.49</v>
      </c>
      <c r="F86" s="175">
        <f>(+D86-E86)/E86</f>
        <v>4.0696344058202868E-2</v>
      </c>
      <c r="G86" s="244">
        <f>D86/C86</f>
        <v>0.11249322182569133</v>
      </c>
      <c r="H86" s="245">
        <f>1-G86</f>
        <v>0.88750677817430867</v>
      </c>
      <c r="I86" s="156"/>
    </row>
    <row r="87" spans="1:9" ht="16.5" thickTop="1" thickBot="1" x14ac:dyDescent="0.25">
      <c r="A87" s="170"/>
      <c r="B87" s="171"/>
      <c r="C87" s="226"/>
      <c r="D87" s="226"/>
      <c r="E87" s="226"/>
      <c r="F87" s="172"/>
      <c r="G87" s="242"/>
      <c r="H87" s="243"/>
      <c r="I87" s="156"/>
    </row>
    <row r="88" spans="1:9" ht="17.25" thickTop="1" thickBot="1" x14ac:dyDescent="0.3">
      <c r="A88" s="183" t="s">
        <v>38</v>
      </c>
      <c r="B88" s="154"/>
      <c r="C88" s="222">
        <f>C86+C80+C62+C50+C38+C26+C14+C32+C74+C20+C56+C68+C44</f>
        <v>4174530596.1499991</v>
      </c>
      <c r="D88" s="222">
        <f>D86+D80+D62+D50+D38+D26+D14+D32+D74+D20+D56+D68+D44</f>
        <v>401086777.52999997</v>
      </c>
      <c r="E88" s="222">
        <f>E86+E80+E62+E50+E38+E26+E14+E32+E74+E20+E56+E68+E44</f>
        <v>416181278.42000002</v>
      </c>
      <c r="F88" s="169">
        <f>(+D88-E88)/E88</f>
        <v>-3.6269053109032556E-2</v>
      </c>
      <c r="G88" s="235">
        <f>D88/C88</f>
        <v>9.6079491643900297E-2</v>
      </c>
      <c r="H88" s="236">
        <f>1-G88</f>
        <v>0.90392050835609972</v>
      </c>
      <c r="I88" s="156"/>
    </row>
    <row r="89" spans="1:9" ht="17.25" thickTop="1" thickBot="1" x14ac:dyDescent="0.3">
      <c r="A89" s="183"/>
      <c r="B89" s="154"/>
      <c r="C89" s="222"/>
      <c r="D89" s="222"/>
      <c r="E89" s="222"/>
      <c r="F89" s="169"/>
      <c r="G89" s="235"/>
      <c r="H89" s="236"/>
      <c r="I89" s="156"/>
    </row>
    <row r="90" spans="1:9" ht="17.25" thickTop="1" thickBot="1" x14ac:dyDescent="0.3">
      <c r="A90" s="183" t="s">
        <v>39</v>
      </c>
      <c r="B90" s="154"/>
      <c r="C90" s="222">
        <f>+C12+C18+C24+C30+C36+C42+C48+C60+C54+C66+C72+C78+C84</f>
        <v>1338793018.9200001</v>
      </c>
      <c r="D90" s="222">
        <f>+D12+D18+D24+D30+D36+D42+D48+D60+D54+D66+D72+D78+D84</f>
        <v>128149655.20999999</v>
      </c>
      <c r="E90" s="222">
        <f>+E12+E18+E24+E30+E36+E42+E48+E60+E54+E66+E72+E78+E84</f>
        <v>135134911.11000001</v>
      </c>
      <c r="F90" s="169">
        <f>(+D90-E90)/E90</f>
        <v>-5.1690979352582045E-2</v>
      </c>
      <c r="G90" s="235">
        <f>D90/C90</f>
        <v>9.572028939423205E-2</v>
      </c>
      <c r="H90" s="245">
        <f>1-G90</f>
        <v>0.90427971060576795</v>
      </c>
      <c r="I90" s="156"/>
    </row>
    <row r="91" spans="1:9" ht="16.5" thickTop="1" x14ac:dyDescent="0.25">
      <c r="A91" s="184"/>
      <c r="B91" s="185"/>
      <c r="C91" s="230"/>
      <c r="D91" s="230"/>
      <c r="E91" s="230"/>
      <c r="F91" s="186"/>
      <c r="G91" s="249"/>
      <c r="H91" s="249"/>
      <c r="I91" s="150"/>
    </row>
    <row r="92" spans="1:9" ht="16.5" customHeight="1" x14ac:dyDescent="0.3">
      <c r="A92" s="187" t="s">
        <v>49</v>
      </c>
      <c r="B92" s="188"/>
      <c r="C92" s="231"/>
      <c r="D92" s="231"/>
      <c r="E92" s="231"/>
      <c r="F92" s="189"/>
      <c r="G92" s="250"/>
      <c r="H92" s="250"/>
      <c r="I92" s="150"/>
    </row>
    <row r="93" spans="1:9" ht="15.75" x14ac:dyDescent="0.25">
      <c r="A93" s="190"/>
      <c r="B93" s="188"/>
      <c r="C93" s="231"/>
      <c r="D93" s="231"/>
      <c r="E93" s="231"/>
      <c r="F93" s="189"/>
      <c r="G93" s="256"/>
      <c r="H93" s="256"/>
      <c r="I93" s="150"/>
    </row>
    <row r="94" spans="1:9" ht="15.75" x14ac:dyDescent="0.25">
      <c r="A94" s="71"/>
      <c r="I94" s="150"/>
    </row>
  </sheetData>
  <phoneticPr fontId="0" type="noConversion"/>
  <printOptions horizontalCentered="1"/>
  <pageMargins left="0.75" right="0.25" top="0.31940000000000002" bottom="0.2" header="0.5" footer="0.5"/>
  <pageSetup scale="6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2024-10-09T15:05:09Z</cp:lastPrinted>
  <dcterms:created xsi:type="dcterms:W3CDTF">2003-09-09T14:41:43Z</dcterms:created>
  <dcterms:modified xsi:type="dcterms:W3CDTF">2024-10-09T20:37:32Z</dcterms:modified>
</cp:coreProperties>
</file>