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an 24\Optimized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STATS'!$A$1:$M$130</definedName>
    <definedName name="_xlnm.Print_Area" localSheetId="4">'SLOT STATS'!$A$1:$I$131</definedName>
    <definedName name="_xlnm.Print_Area" localSheetId="2">'TABLE STATS'!$A$1:$H$130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E129" i="4" l="1"/>
  <c r="D129" i="4"/>
  <c r="C129" i="4"/>
  <c r="G129" i="4"/>
  <c r="H129" i="4"/>
  <c r="F123" i="4"/>
  <c r="G123" i="4"/>
  <c r="H123" i="4"/>
  <c r="F114" i="4"/>
  <c r="G114" i="4"/>
  <c r="H114" i="4"/>
  <c r="F105" i="4"/>
  <c r="G105" i="4"/>
  <c r="H105" i="4"/>
  <c r="F96" i="4"/>
  <c r="G96" i="4"/>
  <c r="H96" i="4"/>
  <c r="F87" i="4"/>
  <c r="G87" i="4"/>
  <c r="H87" i="4"/>
  <c r="F78" i="4"/>
  <c r="G78" i="4"/>
  <c r="H78" i="4"/>
  <c r="F69" i="4"/>
  <c r="G69" i="4"/>
  <c r="H69" i="4"/>
  <c r="F60" i="4"/>
  <c r="G60" i="4"/>
  <c r="H60" i="4"/>
  <c r="F51" i="4"/>
  <c r="G51" i="4"/>
  <c r="H51" i="4"/>
  <c r="F42" i="4"/>
  <c r="G42" i="4"/>
  <c r="H42" i="4"/>
  <c r="F33" i="4"/>
  <c r="G33" i="4"/>
  <c r="H33" i="4"/>
  <c r="F24" i="4"/>
  <c r="G24" i="4"/>
  <c r="H24" i="4"/>
  <c r="F15" i="4"/>
  <c r="G15" i="4"/>
  <c r="H15" i="4"/>
  <c r="B123" i="4"/>
  <c r="B114" i="4"/>
  <c r="B105" i="4"/>
  <c r="B96" i="4"/>
  <c r="B87" i="4"/>
  <c r="B78" i="4"/>
  <c r="B69" i="4"/>
  <c r="B60" i="4"/>
  <c r="B51" i="4"/>
  <c r="B42" i="4"/>
  <c r="B33" i="4"/>
  <c r="B24" i="4"/>
  <c r="B15" i="4"/>
  <c r="E129" i="5"/>
  <c r="D129" i="5"/>
  <c r="C129" i="5"/>
  <c r="F114" i="5"/>
  <c r="B123" i="5"/>
  <c r="B114" i="5"/>
  <c r="B105" i="5"/>
  <c r="B96" i="5"/>
  <c r="B87" i="5"/>
  <c r="B78" i="5"/>
  <c r="B69" i="5"/>
  <c r="B60" i="5"/>
  <c r="B51" i="5"/>
  <c r="B42" i="5"/>
  <c r="B33" i="5"/>
  <c r="B24" i="5"/>
  <c r="B15" i="5"/>
  <c r="E128" i="3"/>
  <c r="F128" i="3"/>
  <c r="D128" i="3"/>
  <c r="C128" i="3"/>
  <c r="F122" i="3"/>
  <c r="G122" i="3"/>
  <c r="F113" i="3"/>
  <c r="G113" i="3"/>
  <c r="F104" i="3"/>
  <c r="F95" i="3"/>
  <c r="G95" i="3"/>
  <c r="F86" i="3"/>
  <c r="G86" i="3"/>
  <c r="F77" i="3"/>
  <c r="G77" i="3"/>
  <c r="F68" i="3"/>
  <c r="G68" i="3"/>
  <c r="F59" i="3"/>
  <c r="G59" i="3"/>
  <c r="F50" i="3"/>
  <c r="G50" i="3"/>
  <c r="F41" i="3"/>
  <c r="G41" i="3"/>
  <c r="F32" i="3"/>
  <c r="G32" i="3"/>
  <c r="F23" i="3"/>
  <c r="G23" i="3"/>
  <c r="F14" i="3"/>
  <c r="G14" i="3"/>
  <c r="B122" i="3"/>
  <c r="B113" i="3"/>
  <c r="B104" i="3"/>
  <c r="B95" i="3"/>
  <c r="B86" i="3"/>
  <c r="B77" i="3"/>
  <c r="B68" i="3"/>
  <c r="B59" i="3"/>
  <c r="B50" i="3"/>
  <c r="B41" i="3"/>
  <c r="B32" i="3"/>
  <c r="B23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85" i="1"/>
  <c r="J85" i="1"/>
  <c r="F93" i="1"/>
  <c r="J93" i="1"/>
  <c r="F67" i="1"/>
  <c r="H67" i="1"/>
  <c r="F40" i="1"/>
  <c r="J40" i="1"/>
  <c r="L128" i="1"/>
  <c r="K128" i="1"/>
  <c r="G128" i="1"/>
  <c r="F128" i="1"/>
  <c r="D128" i="1"/>
  <c r="C128" i="1"/>
  <c r="H122" i="1"/>
  <c r="M122" i="1"/>
  <c r="I122" i="1"/>
  <c r="J122" i="1"/>
  <c r="G122" i="1"/>
  <c r="F122" i="1"/>
  <c r="F124" i="1"/>
  <c r="E122" i="1"/>
  <c r="H113" i="1"/>
  <c r="M113" i="1"/>
  <c r="I113" i="1"/>
  <c r="J113" i="1"/>
  <c r="G113" i="1"/>
  <c r="F113" i="1"/>
  <c r="E113" i="1"/>
  <c r="H104" i="1"/>
  <c r="M104" i="1"/>
  <c r="I104" i="1"/>
  <c r="J104" i="1"/>
  <c r="G104" i="1"/>
  <c r="F104" i="1"/>
  <c r="E104" i="1"/>
  <c r="H95" i="1"/>
  <c r="M95" i="1"/>
  <c r="I95" i="1"/>
  <c r="J95" i="1"/>
  <c r="G95" i="1"/>
  <c r="F95" i="1"/>
  <c r="E95" i="1"/>
  <c r="H86" i="1"/>
  <c r="M86" i="1"/>
  <c r="I86" i="1"/>
  <c r="J86" i="1"/>
  <c r="G86" i="1"/>
  <c r="F86" i="1"/>
  <c r="E86" i="1"/>
  <c r="H77" i="1"/>
  <c r="M77" i="1"/>
  <c r="I77" i="1"/>
  <c r="J77" i="1"/>
  <c r="G77" i="1"/>
  <c r="G79" i="1"/>
  <c r="F77" i="1"/>
  <c r="F79" i="1"/>
  <c r="E77" i="1"/>
  <c r="H68" i="1"/>
  <c r="M68" i="1"/>
  <c r="I68" i="1"/>
  <c r="J68" i="1"/>
  <c r="G68" i="1"/>
  <c r="F68" i="1"/>
  <c r="E68" i="1"/>
  <c r="H59" i="1"/>
  <c r="M59" i="1"/>
  <c r="I59" i="1"/>
  <c r="J59" i="1"/>
  <c r="G59" i="1"/>
  <c r="G61" i="1"/>
  <c r="F59" i="1"/>
  <c r="E59" i="1"/>
  <c r="H50" i="1"/>
  <c r="M50" i="1"/>
  <c r="I50" i="1"/>
  <c r="J50" i="1"/>
  <c r="G50" i="1"/>
  <c r="F50" i="1"/>
  <c r="E50" i="1"/>
  <c r="H41" i="1"/>
  <c r="M41" i="1"/>
  <c r="I41" i="1"/>
  <c r="J41" i="1"/>
  <c r="G41" i="1"/>
  <c r="F41" i="1"/>
  <c r="E41" i="1"/>
  <c r="H32" i="1"/>
  <c r="M32" i="1"/>
  <c r="I32" i="1"/>
  <c r="J32" i="1"/>
  <c r="G32" i="1"/>
  <c r="G34" i="1"/>
  <c r="F32" i="1"/>
  <c r="F34" i="1"/>
  <c r="E32" i="1"/>
  <c r="H23" i="1"/>
  <c r="M23" i="1"/>
  <c r="I23" i="1"/>
  <c r="J23" i="1"/>
  <c r="G23" i="1"/>
  <c r="G25" i="1"/>
  <c r="F23" i="1"/>
  <c r="E23" i="1"/>
  <c r="H14" i="1"/>
  <c r="M14" i="1"/>
  <c r="I14" i="1"/>
  <c r="J14" i="1"/>
  <c r="G14" i="1"/>
  <c r="F14" i="1"/>
  <c r="E14" i="1"/>
  <c r="B122" i="1"/>
  <c r="B113" i="1"/>
  <c r="B104" i="1"/>
  <c r="B95" i="1"/>
  <c r="B86" i="1"/>
  <c r="B77" i="1"/>
  <c r="B68" i="1"/>
  <c r="B59" i="1"/>
  <c r="B50" i="1"/>
  <c r="B41" i="1"/>
  <c r="B32" i="1"/>
  <c r="B23" i="1"/>
  <c r="B14" i="1"/>
  <c r="A35" i="2"/>
  <c r="A14" i="2"/>
  <c r="G121" i="1"/>
  <c r="H121" i="1"/>
  <c r="G112" i="1"/>
  <c r="G103" i="1"/>
  <c r="G94" i="1"/>
  <c r="G97" i="1"/>
  <c r="G85" i="1"/>
  <c r="G76" i="1"/>
  <c r="G67" i="1"/>
  <c r="G58" i="1"/>
  <c r="G49" i="1"/>
  <c r="H49" i="1"/>
  <c r="G40" i="1"/>
  <c r="G31" i="1"/>
  <c r="G22" i="1"/>
  <c r="G13" i="1"/>
  <c r="F121" i="1"/>
  <c r="F112" i="1"/>
  <c r="F115" i="1"/>
  <c r="F103" i="1"/>
  <c r="F94" i="1"/>
  <c r="H94" i="1"/>
  <c r="F73" i="1"/>
  <c r="H73" i="1"/>
  <c r="F76" i="1"/>
  <c r="J76" i="1"/>
  <c r="F66" i="1"/>
  <c r="F58" i="1"/>
  <c r="J58" i="1"/>
  <c r="F49" i="1"/>
  <c r="F52" i="1"/>
  <c r="H52" i="1"/>
  <c r="F31" i="1"/>
  <c r="F22" i="1"/>
  <c r="J22" i="1"/>
  <c r="F13" i="1"/>
  <c r="G122" i="4"/>
  <c r="H122" i="4"/>
  <c r="F122" i="4"/>
  <c r="G113" i="4"/>
  <c r="H113" i="4"/>
  <c r="F113" i="4"/>
  <c r="G104" i="4"/>
  <c r="H104" i="4"/>
  <c r="F104" i="4"/>
  <c r="G95" i="4"/>
  <c r="H95" i="4"/>
  <c r="F95" i="4"/>
  <c r="G86" i="4"/>
  <c r="H86" i="4"/>
  <c r="F86" i="4"/>
  <c r="G77" i="4"/>
  <c r="H77" i="4"/>
  <c r="F77" i="4"/>
  <c r="G68" i="4"/>
  <c r="H68" i="4"/>
  <c r="F68" i="4"/>
  <c r="G59" i="4"/>
  <c r="H59" i="4"/>
  <c r="F59" i="4"/>
  <c r="G50" i="4"/>
  <c r="H50" i="4"/>
  <c r="F50" i="4"/>
  <c r="G41" i="4"/>
  <c r="H41" i="4"/>
  <c r="F41" i="4"/>
  <c r="G32" i="4"/>
  <c r="H32" i="4"/>
  <c r="F32" i="4"/>
  <c r="G23" i="4"/>
  <c r="H23" i="4"/>
  <c r="F23" i="4"/>
  <c r="G14" i="4"/>
  <c r="H14" i="4"/>
  <c r="F14" i="4"/>
  <c r="B122" i="4"/>
  <c r="B113" i="4"/>
  <c r="B104" i="4"/>
  <c r="B95" i="4"/>
  <c r="B86" i="4"/>
  <c r="B77" i="4"/>
  <c r="B68" i="4"/>
  <c r="B59" i="4"/>
  <c r="B50" i="4"/>
  <c r="B41" i="4"/>
  <c r="B32" i="4"/>
  <c r="B23" i="4"/>
  <c r="B14" i="4"/>
  <c r="G113" i="5"/>
  <c r="H113" i="5"/>
  <c r="F113" i="5"/>
  <c r="B122" i="5"/>
  <c r="B113" i="5"/>
  <c r="B104" i="5"/>
  <c r="B95" i="5"/>
  <c r="B86" i="5"/>
  <c r="B77" i="5"/>
  <c r="B68" i="5"/>
  <c r="B59" i="5"/>
  <c r="B50" i="5"/>
  <c r="B41" i="5"/>
  <c r="B32" i="5"/>
  <c r="B23" i="5"/>
  <c r="B14" i="5"/>
  <c r="G121" i="3"/>
  <c r="F121" i="3"/>
  <c r="G112" i="3"/>
  <c r="F112" i="3"/>
  <c r="G103" i="3"/>
  <c r="F103" i="3"/>
  <c r="G94" i="3"/>
  <c r="F94" i="3"/>
  <c r="G85" i="3"/>
  <c r="F85" i="3"/>
  <c r="G76" i="3"/>
  <c r="F76" i="3"/>
  <c r="G67" i="3"/>
  <c r="F67" i="3"/>
  <c r="G58" i="3"/>
  <c r="F58" i="3"/>
  <c r="G49" i="3"/>
  <c r="F49" i="3"/>
  <c r="G40" i="3"/>
  <c r="F40" i="3"/>
  <c r="G31" i="3"/>
  <c r="F31" i="3"/>
  <c r="G22" i="3"/>
  <c r="F22" i="3"/>
  <c r="G13" i="3"/>
  <c r="F13" i="3"/>
  <c r="B121" i="3"/>
  <c r="B112" i="3"/>
  <c r="B103" i="3"/>
  <c r="B94" i="3"/>
  <c r="B85" i="3"/>
  <c r="B76" i="3"/>
  <c r="B67" i="3"/>
  <c r="B58" i="3"/>
  <c r="B49" i="3"/>
  <c r="B40" i="3"/>
  <c r="B31" i="3"/>
  <c r="B22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21" i="1"/>
  <c r="J121" i="1"/>
  <c r="I121" i="1"/>
  <c r="E121" i="1"/>
  <c r="M112" i="1"/>
  <c r="J112" i="1"/>
  <c r="I112" i="1"/>
  <c r="E112" i="1"/>
  <c r="M103" i="1"/>
  <c r="J103" i="1"/>
  <c r="I103" i="1"/>
  <c r="E103" i="1"/>
  <c r="M94" i="1"/>
  <c r="J94" i="1"/>
  <c r="I94" i="1"/>
  <c r="E94" i="1"/>
  <c r="M85" i="1"/>
  <c r="I85" i="1"/>
  <c r="H85" i="1"/>
  <c r="E85" i="1"/>
  <c r="M76" i="1"/>
  <c r="I76" i="1"/>
  <c r="H76" i="1"/>
  <c r="E76" i="1"/>
  <c r="M67" i="1"/>
  <c r="I67" i="1"/>
  <c r="E67" i="1"/>
  <c r="M58" i="1"/>
  <c r="I58" i="1"/>
  <c r="E58" i="1"/>
  <c r="M49" i="1"/>
  <c r="I49" i="1"/>
  <c r="E49" i="1"/>
  <c r="M40" i="1"/>
  <c r="I40" i="1"/>
  <c r="E40" i="1"/>
  <c r="M31" i="1"/>
  <c r="J31" i="1"/>
  <c r="I31" i="1"/>
  <c r="H31" i="1"/>
  <c r="E31" i="1"/>
  <c r="M22" i="1"/>
  <c r="I22" i="1"/>
  <c r="E22" i="1"/>
  <c r="M13" i="1"/>
  <c r="J13" i="1"/>
  <c r="I13" i="1"/>
  <c r="E13" i="1"/>
  <c r="B121" i="1"/>
  <c r="B112" i="1"/>
  <c r="B103" i="1"/>
  <c r="B94" i="1"/>
  <c r="B85" i="1"/>
  <c r="B76" i="1"/>
  <c r="B67" i="1"/>
  <c r="B58" i="1"/>
  <c r="B49" i="1"/>
  <c r="B40" i="1"/>
  <c r="B31" i="1"/>
  <c r="B22" i="1"/>
  <c r="B13" i="1"/>
  <c r="G66" i="1"/>
  <c r="G120" i="1"/>
  <c r="G124" i="1"/>
  <c r="G111" i="1"/>
  <c r="H111" i="1"/>
  <c r="G102" i="1"/>
  <c r="G106" i="1"/>
  <c r="G93" i="1"/>
  <c r="G84" i="1"/>
  <c r="G75" i="1"/>
  <c r="H75" i="1"/>
  <c r="G57" i="1"/>
  <c r="G48" i="1"/>
  <c r="G39" i="1"/>
  <c r="H39" i="1"/>
  <c r="G30" i="1"/>
  <c r="G21" i="1"/>
  <c r="G12" i="1"/>
  <c r="F11" i="1"/>
  <c r="H11" i="1"/>
  <c r="F12" i="1"/>
  <c r="J12" i="1"/>
  <c r="F120" i="1"/>
  <c r="J120" i="1"/>
  <c r="F110" i="1"/>
  <c r="J110" i="1"/>
  <c r="F111" i="1"/>
  <c r="J111" i="1"/>
  <c r="F102" i="1"/>
  <c r="J102" i="1"/>
  <c r="H93" i="1"/>
  <c r="F84" i="1"/>
  <c r="J84" i="1"/>
  <c r="F75" i="1"/>
  <c r="J75" i="1"/>
  <c r="F57" i="1"/>
  <c r="J57" i="1"/>
  <c r="F47" i="1"/>
  <c r="F48" i="1"/>
  <c r="H48" i="1"/>
  <c r="F37" i="1"/>
  <c r="F36" i="1"/>
  <c r="H36" i="1"/>
  <c r="J36" i="1"/>
  <c r="F39" i="1"/>
  <c r="J39" i="1"/>
  <c r="F30" i="1"/>
  <c r="J30" i="1"/>
  <c r="F21" i="1"/>
  <c r="G121" i="4"/>
  <c r="H121" i="4"/>
  <c r="F121" i="4"/>
  <c r="G112" i="4"/>
  <c r="H112" i="4"/>
  <c r="F112" i="4"/>
  <c r="G103" i="4"/>
  <c r="H103" i="4"/>
  <c r="F103" i="4"/>
  <c r="G94" i="4"/>
  <c r="H94" i="4"/>
  <c r="F94" i="4"/>
  <c r="G85" i="4"/>
  <c r="H85" i="4"/>
  <c r="F85" i="4"/>
  <c r="G76" i="4"/>
  <c r="H76" i="4"/>
  <c r="F76" i="4"/>
  <c r="G67" i="4"/>
  <c r="H67" i="4"/>
  <c r="F67" i="4"/>
  <c r="G58" i="4"/>
  <c r="H58" i="4"/>
  <c r="F58" i="4"/>
  <c r="G49" i="4"/>
  <c r="H49" i="4"/>
  <c r="F49" i="4"/>
  <c r="G40" i="4"/>
  <c r="H40" i="4"/>
  <c r="F40" i="4"/>
  <c r="G31" i="4"/>
  <c r="H31" i="4"/>
  <c r="F31" i="4"/>
  <c r="G22" i="4"/>
  <c r="H22" i="4"/>
  <c r="F22" i="4"/>
  <c r="G13" i="4"/>
  <c r="H13" i="4"/>
  <c r="F13" i="4"/>
  <c r="B121" i="4"/>
  <c r="B112" i="4"/>
  <c r="B103" i="4"/>
  <c r="B94" i="4"/>
  <c r="B85" i="4"/>
  <c r="B76" i="4"/>
  <c r="B67" i="4"/>
  <c r="B58" i="4"/>
  <c r="B49" i="4"/>
  <c r="B40" i="4"/>
  <c r="B31" i="4"/>
  <c r="B22" i="4"/>
  <c r="B13" i="4"/>
  <c r="G112" i="5"/>
  <c r="H112" i="5"/>
  <c r="F112" i="5"/>
  <c r="B121" i="5"/>
  <c r="B112" i="5"/>
  <c r="B103" i="5"/>
  <c r="B94" i="5"/>
  <c r="B85" i="5"/>
  <c r="B76" i="5"/>
  <c r="B67" i="5"/>
  <c r="B58" i="5"/>
  <c r="B49" i="5"/>
  <c r="B40" i="5"/>
  <c r="B31" i="5"/>
  <c r="B22" i="5"/>
  <c r="B13" i="5"/>
  <c r="G120" i="3"/>
  <c r="F120" i="3"/>
  <c r="G111" i="3"/>
  <c r="F111" i="3"/>
  <c r="G102" i="3"/>
  <c r="F102" i="3"/>
  <c r="G93" i="3"/>
  <c r="F93" i="3"/>
  <c r="G84" i="3"/>
  <c r="F84" i="3"/>
  <c r="G75" i="3"/>
  <c r="F75" i="3"/>
  <c r="G66" i="3"/>
  <c r="F66" i="3"/>
  <c r="G57" i="3"/>
  <c r="F57" i="3"/>
  <c r="G48" i="3"/>
  <c r="F48" i="3"/>
  <c r="G39" i="3"/>
  <c r="F39" i="3"/>
  <c r="G30" i="3"/>
  <c r="F30" i="3"/>
  <c r="G21" i="3"/>
  <c r="F21" i="3"/>
  <c r="B120" i="3"/>
  <c r="B111" i="3"/>
  <c r="B102" i="3"/>
  <c r="B93" i="3"/>
  <c r="B84" i="3"/>
  <c r="B75" i="3"/>
  <c r="B66" i="3"/>
  <c r="B57" i="3"/>
  <c r="B48" i="3"/>
  <c r="B39" i="3"/>
  <c r="B30" i="3"/>
  <c r="B21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0" i="1"/>
  <c r="I120" i="1"/>
  <c r="H120" i="1"/>
  <c r="E120" i="1"/>
  <c r="M111" i="1"/>
  <c r="I111" i="1"/>
  <c r="E111" i="1"/>
  <c r="M102" i="1"/>
  <c r="I102" i="1"/>
  <c r="E102" i="1"/>
  <c r="M93" i="1"/>
  <c r="I93" i="1"/>
  <c r="E93" i="1"/>
  <c r="M84" i="1"/>
  <c r="I84" i="1"/>
  <c r="E84" i="1"/>
  <c r="M75" i="1"/>
  <c r="I75" i="1"/>
  <c r="E75" i="1"/>
  <c r="M66" i="1"/>
  <c r="I66" i="1"/>
  <c r="E66" i="1"/>
  <c r="M57" i="1"/>
  <c r="I57" i="1"/>
  <c r="E57" i="1"/>
  <c r="M48" i="1"/>
  <c r="J48" i="1"/>
  <c r="I48" i="1"/>
  <c r="E48" i="1"/>
  <c r="M39" i="1"/>
  <c r="I39" i="1"/>
  <c r="E39" i="1"/>
  <c r="M30" i="1"/>
  <c r="I30" i="1"/>
  <c r="H30" i="1"/>
  <c r="E30" i="1"/>
  <c r="M21" i="1"/>
  <c r="J21" i="1"/>
  <c r="I21" i="1"/>
  <c r="E21" i="1"/>
  <c r="M12" i="1"/>
  <c r="I12" i="1"/>
  <c r="H12" i="1"/>
  <c r="E12" i="1"/>
  <c r="B120" i="1"/>
  <c r="B111" i="1"/>
  <c r="B102" i="1"/>
  <c r="B93" i="1"/>
  <c r="B84" i="1"/>
  <c r="B75" i="1"/>
  <c r="B66" i="1"/>
  <c r="B57" i="1"/>
  <c r="B48" i="1"/>
  <c r="B39" i="1"/>
  <c r="B30" i="1"/>
  <c r="B21" i="1"/>
  <c r="B12" i="1"/>
  <c r="F65" i="1"/>
  <c r="H65" i="1"/>
  <c r="G119" i="1"/>
  <c r="G110" i="1"/>
  <c r="G101" i="1"/>
  <c r="G92" i="1"/>
  <c r="G83" i="1"/>
  <c r="G74" i="1"/>
  <c r="G65" i="1"/>
  <c r="G56" i="1"/>
  <c r="G47" i="1"/>
  <c r="G38" i="1"/>
  <c r="H38" i="1"/>
  <c r="G29" i="1"/>
  <c r="G20" i="1"/>
  <c r="G11" i="1"/>
  <c r="G16" i="1"/>
  <c r="F119" i="1"/>
  <c r="F101" i="1"/>
  <c r="F92" i="1"/>
  <c r="F83" i="1"/>
  <c r="F74" i="1"/>
  <c r="F56" i="1"/>
  <c r="H47" i="1"/>
  <c r="F38" i="1"/>
  <c r="F29" i="1"/>
  <c r="H29" i="1"/>
  <c r="F20" i="1"/>
  <c r="J20" i="1"/>
  <c r="G120" i="4"/>
  <c r="H120" i="4"/>
  <c r="F120" i="4"/>
  <c r="G111" i="4"/>
  <c r="H111" i="4"/>
  <c r="F111" i="4"/>
  <c r="G102" i="4"/>
  <c r="H102" i="4"/>
  <c r="F102" i="4"/>
  <c r="G93" i="4"/>
  <c r="H93" i="4"/>
  <c r="F93" i="4"/>
  <c r="G84" i="4"/>
  <c r="H84" i="4"/>
  <c r="F84" i="4"/>
  <c r="G75" i="4"/>
  <c r="H75" i="4"/>
  <c r="F75" i="4"/>
  <c r="G66" i="4"/>
  <c r="H66" i="4"/>
  <c r="F66" i="4"/>
  <c r="G57" i="4"/>
  <c r="H57" i="4"/>
  <c r="F57" i="4"/>
  <c r="G48" i="4"/>
  <c r="H48" i="4"/>
  <c r="F48" i="4"/>
  <c r="G39" i="4"/>
  <c r="H39" i="4"/>
  <c r="F39" i="4"/>
  <c r="G30" i="4"/>
  <c r="H30" i="4"/>
  <c r="F30" i="4"/>
  <c r="G21" i="4"/>
  <c r="H21" i="4"/>
  <c r="F21" i="4"/>
  <c r="G12" i="4"/>
  <c r="H12" i="4"/>
  <c r="F12" i="4"/>
  <c r="B120" i="4"/>
  <c r="B111" i="4"/>
  <c r="B102" i="4"/>
  <c r="B93" i="4"/>
  <c r="B84" i="4"/>
  <c r="B75" i="4"/>
  <c r="B66" i="4"/>
  <c r="B57" i="4"/>
  <c r="B48" i="4"/>
  <c r="B39" i="4"/>
  <c r="B30" i="4"/>
  <c r="B21" i="4"/>
  <c r="B12" i="4"/>
  <c r="G111" i="5"/>
  <c r="H111" i="5"/>
  <c r="F111" i="5"/>
  <c r="B120" i="5"/>
  <c r="B111" i="5"/>
  <c r="B102" i="5"/>
  <c r="B93" i="5"/>
  <c r="B84" i="5"/>
  <c r="B75" i="5"/>
  <c r="B66" i="5"/>
  <c r="B57" i="5"/>
  <c r="B48" i="5"/>
  <c r="B39" i="5"/>
  <c r="B30" i="5"/>
  <c r="B21" i="5"/>
  <c r="B12" i="5"/>
  <c r="G119" i="3"/>
  <c r="F119" i="3"/>
  <c r="G110" i="3"/>
  <c r="F110" i="3"/>
  <c r="G101" i="3"/>
  <c r="F101" i="3"/>
  <c r="G92" i="3"/>
  <c r="F92" i="3"/>
  <c r="G83" i="3"/>
  <c r="F83" i="3"/>
  <c r="G74" i="3"/>
  <c r="F74" i="3"/>
  <c r="G65" i="3"/>
  <c r="F65" i="3"/>
  <c r="G56" i="3"/>
  <c r="F56" i="3"/>
  <c r="G47" i="3"/>
  <c r="F47" i="3"/>
  <c r="G38" i="3"/>
  <c r="F38" i="3"/>
  <c r="G29" i="3"/>
  <c r="F29" i="3"/>
  <c r="G20" i="3"/>
  <c r="F20" i="3"/>
  <c r="B119" i="3"/>
  <c r="B110" i="3"/>
  <c r="B101" i="3"/>
  <c r="B92" i="3"/>
  <c r="B83" i="3"/>
  <c r="B74" i="3"/>
  <c r="B65" i="3"/>
  <c r="B56" i="3"/>
  <c r="B47" i="3"/>
  <c r="B38" i="3"/>
  <c r="B29" i="3"/>
  <c r="B20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9" i="1"/>
  <c r="J119" i="1"/>
  <c r="I119" i="1"/>
  <c r="E119" i="1"/>
  <c r="M110" i="1"/>
  <c r="I110" i="1"/>
  <c r="E110" i="1"/>
  <c r="M101" i="1"/>
  <c r="J101" i="1"/>
  <c r="I101" i="1"/>
  <c r="E101" i="1"/>
  <c r="M92" i="1"/>
  <c r="J92" i="1"/>
  <c r="I92" i="1"/>
  <c r="E92" i="1"/>
  <c r="M83" i="1"/>
  <c r="J83" i="1"/>
  <c r="I83" i="1"/>
  <c r="H83" i="1"/>
  <c r="E83" i="1"/>
  <c r="M74" i="1"/>
  <c r="J74" i="1"/>
  <c r="I74" i="1"/>
  <c r="E74" i="1"/>
  <c r="M65" i="1"/>
  <c r="I65" i="1"/>
  <c r="E65" i="1"/>
  <c r="M56" i="1"/>
  <c r="J56" i="1"/>
  <c r="I56" i="1"/>
  <c r="E56" i="1"/>
  <c r="M47" i="1"/>
  <c r="J47" i="1"/>
  <c r="I47" i="1"/>
  <c r="E47" i="1"/>
  <c r="M38" i="1"/>
  <c r="J38" i="1"/>
  <c r="I38" i="1"/>
  <c r="E38" i="1"/>
  <c r="M29" i="1"/>
  <c r="J29" i="1"/>
  <c r="I29" i="1"/>
  <c r="E29" i="1"/>
  <c r="M20" i="1"/>
  <c r="I20" i="1"/>
  <c r="E20" i="1"/>
  <c r="M11" i="1"/>
  <c r="I11" i="1"/>
  <c r="E11" i="1"/>
  <c r="B119" i="1"/>
  <c r="B110" i="1"/>
  <c r="B101" i="1"/>
  <c r="B92" i="1"/>
  <c r="B83" i="1"/>
  <c r="B74" i="1"/>
  <c r="B65" i="1"/>
  <c r="B56" i="1"/>
  <c r="B47" i="1"/>
  <c r="B38" i="1"/>
  <c r="B29" i="1"/>
  <c r="B20" i="1"/>
  <c r="B11" i="1"/>
  <c r="G119" i="4"/>
  <c r="H119" i="4"/>
  <c r="F119" i="4"/>
  <c r="G110" i="4"/>
  <c r="H110" i="4"/>
  <c r="F110" i="4"/>
  <c r="G101" i="4"/>
  <c r="H101" i="4"/>
  <c r="F101" i="4"/>
  <c r="G92" i="4"/>
  <c r="H92" i="4"/>
  <c r="F92" i="4"/>
  <c r="G83" i="4"/>
  <c r="H83" i="4"/>
  <c r="F83" i="4"/>
  <c r="G74" i="4"/>
  <c r="H74" i="4"/>
  <c r="F74" i="4"/>
  <c r="G65" i="4"/>
  <c r="H65" i="4"/>
  <c r="F65" i="4"/>
  <c r="G56" i="4"/>
  <c r="H56" i="4"/>
  <c r="F56" i="4"/>
  <c r="G47" i="4"/>
  <c r="H47" i="4"/>
  <c r="F47" i="4"/>
  <c r="G38" i="4"/>
  <c r="H38" i="4"/>
  <c r="F38" i="4"/>
  <c r="G29" i="4"/>
  <c r="H29" i="4"/>
  <c r="F29" i="4"/>
  <c r="G20" i="4"/>
  <c r="H20" i="4"/>
  <c r="F20" i="4"/>
  <c r="G11" i="4"/>
  <c r="H11" i="4"/>
  <c r="F11" i="4"/>
  <c r="B119" i="4"/>
  <c r="B110" i="4"/>
  <c r="B101" i="4"/>
  <c r="B92" i="4"/>
  <c r="B83" i="4"/>
  <c r="B74" i="4"/>
  <c r="B65" i="4"/>
  <c r="B56" i="4"/>
  <c r="B47" i="4"/>
  <c r="B38" i="4"/>
  <c r="B29" i="4"/>
  <c r="B20" i="4"/>
  <c r="B11" i="4"/>
  <c r="G110" i="5"/>
  <c r="H110" i="5"/>
  <c r="F110" i="5"/>
  <c r="B119" i="5"/>
  <c r="B110" i="5"/>
  <c r="B101" i="5"/>
  <c r="B92" i="5"/>
  <c r="B83" i="5"/>
  <c r="B74" i="5"/>
  <c r="B65" i="5"/>
  <c r="B56" i="5"/>
  <c r="B47" i="5"/>
  <c r="B38" i="5"/>
  <c r="B29" i="5"/>
  <c r="B20" i="5"/>
  <c r="B11" i="5"/>
  <c r="G118" i="3"/>
  <c r="F118" i="3"/>
  <c r="G109" i="3"/>
  <c r="F109" i="3"/>
  <c r="G100" i="3"/>
  <c r="F100" i="3"/>
  <c r="G91" i="3"/>
  <c r="F91" i="3"/>
  <c r="G82" i="3"/>
  <c r="F82" i="3"/>
  <c r="G73" i="3"/>
  <c r="F73" i="3"/>
  <c r="G64" i="3"/>
  <c r="F64" i="3"/>
  <c r="G55" i="3"/>
  <c r="F55" i="3"/>
  <c r="G46" i="3"/>
  <c r="F46" i="3"/>
  <c r="G37" i="3"/>
  <c r="F37" i="3"/>
  <c r="G28" i="3"/>
  <c r="F28" i="3"/>
  <c r="G19" i="3"/>
  <c r="F19" i="3"/>
  <c r="G10" i="3"/>
  <c r="F10" i="3"/>
  <c r="B118" i="3"/>
  <c r="B109" i="3"/>
  <c r="B100" i="3"/>
  <c r="B91" i="3"/>
  <c r="B82" i="3"/>
  <c r="B73" i="3"/>
  <c r="B64" i="3"/>
  <c r="B55" i="3"/>
  <c r="B46" i="3"/>
  <c r="B37" i="3"/>
  <c r="B28" i="3"/>
  <c r="B19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72" i="1"/>
  <c r="M118" i="1"/>
  <c r="J118" i="1"/>
  <c r="I118" i="1"/>
  <c r="H118" i="1"/>
  <c r="E118" i="1"/>
  <c r="G118" i="1"/>
  <c r="F118" i="1"/>
  <c r="M109" i="1"/>
  <c r="J109" i="1"/>
  <c r="I109" i="1"/>
  <c r="H109" i="1"/>
  <c r="E109" i="1"/>
  <c r="G109" i="1"/>
  <c r="F109" i="1"/>
  <c r="M100" i="1"/>
  <c r="J100" i="1"/>
  <c r="I100" i="1"/>
  <c r="H100" i="1"/>
  <c r="E100" i="1"/>
  <c r="G100" i="1"/>
  <c r="F100" i="1"/>
  <c r="M91" i="1"/>
  <c r="J91" i="1"/>
  <c r="I91" i="1"/>
  <c r="H91" i="1"/>
  <c r="E91" i="1"/>
  <c r="G91" i="1"/>
  <c r="F91" i="1"/>
  <c r="M82" i="1"/>
  <c r="J82" i="1"/>
  <c r="I82" i="1"/>
  <c r="H82" i="1"/>
  <c r="E82" i="1"/>
  <c r="G82" i="1"/>
  <c r="F82" i="1"/>
  <c r="M73" i="1"/>
  <c r="I73" i="1"/>
  <c r="E73" i="1"/>
  <c r="G73" i="1"/>
  <c r="M64" i="1"/>
  <c r="J64" i="1"/>
  <c r="I64" i="1"/>
  <c r="H64" i="1"/>
  <c r="E64" i="1"/>
  <c r="G64" i="1"/>
  <c r="F64" i="1"/>
  <c r="M55" i="1"/>
  <c r="J55" i="1"/>
  <c r="I55" i="1"/>
  <c r="H55" i="1"/>
  <c r="E55" i="1"/>
  <c r="G55" i="1"/>
  <c r="F55" i="1"/>
  <c r="M46" i="1"/>
  <c r="J46" i="1"/>
  <c r="I46" i="1"/>
  <c r="H46" i="1"/>
  <c r="E46" i="1"/>
  <c r="G46" i="1"/>
  <c r="F46" i="1"/>
  <c r="M37" i="1"/>
  <c r="I37" i="1"/>
  <c r="E37" i="1"/>
  <c r="G37" i="1"/>
  <c r="J37" i="1"/>
  <c r="M28" i="1"/>
  <c r="J28" i="1"/>
  <c r="I28" i="1"/>
  <c r="H28" i="1"/>
  <c r="E28" i="1"/>
  <c r="G28" i="1"/>
  <c r="F28" i="1"/>
  <c r="M19" i="1"/>
  <c r="I19" i="1"/>
  <c r="E19" i="1"/>
  <c r="G19" i="1"/>
  <c r="F19" i="1"/>
  <c r="H19" i="1"/>
  <c r="M10" i="1"/>
  <c r="J10" i="1"/>
  <c r="I10" i="1"/>
  <c r="H10" i="1"/>
  <c r="E10" i="1"/>
  <c r="G10" i="1"/>
  <c r="F10" i="1"/>
  <c r="B118" i="1"/>
  <c r="B109" i="1"/>
  <c r="B100" i="1"/>
  <c r="B91" i="1"/>
  <c r="B82" i="1"/>
  <c r="B73" i="1"/>
  <c r="B64" i="1"/>
  <c r="B55" i="1"/>
  <c r="B46" i="1"/>
  <c r="B37" i="1"/>
  <c r="B28" i="1"/>
  <c r="B19" i="1"/>
  <c r="B10" i="1"/>
  <c r="B118" i="4"/>
  <c r="B109" i="4"/>
  <c r="B100" i="4"/>
  <c r="B91" i="4"/>
  <c r="B82" i="4"/>
  <c r="B73" i="4"/>
  <c r="B64" i="4"/>
  <c r="B55" i="4"/>
  <c r="B46" i="4"/>
  <c r="B37" i="4"/>
  <c r="B28" i="4"/>
  <c r="B19" i="4"/>
  <c r="B10" i="4"/>
  <c r="B118" i="5"/>
  <c r="B109" i="5"/>
  <c r="B100" i="5"/>
  <c r="B91" i="5"/>
  <c r="B82" i="5"/>
  <c r="B73" i="5"/>
  <c r="B64" i="5"/>
  <c r="B55" i="5"/>
  <c r="B46" i="5"/>
  <c r="B37" i="5"/>
  <c r="B28" i="5"/>
  <c r="B19" i="5"/>
  <c r="B10" i="5"/>
  <c r="B117" i="3"/>
  <c r="B108" i="3"/>
  <c r="B99" i="3"/>
  <c r="B90" i="3"/>
  <c r="B81" i="3"/>
  <c r="B72" i="3"/>
  <c r="B63" i="3"/>
  <c r="B54" i="3"/>
  <c r="B45" i="3"/>
  <c r="B36" i="3"/>
  <c r="B27" i="3"/>
  <c r="B18" i="3"/>
  <c r="B9" i="3"/>
  <c r="A31" i="2"/>
  <c r="A10" i="2"/>
  <c r="G117" i="1"/>
  <c r="F117" i="1"/>
  <c r="G108" i="1"/>
  <c r="F108" i="1"/>
  <c r="G99" i="1"/>
  <c r="F99" i="1"/>
  <c r="G90" i="1"/>
  <c r="F90" i="1"/>
  <c r="G81" i="1"/>
  <c r="F81" i="1"/>
  <c r="F72" i="1"/>
  <c r="G63" i="1"/>
  <c r="F63" i="1"/>
  <c r="G54" i="1"/>
  <c r="F54" i="1"/>
  <c r="G45" i="1"/>
  <c r="F45" i="1"/>
  <c r="G36" i="1"/>
  <c r="G27" i="1"/>
  <c r="F27" i="1"/>
  <c r="G18" i="1"/>
  <c r="F18" i="1"/>
  <c r="G9" i="1"/>
  <c r="F9" i="1"/>
  <c r="B117" i="1"/>
  <c r="B108" i="1"/>
  <c r="B99" i="1"/>
  <c r="B90" i="1"/>
  <c r="B81" i="1"/>
  <c r="B72" i="1"/>
  <c r="B63" i="1"/>
  <c r="B54" i="1"/>
  <c r="B45" i="1"/>
  <c r="B36" i="1"/>
  <c r="B27" i="1"/>
  <c r="B18" i="1"/>
  <c r="B9" i="1"/>
  <c r="J90" i="1"/>
  <c r="F16" i="1"/>
  <c r="F109" i="5"/>
  <c r="J99" i="1"/>
  <c r="J54" i="1"/>
  <c r="G109" i="5"/>
  <c r="H109" i="5"/>
  <c r="B10" i="2"/>
  <c r="E125" i="5"/>
  <c r="D125" i="5"/>
  <c r="C125" i="5"/>
  <c r="E116" i="5"/>
  <c r="D116" i="5"/>
  <c r="C116" i="5"/>
  <c r="E107" i="5"/>
  <c r="D107" i="5"/>
  <c r="C107" i="5"/>
  <c r="E98" i="5"/>
  <c r="D98" i="5"/>
  <c r="C98" i="5"/>
  <c r="E89" i="5"/>
  <c r="D89" i="5"/>
  <c r="C89" i="5"/>
  <c r="E80" i="5"/>
  <c r="D80" i="5"/>
  <c r="C80" i="5"/>
  <c r="E71" i="5"/>
  <c r="D71" i="5"/>
  <c r="C71" i="5"/>
  <c r="E62" i="5"/>
  <c r="D62" i="5"/>
  <c r="C62" i="5"/>
  <c r="E53" i="5"/>
  <c r="D53" i="5"/>
  <c r="C53" i="5"/>
  <c r="E44" i="5"/>
  <c r="F44" i="5"/>
  <c r="D44" i="5"/>
  <c r="C44" i="5"/>
  <c r="E35" i="5"/>
  <c r="D35" i="5"/>
  <c r="C35" i="5"/>
  <c r="E26" i="5"/>
  <c r="D26" i="5"/>
  <c r="C26" i="5"/>
  <c r="E17" i="5"/>
  <c r="D17" i="5"/>
  <c r="F17" i="5"/>
  <c r="C17" i="5"/>
  <c r="L43" i="1"/>
  <c r="M43" i="1"/>
  <c r="F55" i="4"/>
  <c r="F54" i="3"/>
  <c r="M54" i="1"/>
  <c r="E54" i="1"/>
  <c r="F118" i="4"/>
  <c r="F117" i="3"/>
  <c r="G31" i="2"/>
  <c r="G10" i="2"/>
  <c r="M117" i="1"/>
  <c r="E117" i="1"/>
  <c r="E62" i="4"/>
  <c r="F62" i="4"/>
  <c r="D62" i="4"/>
  <c r="G62" i="4"/>
  <c r="H62" i="4"/>
  <c r="C62" i="4"/>
  <c r="G55" i="4"/>
  <c r="H55" i="4"/>
  <c r="E61" i="3"/>
  <c r="F61" i="3"/>
  <c r="D61" i="3"/>
  <c r="G61" i="3"/>
  <c r="C61" i="3"/>
  <c r="G54" i="3"/>
  <c r="L61" i="1"/>
  <c r="D61" i="1"/>
  <c r="E61" i="1"/>
  <c r="C61" i="1"/>
  <c r="I54" i="1"/>
  <c r="G118" i="4"/>
  <c r="H118" i="4"/>
  <c r="G117" i="3"/>
  <c r="I117" i="1"/>
  <c r="D16" i="1"/>
  <c r="E16" i="1"/>
  <c r="D25" i="1"/>
  <c r="D34" i="1"/>
  <c r="E34" i="1"/>
  <c r="D43" i="1"/>
  <c r="D52" i="1"/>
  <c r="D70" i="1"/>
  <c r="D79" i="1"/>
  <c r="D88" i="1"/>
  <c r="D97" i="1"/>
  <c r="D106" i="1"/>
  <c r="E106" i="1"/>
  <c r="D115" i="1"/>
  <c r="D124" i="1"/>
  <c r="E124" i="1"/>
  <c r="C124" i="1"/>
  <c r="C125" i="4"/>
  <c r="D125" i="4"/>
  <c r="C124" i="3"/>
  <c r="D124" i="3"/>
  <c r="E17" i="4"/>
  <c r="E26" i="4"/>
  <c r="E35" i="4"/>
  <c r="E44" i="4"/>
  <c r="E53" i="4"/>
  <c r="E71" i="4"/>
  <c r="E80" i="4"/>
  <c r="E89" i="4"/>
  <c r="E98" i="4"/>
  <c r="E107" i="4"/>
  <c r="F107" i="4"/>
  <c r="E116" i="4"/>
  <c r="E125" i="4"/>
  <c r="D17" i="4"/>
  <c r="F17" i="4"/>
  <c r="D26" i="4"/>
  <c r="F26" i="4"/>
  <c r="D35" i="4"/>
  <c r="D44" i="4"/>
  <c r="F44" i="4"/>
  <c r="D53" i="4"/>
  <c r="F53" i="4"/>
  <c r="D71" i="4"/>
  <c r="D80" i="4"/>
  <c r="F80" i="4"/>
  <c r="D89" i="4"/>
  <c r="F89" i="4"/>
  <c r="D98" i="4"/>
  <c r="F98" i="4"/>
  <c r="D107" i="4"/>
  <c r="G107" i="4"/>
  <c r="H107" i="4"/>
  <c r="D116" i="4"/>
  <c r="G116" i="4"/>
  <c r="H116" i="4"/>
  <c r="C17" i="4"/>
  <c r="C26" i="4"/>
  <c r="G26" i="4"/>
  <c r="H26" i="4"/>
  <c r="C35" i="4"/>
  <c r="G35" i="4"/>
  <c r="H35" i="4"/>
  <c r="C44" i="4"/>
  <c r="C53" i="4"/>
  <c r="C71" i="4"/>
  <c r="G71" i="4"/>
  <c r="H71" i="4"/>
  <c r="C80" i="4"/>
  <c r="G80" i="4"/>
  <c r="H80" i="4"/>
  <c r="C89" i="4"/>
  <c r="C98" i="4"/>
  <c r="C107" i="4"/>
  <c r="C116" i="4"/>
  <c r="F91" i="4"/>
  <c r="E16" i="3"/>
  <c r="F16" i="3"/>
  <c r="E25" i="3"/>
  <c r="E34" i="3"/>
  <c r="E43" i="3"/>
  <c r="E52" i="3"/>
  <c r="E70" i="3"/>
  <c r="E79" i="3"/>
  <c r="E88" i="3"/>
  <c r="E97" i="3"/>
  <c r="F97" i="3"/>
  <c r="E106" i="3"/>
  <c r="E115" i="3"/>
  <c r="E124" i="3"/>
  <c r="D16" i="3"/>
  <c r="D25" i="3"/>
  <c r="D34" i="3"/>
  <c r="D43" i="3"/>
  <c r="F43" i="3"/>
  <c r="D52" i="3"/>
  <c r="G52" i="3"/>
  <c r="D70" i="3"/>
  <c r="D79" i="3"/>
  <c r="D88" i="3"/>
  <c r="D97" i="3"/>
  <c r="G97" i="3"/>
  <c r="D106" i="3"/>
  <c r="G106" i="3"/>
  <c r="D115" i="3"/>
  <c r="F115" i="3"/>
  <c r="C16" i="3"/>
  <c r="G16" i="3"/>
  <c r="C25" i="3"/>
  <c r="C34" i="3"/>
  <c r="C43" i="3"/>
  <c r="G43" i="3"/>
  <c r="C52" i="3"/>
  <c r="C70" i="3"/>
  <c r="C79" i="3"/>
  <c r="C88" i="3"/>
  <c r="G88" i="3"/>
  <c r="C97" i="3"/>
  <c r="C106" i="3"/>
  <c r="C115" i="3"/>
  <c r="F90" i="3"/>
  <c r="M90" i="1"/>
  <c r="E90" i="1"/>
  <c r="L16" i="1"/>
  <c r="L25" i="1"/>
  <c r="L34" i="1"/>
  <c r="L52" i="1"/>
  <c r="L70" i="1"/>
  <c r="L79" i="1"/>
  <c r="M79" i="1"/>
  <c r="L88" i="1"/>
  <c r="L97" i="1"/>
  <c r="L106" i="1"/>
  <c r="L115" i="1"/>
  <c r="K16" i="1"/>
  <c r="K25" i="1"/>
  <c r="C16" i="1"/>
  <c r="C25" i="1"/>
  <c r="C34" i="1"/>
  <c r="C43" i="1"/>
  <c r="C52" i="1"/>
  <c r="C70" i="1"/>
  <c r="C79" i="1"/>
  <c r="E79" i="1"/>
  <c r="C88" i="1"/>
  <c r="I88" i="1"/>
  <c r="C97" i="1"/>
  <c r="C106" i="1"/>
  <c r="C115" i="1"/>
  <c r="E99" i="1"/>
  <c r="I99" i="1"/>
  <c r="M99" i="1"/>
  <c r="K97" i="1"/>
  <c r="I97" i="1"/>
  <c r="F109" i="4"/>
  <c r="K31" i="2"/>
  <c r="K10" i="2"/>
  <c r="K43" i="1"/>
  <c r="K52" i="1"/>
  <c r="J52" i="1"/>
  <c r="M52" i="1"/>
  <c r="K70" i="1"/>
  <c r="M70" i="1"/>
  <c r="K79" i="1"/>
  <c r="K88" i="1"/>
  <c r="M88" i="1"/>
  <c r="K115" i="1"/>
  <c r="J115" i="1"/>
  <c r="I90" i="1"/>
  <c r="G91" i="4"/>
  <c r="H91" i="4"/>
  <c r="G90" i="3"/>
  <c r="F73" i="4"/>
  <c r="F72" i="3"/>
  <c r="N31" i="2"/>
  <c r="M31" i="2"/>
  <c r="L31" i="2"/>
  <c r="J31" i="2"/>
  <c r="I31" i="2"/>
  <c r="H31" i="2"/>
  <c r="F31" i="2"/>
  <c r="E31" i="2"/>
  <c r="C31" i="2"/>
  <c r="B31" i="2"/>
  <c r="M72" i="1"/>
  <c r="E72" i="1"/>
  <c r="I10" i="2"/>
  <c r="G73" i="4"/>
  <c r="H73" i="4"/>
  <c r="G82" i="4"/>
  <c r="H82" i="4"/>
  <c r="F82" i="4"/>
  <c r="G72" i="3"/>
  <c r="I72" i="1"/>
  <c r="F10" i="4"/>
  <c r="G10" i="4"/>
  <c r="H10" i="4"/>
  <c r="I9" i="1"/>
  <c r="I18" i="1"/>
  <c r="I36" i="1"/>
  <c r="I45" i="1"/>
  <c r="I63" i="1"/>
  <c r="I81" i="1"/>
  <c r="I108" i="1"/>
  <c r="E9" i="1"/>
  <c r="M9" i="1"/>
  <c r="E18" i="1"/>
  <c r="M18" i="1"/>
  <c r="E27" i="1"/>
  <c r="E36" i="1"/>
  <c r="M36" i="1"/>
  <c r="E45" i="1"/>
  <c r="M45" i="1"/>
  <c r="E63" i="1"/>
  <c r="M63" i="1"/>
  <c r="E81" i="1"/>
  <c r="M81" i="1"/>
  <c r="E108" i="1"/>
  <c r="M108" i="1"/>
  <c r="F19" i="4"/>
  <c r="G19" i="4"/>
  <c r="H19" i="4"/>
  <c r="F28" i="4"/>
  <c r="G28" i="4"/>
  <c r="H28" i="4"/>
  <c r="F37" i="4"/>
  <c r="G37" i="4"/>
  <c r="H37" i="4"/>
  <c r="F46" i="4"/>
  <c r="G46" i="4"/>
  <c r="H46" i="4"/>
  <c r="F64" i="4"/>
  <c r="G64" i="4"/>
  <c r="H64" i="4"/>
  <c r="F100" i="4"/>
  <c r="G100" i="4"/>
  <c r="H100" i="4"/>
  <c r="G109" i="4"/>
  <c r="H109" i="4"/>
  <c r="F9" i="3"/>
  <c r="F18" i="3"/>
  <c r="G18" i="3"/>
  <c r="F27" i="3"/>
  <c r="G27" i="3"/>
  <c r="F36" i="3"/>
  <c r="G36" i="3"/>
  <c r="F45" i="3"/>
  <c r="G45" i="3"/>
  <c r="F63" i="3"/>
  <c r="G63" i="3"/>
  <c r="F81" i="3"/>
  <c r="G81" i="3"/>
  <c r="F99" i="3"/>
  <c r="G99" i="3"/>
  <c r="F108" i="3"/>
  <c r="G108" i="3"/>
  <c r="G9" i="3"/>
  <c r="C10" i="2"/>
  <c r="D10" i="2"/>
  <c r="E10" i="2"/>
  <c r="F10" i="2"/>
  <c r="H10" i="2"/>
  <c r="J10" i="2"/>
  <c r="L10" i="2"/>
  <c r="M10" i="2"/>
  <c r="N10" i="2"/>
  <c r="I27" i="1"/>
  <c r="M27" i="1"/>
  <c r="K34" i="1"/>
  <c r="M34" i="1"/>
  <c r="D31" i="2"/>
  <c r="L124" i="1"/>
  <c r="K124" i="1"/>
  <c r="K61" i="1"/>
  <c r="M61" i="1"/>
  <c r="K106" i="1"/>
  <c r="M106" i="1"/>
  <c r="J18" i="1"/>
  <c r="H54" i="1"/>
  <c r="J9" i="1"/>
  <c r="H18" i="1"/>
  <c r="J27" i="1"/>
  <c r="H27" i="1"/>
  <c r="H9" i="1"/>
  <c r="H90" i="1"/>
  <c r="G52" i="1"/>
  <c r="H81" i="1"/>
  <c r="G88" i="1"/>
  <c r="H63" i="1"/>
  <c r="H99" i="1"/>
  <c r="G70" i="1"/>
  <c r="H108" i="1"/>
  <c r="H72" i="1"/>
  <c r="J63" i="1"/>
  <c r="J72" i="1"/>
  <c r="J45" i="1"/>
  <c r="J108" i="1"/>
  <c r="H45" i="1"/>
  <c r="J117" i="1"/>
  <c r="J81" i="1"/>
  <c r="H117" i="1"/>
  <c r="H119" i="1"/>
  <c r="H101" i="1"/>
  <c r="H92" i="1"/>
  <c r="H56" i="1"/>
  <c r="J19" i="1"/>
  <c r="H74" i="1"/>
  <c r="H20" i="1"/>
  <c r="J11" i="1"/>
  <c r="J65" i="1"/>
  <c r="G115" i="1"/>
  <c r="H115" i="1"/>
  <c r="H57" i="1"/>
  <c r="G43" i="1"/>
  <c r="H21" i="1"/>
  <c r="H110" i="1"/>
  <c r="H102" i="1"/>
  <c r="F97" i="1"/>
  <c r="H84" i="1"/>
  <c r="F61" i="1"/>
  <c r="H37" i="1"/>
  <c r="F43" i="1"/>
  <c r="G89" i="4"/>
  <c r="H89" i="4"/>
  <c r="F129" i="4"/>
  <c r="G98" i="4"/>
  <c r="H98" i="4"/>
  <c r="G17" i="4"/>
  <c r="H17" i="4"/>
  <c r="F129" i="5"/>
  <c r="F79" i="3"/>
  <c r="G79" i="3"/>
  <c r="G128" i="3"/>
  <c r="F25" i="3"/>
  <c r="G25" i="3"/>
  <c r="M115" i="1"/>
  <c r="H103" i="1"/>
  <c r="H58" i="1"/>
  <c r="M128" i="1"/>
  <c r="H13" i="1"/>
  <c r="E128" i="1"/>
  <c r="M124" i="1"/>
  <c r="H112" i="1"/>
  <c r="F106" i="1"/>
  <c r="H106" i="1"/>
  <c r="J73" i="1"/>
  <c r="H66" i="1"/>
  <c r="J66" i="1"/>
  <c r="J49" i="1"/>
  <c r="I34" i="1"/>
  <c r="F25" i="1"/>
  <c r="H22" i="1"/>
  <c r="I128" i="1"/>
  <c r="H128" i="1"/>
  <c r="F125" i="4"/>
  <c r="G125" i="4"/>
  <c r="H125" i="4"/>
  <c r="F116" i="4"/>
  <c r="F71" i="4"/>
  <c r="E127" i="4"/>
  <c r="G53" i="4"/>
  <c r="H53" i="4"/>
  <c r="G44" i="4"/>
  <c r="H44" i="4"/>
  <c r="F35" i="4"/>
  <c r="D127" i="4"/>
  <c r="C127" i="4"/>
  <c r="F116" i="5"/>
  <c r="G116" i="5"/>
  <c r="H116" i="5"/>
  <c r="D127" i="5"/>
  <c r="E127" i="5"/>
  <c r="F127" i="5"/>
  <c r="C127" i="5"/>
  <c r="F124" i="3"/>
  <c r="G124" i="3"/>
  <c r="G115" i="3"/>
  <c r="F106" i="3"/>
  <c r="F88" i="3"/>
  <c r="F70" i="3"/>
  <c r="G70" i="3"/>
  <c r="F52" i="3"/>
  <c r="C126" i="3"/>
  <c r="F34" i="3"/>
  <c r="G34" i="3"/>
  <c r="D126" i="3"/>
  <c r="E126" i="3"/>
  <c r="H44" i="2"/>
  <c r="O36" i="2"/>
  <c r="O15" i="2"/>
  <c r="H88" i="1"/>
  <c r="F88" i="1"/>
  <c r="J88" i="1"/>
  <c r="E97" i="1"/>
  <c r="J67" i="1"/>
  <c r="F70" i="1"/>
  <c r="J70" i="1"/>
  <c r="H40" i="1"/>
  <c r="J128" i="1"/>
  <c r="I124" i="1"/>
  <c r="J124" i="1"/>
  <c r="H124" i="1"/>
  <c r="I115" i="1"/>
  <c r="E115" i="1"/>
  <c r="I106" i="1"/>
  <c r="J106" i="1"/>
  <c r="M97" i="1"/>
  <c r="J97" i="1"/>
  <c r="H97" i="1"/>
  <c r="E88" i="1"/>
  <c r="J79" i="1"/>
  <c r="H79" i="1"/>
  <c r="I79" i="1"/>
  <c r="E70" i="1"/>
  <c r="I70" i="1"/>
  <c r="J61" i="1"/>
  <c r="I61" i="1"/>
  <c r="H61" i="1"/>
  <c r="E52" i="1"/>
  <c r="I52" i="1"/>
  <c r="J43" i="1"/>
  <c r="H43" i="1"/>
  <c r="E43" i="1"/>
  <c r="I43" i="1"/>
  <c r="K126" i="1"/>
  <c r="H34" i="1"/>
  <c r="J34" i="1"/>
  <c r="L126" i="1"/>
  <c r="M25" i="1"/>
  <c r="I25" i="1"/>
  <c r="G126" i="1"/>
  <c r="H25" i="1"/>
  <c r="J25" i="1"/>
  <c r="C126" i="1"/>
  <c r="E25" i="1"/>
  <c r="M16" i="1"/>
  <c r="H16" i="1"/>
  <c r="J16" i="1"/>
  <c r="D126" i="1"/>
  <c r="I16" i="1"/>
  <c r="E23" i="2"/>
  <c r="G44" i="2"/>
  <c r="K23" i="2"/>
  <c r="E44" i="2"/>
  <c r="C23" i="2"/>
  <c r="J44" i="2"/>
  <c r="M44" i="2"/>
  <c r="M23" i="2"/>
  <c r="D23" i="2"/>
  <c r="I23" i="2"/>
  <c r="I44" i="2"/>
  <c r="F44" i="2"/>
  <c r="O35" i="2"/>
  <c r="B44" i="2"/>
  <c r="F23" i="2"/>
  <c r="K44" i="2"/>
  <c r="G23" i="2"/>
  <c r="O31" i="2"/>
  <c r="L44" i="2"/>
  <c r="C44" i="2"/>
  <c r="O12" i="2"/>
  <c r="O13" i="2"/>
  <c r="N23" i="2"/>
  <c r="O34" i="2"/>
  <c r="O14" i="2"/>
  <c r="L23" i="2"/>
  <c r="O11" i="2"/>
  <c r="D44" i="2"/>
  <c r="J23" i="2"/>
  <c r="N44" i="2"/>
  <c r="H23" i="2"/>
  <c r="O33" i="2"/>
  <c r="O10" i="2"/>
  <c r="O32" i="2"/>
  <c r="B23" i="2"/>
  <c r="F127" i="4"/>
  <c r="G127" i="4"/>
  <c r="H127" i="4"/>
  <c r="G127" i="5"/>
  <c r="H127" i="5"/>
  <c r="G126" i="3"/>
  <c r="F126" i="3"/>
  <c r="H70" i="1"/>
  <c r="F126" i="1"/>
  <c r="M126" i="1"/>
  <c r="I126" i="1"/>
  <c r="J126" i="1"/>
  <c r="H126" i="1"/>
  <c r="E126" i="1"/>
  <c r="O44" i="2"/>
  <c r="O23" i="2"/>
</calcChain>
</file>

<file path=xl/sharedStrings.xml><?xml version="1.0" encoding="utf-8"?>
<sst xmlns="http://schemas.openxmlformats.org/spreadsheetml/2006/main" count="241" uniqueCount="80">
  <si>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</si>
  <si>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</si>
  <si>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</si>
  <si>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</si>
  <si>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</si>
  <si>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</si>
  <si>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</si>
  <si>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</si>
  <si>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</si>
  <si>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</si>
  <si>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</si>
  <si>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</si>
  <si>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</si>
  <si>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</si>
  <si>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</si>
  <si>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</si>
  <si>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</si>
  <si>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</si>
  <si>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</si>
  <si>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</si>
  <si>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</si>
  <si>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</si>
  <si>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</si>
  <si>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</si>
  <si>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</si>
  <si>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</si>
  <si>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</si>
  <si>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</si>
  <si>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</si>
  <si>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</si>
  <si>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</si>
  <si>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</si>
  <si>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</si>
  <si>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</si>
  <si>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</si>
  <si>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</si>
  <si>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</si>
  <si>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</si>
  <si>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</si>
  <si>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</si>
  <si>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</si>
  <si>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</si>
  <si>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</si>
  <si>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</si>
  <si>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</si>
  <si>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</si>
  <si>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</si>
  <si>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</si>
  <si>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</si>
  <si>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</si>
  <si>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</si>
  <si>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</si>
  <si>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</si>
  <si>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</si>
  <si>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</si>
  <si>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</si>
  <si>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</si>
  <si>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</si>
  <si>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</si>
  <si>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</si>
  <si>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</si>
  <si>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</si>
  <si>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</si>
  <si>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</si>
  <si>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</si>
  <si>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</si>
  <si>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</si>
  <si>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</si>
  <si>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</si>
  <si>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</si>
  <si>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</si>
  <si>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</si>
  <si>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DECEMBER 31, 2023</t>
  </si>
  <si>
    <t>(as reported on the tax remittal database dtd 1/8/24)</t>
  </si>
  <si>
    <t>FOR THE MONTH ENDED:  DECEMBER 31, 2023</t>
  </si>
  <si>
    <t>THRU MONTH ENDED:   DECEMBER 31, 2023</t>
  </si>
  <si>
    <t>(as reported on the tax remittal database as of 1/08/24)</t>
  </si>
  <si>
    <t>THRU MONTH ENDED:    DECEMBER 31, 2023</t>
  </si>
  <si>
    <t>(as reported on the tax remittal database dtd 1/08/24)</t>
  </si>
  <si>
    <t>THRU MONTH ENDED:    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</si>
</sst>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2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00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73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4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4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185704</v>
      </c>
      <c r="D11" s="22">
        <v>190853</v>
      </c>
      <c r="E11" s="23">
        <f t="shared" si="0"/>
        <v>-2.6978879032553849E-2</v>
      </c>
      <c r="F11" s="21">
        <f>+C11-86770</f>
        <v>98934</v>
      </c>
      <c r="G11" s="21">
        <f>+D11-90801</f>
        <v>100052</v>
      </c>
      <c r="H11" s="23">
        <f t="shared" si="1"/>
        <v>-1.117418942150082E-2</v>
      </c>
      <c r="I11" s="24">
        <f t="shared" si="2"/>
        <v>68.841302179813027</v>
      </c>
      <c r="J11" s="24">
        <f t="shared" si="3"/>
        <v>129.21852123637981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169461</v>
      </c>
      <c r="D12" s="22">
        <v>191998</v>
      </c>
      <c r="E12" s="23">
        <f t="shared" si="0"/>
        <v>-0.1173814310565735</v>
      </c>
      <c r="F12" s="21">
        <f>+C12-78160</f>
        <v>91301</v>
      </c>
      <c r="G12" s="21">
        <f>+D12-90818</f>
        <v>101180</v>
      </c>
      <c r="H12" s="23">
        <f t="shared" si="1"/>
        <v>-9.763787309745009E-2</v>
      </c>
      <c r="I12" s="24">
        <f t="shared" si="2"/>
        <v>75.899825151509788</v>
      </c>
      <c r="J12" s="24">
        <f t="shared" si="3"/>
        <v>140.87534933899957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204702</v>
      </c>
      <c r="D14" s="22">
        <v>198171</v>
      </c>
      <c r="E14" s="23">
        <f t="shared" si="0"/>
        <v>3.2956386151354135E-2</v>
      </c>
      <c r="F14" s="21">
        <f>+C14-98466</f>
        <v>106236</v>
      </c>
      <c r="G14" s="21">
        <f>+D14-94881</f>
        <v>103290</v>
      </c>
      <c r="H14" s="23">
        <f t="shared" si="1"/>
        <v>2.8521638106302642E-2</v>
      </c>
      <c r="I14" s="24">
        <f t="shared" si="2"/>
        <v>67.40296621430177</v>
      </c>
      <c r="J14" s="24">
        <f t="shared" si="3"/>
        <v>129.87614358597838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customHeight="1" thickBot="1" x14ac:dyDescent="0.3">
      <c r="A15" s="19"/>
      <c r="B15" s="20"/>
      <c r="C15" s="21"/>
      <c r="D15" s="21"/>
      <c r="E15" s="23"/>
      <c r="F15" s="21"/>
      <c r="G15" s="21"/>
      <c r="H15" s="23"/>
      <c r="I15" s="24"/>
      <c r="J15" s="24"/>
      <c r="K15" s="21"/>
      <c r="L15" s="21"/>
      <c r="M15" s="25"/>
      <c r="N15" s="10"/>
      <c r="R15" s="2"/>
    </row>
    <row r="16" spans="1:18" ht="17.25" thickTop="1" thickBot="1" x14ac:dyDescent="0.3">
      <c r="A16" s="26" t="s">
        <v>14</v>
      </c>
      <c r="B16" s="27"/>
      <c r="C16" s="28">
        <f>SUM(C9:C15)</f>
        <v>1120499</v>
      </c>
      <c r="D16" s="28">
        <f>SUM(D9:D15)</f>
        <v>1179738</v>
      </c>
      <c r="E16" s="279">
        <f>(+C16-D16)/D16</f>
        <v>-5.0213691514556624E-2</v>
      </c>
      <c r="F16" s="28">
        <f>SUM(F9:F15)</f>
        <v>590034</v>
      </c>
      <c r="G16" s="28">
        <f>SUM(G9:G15)</f>
        <v>622924</v>
      </c>
      <c r="H16" s="30">
        <f>(+F16-G16)/G16</f>
        <v>-5.2799378415344406E-2</v>
      </c>
      <c r="I16" s="31">
        <f>K16/C16</f>
        <v>72.443970757671352</v>
      </c>
      <c r="J16" s="31">
        <f>K16/F16</f>
        <v>137.57410045861764</v>
      </c>
      <c r="K16" s="28">
        <f>SUM(K9:K15)</f>
        <v>81173396.789999992</v>
      </c>
      <c r="L16" s="28">
        <f>SUM(L9:L15)</f>
        <v>86467569.370000005</v>
      </c>
      <c r="M16" s="32">
        <f>(+K16-L16)/L16</f>
        <v>-6.1227262643939087E-2</v>
      </c>
      <c r="N16" s="10"/>
      <c r="R16" s="2"/>
    </row>
    <row r="17" spans="1:18" ht="15.75" customHeight="1" thickTop="1" x14ac:dyDescent="0.25">
      <c r="A17" s="15"/>
      <c r="B17" s="16"/>
      <c r="C17" s="16"/>
      <c r="D17" s="16"/>
      <c r="E17" s="17"/>
      <c r="F17" s="16"/>
      <c r="G17" s="16"/>
      <c r="H17" s="17"/>
      <c r="I17" s="16"/>
      <c r="J17" s="16"/>
      <c r="K17" s="195"/>
      <c r="L17" s="195"/>
      <c r="M17" s="18"/>
      <c r="N17" s="10"/>
      <c r="R17" s="2"/>
    </row>
    <row r="18" spans="1:18" ht="15.75" x14ac:dyDescent="0.25">
      <c r="A18" s="19" t="s">
        <v>15</v>
      </c>
      <c r="B18" s="20">
        <f>DATE(2023,7,1)</f>
        <v>45108</v>
      </c>
      <c r="C18" s="21">
        <v>114764</v>
      </c>
      <c r="D18" s="21">
        <v>114715</v>
      </c>
      <c r="E18" s="23">
        <f t="shared" ref="E18:E23" si="5">(+C18-D18)/D18</f>
        <v>4.2714553458571243E-4</v>
      </c>
      <c r="F18" s="21">
        <f>+C18-56037</f>
        <v>58727</v>
      </c>
      <c r="G18" s="21">
        <f>+D18-55568</f>
        <v>59147</v>
      </c>
      <c r="H18" s="23">
        <f t="shared" ref="H18:H23" si="6">(+F18-G18)/G18</f>
        <v>-7.1009518656905673E-3</v>
      </c>
      <c r="I18" s="24">
        <f t="shared" ref="I18:I23" si="7">K18/C18</f>
        <v>71.3647338886759</v>
      </c>
      <c r="J18" s="24">
        <f t="shared" ref="J18:J23" si="8">K18/F18</f>
        <v>139.46059427520561</v>
      </c>
      <c r="K18" s="21">
        <v>8190102.3200000003</v>
      </c>
      <c r="L18" s="21">
        <v>8395754.2100000009</v>
      </c>
      <c r="M18" s="25">
        <f t="shared" ref="M18:M23" si="9">(+K18-L18)/L18</f>
        <v>-2.4494748757062597E-2</v>
      </c>
      <c r="N18" s="10"/>
      <c r="R18" s="2"/>
    </row>
    <row r="19" spans="1:18" ht="15.75" x14ac:dyDescent="0.25">
      <c r="A19" s="19"/>
      <c r="B19" s="20">
        <f>DATE(2023,8,1)</f>
        <v>45139</v>
      </c>
      <c r="C19" s="21">
        <v>103488</v>
      </c>
      <c r="D19" s="21">
        <v>103784</v>
      </c>
      <c r="E19" s="23">
        <f t="shared" si="5"/>
        <v>-2.8520773915054346E-3</v>
      </c>
      <c r="F19" s="21">
        <f>+C19-50126</f>
        <v>53362</v>
      </c>
      <c r="G19" s="21">
        <f>+D19-49858</f>
        <v>53926</v>
      </c>
      <c r="H19" s="23">
        <f t="shared" si="6"/>
        <v>-1.0458776842339501E-2</v>
      </c>
      <c r="I19" s="24">
        <f t="shared" si="7"/>
        <v>72.262649099412499</v>
      </c>
      <c r="J19" s="24">
        <f t="shared" si="8"/>
        <v>140.14311738690455</v>
      </c>
      <c r="K19" s="21">
        <v>7478317.0300000003</v>
      </c>
      <c r="L19" s="21">
        <v>7565961.5300000003</v>
      </c>
      <c r="M19" s="25">
        <f t="shared" si="9"/>
        <v>-1.1584053084657965E-2</v>
      </c>
      <c r="N19" s="10"/>
      <c r="R19" s="2"/>
    </row>
    <row r="20" spans="1:18" ht="15.75" x14ac:dyDescent="0.25">
      <c r="A20" s="19"/>
      <c r="B20" s="20">
        <f>DATE(2023,9,1)</f>
        <v>45170</v>
      </c>
      <c r="C20" s="21">
        <v>100304</v>
      </c>
      <c r="D20" s="21">
        <v>107511</v>
      </c>
      <c r="E20" s="23">
        <f t="shared" si="5"/>
        <v>-6.7035001069657985E-2</v>
      </c>
      <c r="F20" s="21">
        <f>+C20-48762</f>
        <v>51542</v>
      </c>
      <c r="G20" s="21">
        <f>+D20-51983</f>
        <v>55528</v>
      </c>
      <c r="H20" s="23">
        <f t="shared" si="6"/>
        <v>-7.1783604667915279E-2</v>
      </c>
      <c r="I20" s="24">
        <f t="shared" si="7"/>
        <v>71.829143703142449</v>
      </c>
      <c r="J20" s="24">
        <f t="shared" si="8"/>
        <v>139.78406794458888</v>
      </c>
      <c r="K20" s="21">
        <v>7204750.4299999997</v>
      </c>
      <c r="L20" s="21">
        <v>7793918.54</v>
      </c>
      <c r="M20" s="25">
        <f t="shared" si="9"/>
        <v>-7.5593311243409581E-2</v>
      </c>
      <c r="N20" s="10"/>
      <c r="R20" s="2"/>
    </row>
    <row r="21" spans="1:18" ht="15.75" x14ac:dyDescent="0.25">
      <c r="A21" s="19"/>
      <c r="B21" s="20">
        <f>DATE(2023,10,1)</f>
        <v>45200</v>
      </c>
      <c r="C21" s="21">
        <v>93178</v>
      </c>
      <c r="D21" s="21">
        <v>104490</v>
      </c>
      <c r="E21" s="23">
        <f t="shared" si="5"/>
        <v>-0.10825916355632118</v>
      </c>
      <c r="F21" s="21">
        <f>+C21-45141</f>
        <v>48037</v>
      </c>
      <c r="G21" s="21">
        <f>+D21-49825</f>
        <v>54665</v>
      </c>
      <c r="H21" s="23">
        <f t="shared" si="6"/>
        <v>-0.121247599012165</v>
      </c>
      <c r="I21" s="24">
        <f t="shared" si="7"/>
        <v>70.092507136877799</v>
      </c>
      <c r="J21" s="24">
        <f t="shared" si="8"/>
        <v>135.95935695401462</v>
      </c>
      <c r="K21" s="21">
        <v>6531079.6299999999</v>
      </c>
      <c r="L21" s="21">
        <v>7661616.3399999999</v>
      </c>
      <c r="M21" s="25">
        <f t="shared" si="9"/>
        <v>-0.14755851243785981</v>
      </c>
      <c r="N21" s="10"/>
      <c r="R21" s="2"/>
    </row>
    <row r="22" spans="1:18" ht="15.75" x14ac:dyDescent="0.25">
      <c r="A22" s="19"/>
      <c r="B22" s="20">
        <f>DATE(2023,11,1)</f>
        <v>45231</v>
      </c>
      <c r="C22" s="21">
        <v>89400</v>
      </c>
      <c r="D22" s="21">
        <v>93678</v>
      </c>
      <c r="E22" s="23">
        <f t="shared" si="5"/>
        <v>-4.5667072311535259E-2</v>
      </c>
      <c r="F22" s="21">
        <f>+C22-43751</f>
        <v>45649</v>
      </c>
      <c r="G22" s="21">
        <f>+D22-44918</f>
        <v>48760</v>
      </c>
      <c r="H22" s="23">
        <f t="shared" si="6"/>
        <v>-6.3802296964725183E-2</v>
      </c>
      <c r="I22" s="24">
        <f t="shared" si="7"/>
        <v>75.990714653243842</v>
      </c>
      <c r="J22" s="24">
        <f t="shared" si="8"/>
        <v>148.82187758767989</v>
      </c>
      <c r="K22" s="21">
        <v>6793569.8899999997</v>
      </c>
      <c r="L22" s="21">
        <v>7032076.0599999996</v>
      </c>
      <c r="M22" s="25">
        <f t="shared" si="9"/>
        <v>-3.3916892815860689E-2</v>
      </c>
      <c r="N22" s="10"/>
      <c r="R22" s="2"/>
    </row>
    <row r="23" spans="1:18" ht="15.75" x14ac:dyDescent="0.25">
      <c r="A23" s="19"/>
      <c r="B23" s="20">
        <f>DATE(2023,12,1)</f>
        <v>45261</v>
      </c>
      <c r="C23" s="21">
        <v>103252</v>
      </c>
      <c r="D23" s="21">
        <v>102036</v>
      </c>
      <c r="E23" s="23">
        <f t="shared" si="5"/>
        <v>1.1917362499509978E-2</v>
      </c>
      <c r="F23" s="21">
        <f>+C23-51214</f>
        <v>52038</v>
      </c>
      <c r="G23" s="21">
        <f>+D23-49071</f>
        <v>52965</v>
      </c>
      <c r="H23" s="23">
        <f t="shared" si="6"/>
        <v>-1.7502124044180119E-2</v>
      </c>
      <c r="I23" s="24">
        <f t="shared" si="7"/>
        <v>75.600961918413205</v>
      </c>
      <c r="J23" s="24">
        <f t="shared" si="8"/>
        <v>150.00481417425726</v>
      </c>
      <c r="K23" s="21">
        <v>7805950.5199999996</v>
      </c>
      <c r="L23" s="21">
        <v>7398968.5199999996</v>
      </c>
      <c r="M23" s="25">
        <f t="shared" si="9"/>
        <v>5.500523470263393E-2</v>
      </c>
      <c r="N23" s="10"/>
      <c r="R23" s="2"/>
    </row>
    <row r="24" spans="1:18" ht="15.75" customHeight="1" thickBot="1" x14ac:dyDescent="0.3">
      <c r="A24" s="19"/>
      <c r="B24" s="20"/>
      <c r="C24" s="21"/>
      <c r="D24" s="21"/>
      <c r="E24" s="23"/>
      <c r="F24" s="21"/>
      <c r="G24" s="21"/>
      <c r="H24" s="23"/>
      <c r="I24" s="24"/>
      <c r="J24" s="24"/>
      <c r="K24" s="21"/>
      <c r="L24" s="21"/>
      <c r="M24" s="25"/>
      <c r="N24" s="10"/>
      <c r="R24" s="2"/>
    </row>
    <row r="25" spans="1:18" ht="17.25" customHeight="1" thickTop="1" thickBot="1" x14ac:dyDescent="0.3">
      <c r="A25" s="26" t="s">
        <v>14</v>
      </c>
      <c r="B25" s="27"/>
      <c r="C25" s="28">
        <f>SUM(C18:C24)</f>
        <v>604386</v>
      </c>
      <c r="D25" s="28">
        <f>SUM(D18:D24)</f>
        <v>626214</v>
      </c>
      <c r="E25" s="279">
        <f>(+C25-D25)/D25</f>
        <v>-3.4857093581427433E-2</v>
      </c>
      <c r="F25" s="28">
        <f>SUM(F18:F24)</f>
        <v>309355</v>
      </c>
      <c r="G25" s="28">
        <f>SUM(G18:G24)</f>
        <v>324991</v>
      </c>
      <c r="H25" s="30">
        <f>(+F25-G25)/G25</f>
        <v>-4.811210156588952E-2</v>
      </c>
      <c r="I25" s="31">
        <f>K25/C25</f>
        <v>72.80739431422964</v>
      </c>
      <c r="J25" s="31">
        <f>K25/F25</f>
        <v>142.24360304504532</v>
      </c>
      <c r="K25" s="28">
        <f>SUM(K18:K24)</f>
        <v>44003769.819999993</v>
      </c>
      <c r="L25" s="28">
        <f>SUM(L18:L24)</f>
        <v>45848295.200000003</v>
      </c>
      <c r="M25" s="32">
        <f>(+K25-L25)/L25</f>
        <v>-4.0231057053567609E-2</v>
      </c>
      <c r="N25" s="10"/>
      <c r="R25" s="2"/>
    </row>
    <row r="26" spans="1:18" ht="15.75" customHeight="1" thickTop="1" x14ac:dyDescent="0.25">
      <c r="A26" s="33"/>
      <c r="B26" s="34"/>
      <c r="C26" s="35"/>
      <c r="D26" s="35"/>
      <c r="E26" s="29"/>
      <c r="F26" s="35"/>
      <c r="G26" s="35"/>
      <c r="H26" s="29"/>
      <c r="I26" s="36"/>
      <c r="J26" s="36"/>
      <c r="K26" s="35"/>
      <c r="L26" s="35"/>
      <c r="M26" s="37"/>
      <c r="N26" s="10"/>
      <c r="R26" s="2"/>
    </row>
    <row r="27" spans="1:18" ht="15.75" customHeight="1" x14ac:dyDescent="0.25">
      <c r="A27" s="19" t="s">
        <v>62</v>
      </c>
      <c r="B27" s="20">
        <f>DATE(2023,7,1)</f>
        <v>45108</v>
      </c>
      <c r="C27" s="21">
        <v>62207</v>
      </c>
      <c r="D27" s="21">
        <v>56544</v>
      </c>
      <c r="E27" s="23">
        <f t="shared" ref="E27:E32" si="10">(+C27-D27)/D27</f>
        <v>0.10015209394453876</v>
      </c>
      <c r="F27" s="21">
        <f>+C27-32355</f>
        <v>29852</v>
      </c>
      <c r="G27" s="21">
        <f>+D27-31773</f>
        <v>24771</v>
      </c>
      <c r="H27" s="23">
        <f t="shared" ref="H27:H32" si="11">(+F27-G27)/G27</f>
        <v>0.20511888902345485</v>
      </c>
      <c r="I27" s="24">
        <f t="shared" ref="I27:I32" si="12">K27/C27</f>
        <v>62.61233446396708</v>
      </c>
      <c r="J27" s="24">
        <f t="shared" ref="J27:J32" si="13">K27/F27</f>
        <v>130.47452398499263</v>
      </c>
      <c r="K27" s="21">
        <v>3894925.49</v>
      </c>
      <c r="L27" s="21">
        <v>3786512.7</v>
      </c>
      <c r="M27" s="25">
        <f t="shared" ref="M27:M32" si="14">(+K27-L27)/L27</f>
        <v>2.8631302359028145E-2</v>
      </c>
      <c r="N27" s="10"/>
      <c r="R27" s="2"/>
    </row>
    <row r="28" spans="1:18" ht="15.75" customHeight="1" x14ac:dyDescent="0.25">
      <c r="A28" s="19"/>
      <c r="B28" s="20">
        <f>DATE(2023,8,1)</f>
        <v>45139</v>
      </c>
      <c r="C28" s="21">
        <v>55791</v>
      </c>
      <c r="D28" s="21">
        <v>49669</v>
      </c>
      <c r="E28" s="23">
        <f t="shared" si="10"/>
        <v>0.12325595441824881</v>
      </c>
      <c r="F28" s="21">
        <f>+C28-28978</f>
        <v>26813</v>
      </c>
      <c r="G28" s="21">
        <f>+D28-27651</f>
        <v>22018</v>
      </c>
      <c r="H28" s="23">
        <f t="shared" si="11"/>
        <v>0.21777636479244256</v>
      </c>
      <c r="I28" s="24">
        <f t="shared" si="12"/>
        <v>67.347290960907671</v>
      </c>
      <c r="J28" s="24">
        <f t="shared" si="13"/>
        <v>140.13249953380821</v>
      </c>
      <c r="K28" s="21">
        <v>3757372.71</v>
      </c>
      <c r="L28" s="21">
        <v>3497013.51</v>
      </c>
      <c r="M28" s="25">
        <f t="shared" si="14"/>
        <v>7.4451871362658878E-2</v>
      </c>
      <c r="N28" s="10"/>
      <c r="R28" s="2"/>
    </row>
    <row r="29" spans="1:18" ht="15.75" customHeight="1" x14ac:dyDescent="0.25">
      <c r="A29" s="19"/>
      <c r="B29" s="20">
        <f>DATE(2023,9,1)</f>
        <v>45170</v>
      </c>
      <c r="C29" s="21">
        <v>56687</v>
      </c>
      <c r="D29" s="21">
        <v>50523</v>
      </c>
      <c r="E29" s="23">
        <f t="shared" si="10"/>
        <v>0.12200383983532252</v>
      </c>
      <c r="F29" s="21">
        <f>+C29-29799</f>
        <v>26888</v>
      </c>
      <c r="G29" s="21">
        <f>+D29-27954</f>
        <v>22569</v>
      </c>
      <c r="H29" s="23">
        <f t="shared" si="11"/>
        <v>0.19136869156808012</v>
      </c>
      <c r="I29" s="24">
        <f t="shared" si="12"/>
        <v>70.977173955227826</v>
      </c>
      <c r="J29" s="24">
        <f t="shared" si="13"/>
        <v>149.63861425171081</v>
      </c>
      <c r="K29" s="21">
        <v>4023483.06</v>
      </c>
      <c r="L29" s="21">
        <v>3596804.25</v>
      </c>
      <c r="M29" s="25">
        <f t="shared" si="14"/>
        <v>0.11862719801890804</v>
      </c>
      <c r="N29" s="10"/>
      <c r="R29" s="2"/>
    </row>
    <row r="30" spans="1:18" ht="15.75" customHeight="1" x14ac:dyDescent="0.25">
      <c r="A30" s="19"/>
      <c r="B30" s="20">
        <f>DATE(2023,10,1)</f>
        <v>45200</v>
      </c>
      <c r="C30" s="21">
        <v>50318</v>
      </c>
      <c r="D30" s="21">
        <v>47473</v>
      </c>
      <c r="E30" s="23">
        <f t="shared" si="10"/>
        <v>5.9928801634613359E-2</v>
      </c>
      <c r="F30" s="21">
        <f>+C30-26291</f>
        <v>24027</v>
      </c>
      <c r="G30" s="21">
        <f>+D30-26103</f>
        <v>21370</v>
      </c>
      <c r="H30" s="23">
        <f t="shared" si="11"/>
        <v>0.12433317735142724</v>
      </c>
      <c r="I30" s="24">
        <f t="shared" si="12"/>
        <v>73.565421916610362</v>
      </c>
      <c r="J30" s="24">
        <f t="shared" si="13"/>
        <v>154.06271694343863</v>
      </c>
      <c r="K30" s="21">
        <v>3701664.9</v>
      </c>
      <c r="L30" s="21">
        <v>3359585.24</v>
      </c>
      <c r="M30" s="25">
        <f t="shared" si="14"/>
        <v>0.1018219915741741</v>
      </c>
      <c r="N30" s="10"/>
      <c r="R30" s="2"/>
    </row>
    <row r="31" spans="1:18" ht="15.75" customHeight="1" x14ac:dyDescent="0.25">
      <c r="A31" s="19"/>
      <c r="B31" s="20">
        <f>DATE(2023,11,1)</f>
        <v>45231</v>
      </c>
      <c r="C31" s="21">
        <v>50474</v>
      </c>
      <c r="D31" s="21">
        <v>39425</v>
      </c>
      <c r="E31" s="23">
        <f t="shared" si="10"/>
        <v>0.28025364616360177</v>
      </c>
      <c r="F31" s="21">
        <f>+C31-26977</f>
        <v>23497</v>
      </c>
      <c r="G31" s="21">
        <f>+D31-21931</f>
        <v>17494</v>
      </c>
      <c r="H31" s="23">
        <f t="shared" si="11"/>
        <v>0.34314622156167829</v>
      </c>
      <c r="I31" s="24">
        <f t="shared" si="12"/>
        <v>71.029015730871336</v>
      </c>
      <c r="J31" s="24">
        <f t="shared" si="13"/>
        <v>152.57771375069157</v>
      </c>
      <c r="K31" s="21">
        <v>3585118.54</v>
      </c>
      <c r="L31" s="21">
        <v>3098197.39</v>
      </c>
      <c r="M31" s="25">
        <f t="shared" si="14"/>
        <v>0.15716272680740975</v>
      </c>
      <c r="N31" s="10"/>
      <c r="R31" s="2"/>
    </row>
    <row r="32" spans="1:18" ht="15.75" customHeight="1" x14ac:dyDescent="0.25">
      <c r="A32" s="19"/>
      <c r="B32" s="20">
        <f>DATE(2023,12,1)</f>
        <v>45261</v>
      </c>
      <c r="C32" s="21">
        <v>56254</v>
      </c>
      <c r="D32" s="21">
        <v>43315</v>
      </c>
      <c r="E32" s="23">
        <f t="shared" si="10"/>
        <v>0.29871868867597828</v>
      </c>
      <c r="F32" s="21">
        <f>+C32-30333</f>
        <v>25921</v>
      </c>
      <c r="G32" s="21">
        <f>+D32-23779</f>
        <v>19536</v>
      </c>
      <c r="H32" s="23">
        <f t="shared" si="11"/>
        <v>0.32683251433251431</v>
      </c>
      <c r="I32" s="24">
        <f t="shared" si="12"/>
        <v>72.276153162441787</v>
      </c>
      <c r="J32" s="24">
        <f t="shared" si="13"/>
        <v>156.85439296323446</v>
      </c>
      <c r="K32" s="21">
        <v>4065822.7200000002</v>
      </c>
      <c r="L32" s="21">
        <v>3140293.54</v>
      </c>
      <c r="M32" s="25">
        <f t="shared" si="14"/>
        <v>0.29472696364557061</v>
      </c>
      <c r="N32" s="10"/>
      <c r="R32" s="2"/>
    </row>
    <row r="33" spans="1:18" ht="15.75" customHeight="1" thickBot="1" x14ac:dyDescent="0.25">
      <c r="A33" s="38"/>
      <c r="B33" s="20"/>
      <c r="C33" s="21"/>
      <c r="D33" s="21"/>
      <c r="E33" s="23"/>
      <c r="F33" s="21"/>
      <c r="G33" s="21"/>
      <c r="H33" s="23"/>
      <c r="I33" s="24"/>
      <c r="J33" s="24"/>
      <c r="K33" s="21"/>
      <c r="L33" s="21"/>
      <c r="M33" s="25"/>
      <c r="N33" s="10"/>
      <c r="R33" s="2"/>
    </row>
    <row r="34" spans="1:18" ht="17.25" customHeight="1" thickTop="1" thickBot="1" x14ac:dyDescent="0.3">
      <c r="A34" s="39" t="s">
        <v>14</v>
      </c>
      <c r="B34" s="40"/>
      <c r="C34" s="41">
        <f>SUM(C27:C33)</f>
        <v>331731</v>
      </c>
      <c r="D34" s="41">
        <f>SUM(D27:D33)</f>
        <v>286949</v>
      </c>
      <c r="E34" s="280">
        <f>(+C34-D34)/D34</f>
        <v>0.15606257557963263</v>
      </c>
      <c r="F34" s="41">
        <f>SUM(F27:F33)</f>
        <v>156998</v>
      </c>
      <c r="G34" s="41">
        <f>SUM(G27:G33)</f>
        <v>127758</v>
      </c>
      <c r="H34" s="42">
        <f>(+F34-G34)/G34</f>
        <v>0.22887020773650182</v>
      </c>
      <c r="I34" s="43">
        <f>K34/C34</f>
        <v>69.418858713837409</v>
      </c>
      <c r="J34" s="43">
        <f>K34/F34</f>
        <v>146.6794954075848</v>
      </c>
      <c r="K34" s="41">
        <f>SUM(K27:K33)</f>
        <v>23028387.419999998</v>
      </c>
      <c r="L34" s="41">
        <f>SUM(L27:L33)</f>
        <v>20478406.629999999</v>
      </c>
      <c r="M34" s="44">
        <f>(+K34-L34)/L34</f>
        <v>0.12452046861225938</v>
      </c>
      <c r="N34" s="10"/>
      <c r="R34" s="2"/>
    </row>
    <row r="35" spans="1:18" ht="15.75" customHeight="1" thickTop="1" x14ac:dyDescent="0.2">
      <c r="A35" s="38"/>
      <c r="B35" s="45"/>
      <c r="C35" s="21"/>
      <c r="D35" s="21"/>
      <c r="E35" s="23"/>
      <c r="F35" s="21"/>
      <c r="G35" s="21"/>
      <c r="H35" s="23"/>
      <c r="I35" s="24"/>
      <c r="J35" s="24"/>
      <c r="K35" s="21"/>
      <c r="L35" s="21"/>
      <c r="M35" s="25"/>
      <c r="N35" s="10"/>
      <c r="R35" s="2"/>
    </row>
    <row r="36" spans="1:18" ht="15.75" customHeight="1" x14ac:dyDescent="0.25">
      <c r="A36" s="177" t="s">
        <v>58</v>
      </c>
      <c r="B36" s="20">
        <f>DATE(2023,7,1)</f>
        <v>45108</v>
      </c>
      <c r="C36" s="21">
        <v>351840</v>
      </c>
      <c r="D36" s="21">
        <v>327697</v>
      </c>
      <c r="E36" s="23">
        <f t="shared" ref="E36:E41" si="15">(+C36-D36)/D36</f>
        <v>7.3674766628928551E-2</v>
      </c>
      <c r="F36" s="21">
        <f>+C36-174244</f>
        <v>177596</v>
      </c>
      <c r="G36" s="21">
        <f>+D36-165744</f>
        <v>161953</v>
      </c>
      <c r="H36" s="23">
        <f t="shared" ref="H36:H41" si="16">(+F36-G36)/G36</f>
        <v>9.658975134761319E-2</v>
      </c>
      <c r="I36" s="24">
        <f t="shared" ref="I36:I41" si="17">K36/C36</f>
        <v>63.266514836289218</v>
      </c>
      <c r="J36" s="24">
        <f t="shared" ref="J36:J41" si="18">K36/F36</f>
        <v>125.33891855672424</v>
      </c>
      <c r="K36" s="21">
        <v>22259690.579999998</v>
      </c>
      <c r="L36" s="21">
        <v>21404058.239999998</v>
      </c>
      <c r="M36" s="25">
        <f t="shared" ref="M36:M41" si="19">(+K36-L36)/L36</f>
        <v>3.9975238826485265E-2</v>
      </c>
      <c r="N36" s="10"/>
      <c r="R36" s="2"/>
    </row>
    <row r="37" spans="1:18" ht="15.75" customHeight="1" x14ac:dyDescent="0.25">
      <c r="A37" s="177"/>
      <c r="B37" s="20">
        <f>DATE(2023,8,1)</f>
        <v>45139</v>
      </c>
      <c r="C37" s="21">
        <v>330822</v>
      </c>
      <c r="D37" s="21">
        <v>302775</v>
      </c>
      <c r="E37" s="23">
        <f t="shared" si="15"/>
        <v>9.2633143423334161E-2</v>
      </c>
      <c r="F37" s="21">
        <f>+C37-166752</f>
        <v>164070</v>
      </c>
      <c r="G37" s="21">
        <f>+D37-150422</f>
        <v>152353</v>
      </c>
      <c r="H37" s="23">
        <f t="shared" si="16"/>
        <v>7.6906920113158264E-2</v>
      </c>
      <c r="I37" s="24">
        <f t="shared" si="17"/>
        <v>60.320833197308524</v>
      </c>
      <c r="J37" s="24">
        <f t="shared" si="18"/>
        <v>121.62771183031633</v>
      </c>
      <c r="K37" s="21">
        <v>19955458.68</v>
      </c>
      <c r="L37" s="21">
        <v>19341318.82</v>
      </c>
      <c r="M37" s="25">
        <f t="shared" si="19"/>
        <v>3.1752739599377508E-2</v>
      </c>
      <c r="N37" s="10"/>
      <c r="R37" s="2"/>
    </row>
    <row r="38" spans="1:18" ht="15.75" customHeight="1" x14ac:dyDescent="0.25">
      <c r="A38" s="177"/>
      <c r="B38" s="20">
        <f>DATE(2023,9,1)</f>
        <v>45170</v>
      </c>
      <c r="C38" s="21">
        <v>316962</v>
      </c>
      <c r="D38" s="21">
        <v>299586</v>
      </c>
      <c r="E38" s="23">
        <f t="shared" si="15"/>
        <v>5.8000040055276279E-2</v>
      </c>
      <c r="F38" s="21">
        <f>+C38-158185</f>
        <v>158777</v>
      </c>
      <c r="G38" s="21">
        <f>+D38-150974</f>
        <v>148612</v>
      </c>
      <c r="H38" s="23">
        <f t="shared" si="16"/>
        <v>6.8399590880951738E-2</v>
      </c>
      <c r="I38" s="24">
        <f t="shared" si="17"/>
        <v>64.654702235599217</v>
      </c>
      <c r="J38" s="24">
        <f t="shared" si="18"/>
        <v>129.06833943203361</v>
      </c>
      <c r="K38" s="21">
        <v>20493083.73</v>
      </c>
      <c r="L38" s="21">
        <v>21154344.73</v>
      </c>
      <c r="M38" s="25">
        <f t="shared" si="19"/>
        <v>-3.1258874166980637E-2</v>
      </c>
      <c r="N38" s="10"/>
      <c r="R38" s="2"/>
    </row>
    <row r="39" spans="1:18" ht="15.75" customHeight="1" x14ac:dyDescent="0.25">
      <c r="A39" s="177"/>
      <c r="B39" s="20">
        <f>DATE(2023,10,1)</f>
        <v>45200</v>
      </c>
      <c r="C39" s="21">
        <v>288802</v>
      </c>
      <c r="D39" s="21">
        <v>280901</v>
      </c>
      <c r="E39" s="23">
        <f t="shared" si="15"/>
        <v>2.812734735725398E-2</v>
      </c>
      <c r="F39" s="21">
        <f>+C39-147350</f>
        <v>141452</v>
      </c>
      <c r="G39" s="21">
        <f>+D39-143073</f>
        <v>137828</v>
      </c>
      <c r="H39" s="23">
        <f t="shared" si="16"/>
        <v>2.6293641350088517E-2</v>
      </c>
      <c r="I39" s="24">
        <f t="shared" si="17"/>
        <v>67.021046876406672</v>
      </c>
      <c r="J39" s="24">
        <f t="shared" si="18"/>
        <v>136.83661157141646</v>
      </c>
      <c r="K39" s="21">
        <v>19355812.379999999</v>
      </c>
      <c r="L39" s="21">
        <v>19256450</v>
      </c>
      <c r="M39" s="25">
        <f t="shared" si="19"/>
        <v>5.1599531585520154E-3</v>
      </c>
      <c r="N39" s="10"/>
      <c r="R39" s="2"/>
    </row>
    <row r="40" spans="1:18" ht="15.75" customHeight="1" x14ac:dyDescent="0.25">
      <c r="A40" s="177"/>
      <c r="B40" s="20">
        <f>DATE(2023,11,1)</f>
        <v>45231</v>
      </c>
      <c r="C40" s="21">
        <v>288915</v>
      </c>
      <c r="D40" s="21">
        <v>277702</v>
      </c>
      <c r="E40" s="23">
        <f t="shared" si="15"/>
        <v>4.0377815067950538E-2</v>
      </c>
      <c r="F40" s="21">
        <f>+C40-147815</f>
        <v>141100</v>
      </c>
      <c r="G40" s="21">
        <f>+D40-138977</f>
        <v>138725</v>
      </c>
      <c r="H40" s="23">
        <f t="shared" si="16"/>
        <v>1.7120201838169039E-2</v>
      </c>
      <c r="I40" s="24">
        <f t="shared" si="17"/>
        <v>68.224359309831613</v>
      </c>
      <c r="J40" s="24">
        <f t="shared" si="18"/>
        <v>139.6955405386251</v>
      </c>
      <c r="K40" s="21">
        <v>19711040.77</v>
      </c>
      <c r="L40" s="21">
        <v>17923650.210000001</v>
      </c>
      <c r="M40" s="25">
        <f t="shared" si="19"/>
        <v>9.9722463842927142E-2</v>
      </c>
      <c r="N40" s="10"/>
      <c r="R40" s="2"/>
    </row>
    <row r="41" spans="1:18" ht="15.75" customHeight="1" x14ac:dyDescent="0.25">
      <c r="A41" s="177"/>
      <c r="B41" s="20">
        <f>DATE(2023,12,1)</f>
        <v>45261</v>
      </c>
      <c r="C41" s="21">
        <v>314743</v>
      </c>
      <c r="D41" s="21">
        <v>302510</v>
      </c>
      <c r="E41" s="23">
        <f t="shared" si="15"/>
        <v>4.043833261710357E-2</v>
      </c>
      <c r="F41" s="21">
        <f>+C41-159932</f>
        <v>154811</v>
      </c>
      <c r="G41" s="21">
        <f>+D41-154252</f>
        <v>148258</v>
      </c>
      <c r="H41" s="23">
        <f t="shared" si="16"/>
        <v>4.4199975718005102E-2</v>
      </c>
      <c r="I41" s="24">
        <f t="shared" si="17"/>
        <v>67.908941453821058</v>
      </c>
      <c r="J41" s="24">
        <f t="shared" si="18"/>
        <v>138.06424582232529</v>
      </c>
      <c r="K41" s="21">
        <v>21373863.960000001</v>
      </c>
      <c r="L41" s="21">
        <v>20223315.530000001</v>
      </c>
      <c r="M41" s="25">
        <f t="shared" si="19"/>
        <v>5.689217617621771E-2</v>
      </c>
      <c r="N41" s="10"/>
      <c r="R41" s="2"/>
    </row>
    <row r="42" spans="1:18" ht="15.75" thickBot="1" x14ac:dyDescent="0.25">
      <c r="A42" s="38"/>
      <c r="B42" s="45"/>
      <c r="C42" s="21"/>
      <c r="D42" s="21"/>
      <c r="E42" s="23"/>
      <c r="F42" s="21"/>
      <c r="G42" s="21"/>
      <c r="H42" s="23"/>
      <c r="I42" s="24"/>
      <c r="J42" s="24"/>
      <c r="K42" s="21"/>
      <c r="L42" s="21"/>
      <c r="M42" s="25"/>
      <c r="N42" s="10"/>
      <c r="R42" s="2"/>
    </row>
    <row r="43" spans="1:18" ht="17.25" thickTop="1" thickBot="1" x14ac:dyDescent="0.3">
      <c r="A43" s="39" t="s">
        <v>14</v>
      </c>
      <c r="B43" s="40"/>
      <c r="C43" s="41">
        <f>SUM(C36:C42)</f>
        <v>1892084</v>
      </c>
      <c r="D43" s="41">
        <f>SUM(D36:D42)</f>
        <v>1791171</v>
      </c>
      <c r="E43" s="280">
        <f>(+C43-D43)/D43</f>
        <v>5.6339121167102414E-2</v>
      </c>
      <c r="F43" s="41">
        <f>SUM(F36:F42)</f>
        <v>937806</v>
      </c>
      <c r="G43" s="41">
        <f>SUM(G36:G42)</f>
        <v>887729</v>
      </c>
      <c r="H43" s="42">
        <f>(+F43-G43)/G43</f>
        <v>5.6410233303181491E-2</v>
      </c>
      <c r="I43" s="43">
        <f>K43/C43</f>
        <v>65.08640742165781</v>
      </c>
      <c r="J43" s="43">
        <f>K43/F43</f>
        <v>131.31601855820927</v>
      </c>
      <c r="K43" s="41">
        <f>SUM(K36:K42)</f>
        <v>123148950.09999999</v>
      </c>
      <c r="L43" s="41">
        <f>SUM(L36:L42)</f>
        <v>119303137.53</v>
      </c>
      <c r="M43" s="44">
        <f>(+K43-L43)/L43</f>
        <v>3.2235636460381634E-2</v>
      </c>
      <c r="N43" s="10"/>
      <c r="R43" s="2"/>
    </row>
    <row r="44" spans="1:18" ht="15.75" thickTop="1" x14ac:dyDescent="0.2">
      <c r="A44" s="38"/>
      <c r="B44" s="45"/>
      <c r="C44" s="21"/>
      <c r="D44" s="21"/>
      <c r="E44" s="23"/>
      <c r="F44" s="21"/>
      <c r="G44" s="21"/>
      <c r="H44" s="23"/>
      <c r="I44" s="24"/>
      <c r="J44" s="24"/>
      <c r="K44" s="21"/>
      <c r="L44" s="21"/>
      <c r="M44" s="25"/>
      <c r="N44" s="10"/>
      <c r="R44" s="2"/>
    </row>
    <row r="45" spans="1:18" ht="15.75" x14ac:dyDescent="0.25">
      <c r="A45" s="19" t="s">
        <v>60</v>
      </c>
      <c r="B45" s="20">
        <f>DATE(2023,7,1)</f>
        <v>45108</v>
      </c>
      <c r="C45" s="21">
        <v>199698</v>
      </c>
      <c r="D45" s="21">
        <v>219130</v>
      </c>
      <c r="E45" s="23">
        <f t="shared" ref="E45:E50" si="20">(+C45-D45)/D45</f>
        <v>-8.8677953726098657E-2</v>
      </c>
      <c r="F45" s="21">
        <f>+C45-94634</f>
        <v>105064</v>
      </c>
      <c r="G45" s="21">
        <f>+D45-103416</f>
        <v>115714</v>
      </c>
      <c r="H45" s="23">
        <f t="shared" ref="H45:H50" si="21">(+F45-G45)/G45</f>
        <v>-9.2037264289541454E-2</v>
      </c>
      <c r="I45" s="24">
        <f t="shared" ref="I45:I50" si="22">K45/C45</f>
        <v>76.994882722911598</v>
      </c>
      <c r="J45" s="24">
        <f t="shared" ref="J45:J50" si="23">K45/F45</f>
        <v>146.34626599025356</v>
      </c>
      <c r="K45" s="21">
        <v>15375724.09</v>
      </c>
      <c r="L45" s="21">
        <v>15073309.060000001</v>
      </c>
      <c r="M45" s="25">
        <f t="shared" ref="M45:M50" si="24">(+K45-L45)/L45</f>
        <v>2.0062948938167617E-2</v>
      </c>
      <c r="N45" s="10"/>
      <c r="R45" s="2"/>
    </row>
    <row r="46" spans="1:18" ht="15.75" x14ac:dyDescent="0.25">
      <c r="A46" s="19"/>
      <c r="B46" s="20">
        <f>DATE(2023,8,1)</f>
        <v>45139</v>
      </c>
      <c r="C46" s="21">
        <v>185862</v>
      </c>
      <c r="D46" s="21">
        <v>204381</v>
      </c>
      <c r="E46" s="23">
        <f t="shared" si="20"/>
        <v>-9.0610183921205983E-2</v>
      </c>
      <c r="F46" s="21">
        <f>+C46-90658</f>
        <v>95204</v>
      </c>
      <c r="G46" s="21">
        <f>+D46-97907</f>
        <v>106474</v>
      </c>
      <c r="H46" s="23">
        <f t="shared" si="21"/>
        <v>-0.10584743693296016</v>
      </c>
      <c r="I46" s="24">
        <f t="shared" si="22"/>
        <v>75.718013848984725</v>
      </c>
      <c r="J46" s="24">
        <f t="shared" si="23"/>
        <v>147.8204853787656</v>
      </c>
      <c r="K46" s="21">
        <v>14073101.49</v>
      </c>
      <c r="L46" s="21">
        <v>15308950.33</v>
      </c>
      <c r="M46" s="25">
        <f t="shared" si="24"/>
        <v>-8.0727209466359265E-2</v>
      </c>
      <c r="N46" s="10"/>
      <c r="R46" s="2"/>
    </row>
    <row r="47" spans="1:18" ht="15.75" x14ac:dyDescent="0.25">
      <c r="A47" s="19"/>
      <c r="B47" s="20">
        <f>DATE(2023,9,1)</f>
        <v>45170</v>
      </c>
      <c r="C47" s="21">
        <v>187631</v>
      </c>
      <c r="D47" s="21">
        <v>195879</v>
      </c>
      <c r="E47" s="23">
        <f t="shared" si="20"/>
        <v>-4.2107627668101229E-2</v>
      </c>
      <c r="F47" s="21">
        <f>+C47-91547</f>
        <v>96084</v>
      </c>
      <c r="G47" s="21">
        <f>+D47-93599</f>
        <v>102280</v>
      </c>
      <c r="H47" s="23">
        <f t="shared" si="21"/>
        <v>-6.0578803285099729E-2</v>
      </c>
      <c r="I47" s="24">
        <f t="shared" si="22"/>
        <v>73.725347463905223</v>
      </c>
      <c r="J47" s="24">
        <f t="shared" si="23"/>
        <v>143.96945037675368</v>
      </c>
      <c r="K47" s="21">
        <v>13833160.67</v>
      </c>
      <c r="L47" s="21">
        <v>13847415.310000001</v>
      </c>
      <c r="M47" s="25">
        <f t="shared" si="24"/>
        <v>-1.0294079928191736E-3</v>
      </c>
      <c r="N47" s="10"/>
      <c r="R47" s="2"/>
    </row>
    <row r="48" spans="1:18" ht="15.75" x14ac:dyDescent="0.25">
      <c r="A48" s="19"/>
      <c r="B48" s="20">
        <f>DATE(2023,10,1)</f>
        <v>45200</v>
      </c>
      <c r="C48" s="21">
        <v>183725</v>
      </c>
      <c r="D48" s="21">
        <v>197679</v>
      </c>
      <c r="E48" s="23">
        <f t="shared" si="20"/>
        <v>-7.058918752118333E-2</v>
      </c>
      <c r="F48" s="21">
        <f>+C48-90840</f>
        <v>92885</v>
      </c>
      <c r="G48" s="21">
        <f>+D48-94885</f>
        <v>102794</v>
      </c>
      <c r="H48" s="23">
        <f t="shared" si="21"/>
        <v>-9.6396676848843316E-2</v>
      </c>
      <c r="I48" s="24">
        <f t="shared" si="22"/>
        <v>72.951255517757517</v>
      </c>
      <c r="J48" s="24">
        <f t="shared" si="23"/>
        <v>144.29638176239436</v>
      </c>
      <c r="K48" s="21">
        <v>13402969.42</v>
      </c>
      <c r="L48" s="21">
        <v>11929810.6</v>
      </c>
      <c r="M48" s="25">
        <f t="shared" si="24"/>
        <v>0.12348551619084383</v>
      </c>
      <c r="N48" s="10"/>
      <c r="R48" s="2"/>
    </row>
    <row r="49" spans="1:18" ht="15.75" x14ac:dyDescent="0.25">
      <c r="A49" s="19"/>
      <c r="B49" s="20">
        <f>DATE(2023,11,1)</f>
        <v>45231</v>
      </c>
      <c r="C49" s="21">
        <v>168217</v>
      </c>
      <c r="D49" s="21">
        <v>191974</v>
      </c>
      <c r="E49" s="23">
        <f t="shared" si="20"/>
        <v>-0.12375113296592247</v>
      </c>
      <c r="F49" s="21">
        <f>+C49-79459</f>
        <v>88758</v>
      </c>
      <c r="G49" s="21">
        <f>+D49-91566</f>
        <v>100408</v>
      </c>
      <c r="H49" s="23">
        <f t="shared" si="21"/>
        <v>-0.11602661142538444</v>
      </c>
      <c r="I49" s="24">
        <f t="shared" si="22"/>
        <v>75.426880576873927</v>
      </c>
      <c r="J49" s="24">
        <f t="shared" si="23"/>
        <v>142.95143615223418</v>
      </c>
      <c r="K49" s="21">
        <v>12688083.57</v>
      </c>
      <c r="L49" s="21">
        <v>14099198.119999999</v>
      </c>
      <c r="M49" s="25">
        <f t="shared" si="24"/>
        <v>-0.10008473801061808</v>
      </c>
      <c r="N49" s="10"/>
      <c r="R49" s="2"/>
    </row>
    <row r="50" spans="1:18" ht="15.75" x14ac:dyDescent="0.25">
      <c r="A50" s="19"/>
      <c r="B50" s="20">
        <f>DATE(2023,12,1)</f>
        <v>45261</v>
      </c>
      <c r="C50" s="21">
        <v>202200</v>
      </c>
      <c r="D50" s="21">
        <v>193245</v>
      </c>
      <c r="E50" s="23">
        <f t="shared" si="20"/>
        <v>4.634013816657611E-2</v>
      </c>
      <c r="F50" s="21">
        <f>+C50-96202</f>
        <v>105998</v>
      </c>
      <c r="G50" s="21">
        <f>+D50-93799</f>
        <v>99446</v>
      </c>
      <c r="H50" s="23">
        <f t="shared" si="21"/>
        <v>6.5885002916155497E-2</v>
      </c>
      <c r="I50" s="24">
        <f t="shared" si="22"/>
        <v>77.010245301681508</v>
      </c>
      <c r="J50" s="24">
        <f t="shared" si="23"/>
        <v>146.90344723485347</v>
      </c>
      <c r="K50" s="21">
        <v>15571471.6</v>
      </c>
      <c r="L50" s="21">
        <v>14757470.5</v>
      </c>
      <c r="M50" s="25">
        <f t="shared" si="24"/>
        <v>5.5158578836393378E-2</v>
      </c>
      <c r="N50" s="10"/>
      <c r="R50" s="2"/>
    </row>
    <row r="51" spans="1:18" ht="15.75" thickBot="1" x14ac:dyDescent="0.25">
      <c r="A51" s="38"/>
      <c r="B51" s="20"/>
      <c r="C51" s="21"/>
      <c r="D51" s="21"/>
      <c r="E51" s="23"/>
      <c r="F51" s="21"/>
      <c r="G51" s="21"/>
      <c r="H51" s="23"/>
      <c r="I51" s="24"/>
      <c r="J51" s="24"/>
      <c r="K51" s="21"/>
      <c r="L51" s="21"/>
      <c r="M51" s="25"/>
      <c r="N51" s="10"/>
      <c r="R51" s="2"/>
    </row>
    <row r="52" spans="1:18" ht="17.25" thickTop="1" thickBot="1" x14ac:dyDescent="0.3">
      <c r="A52" s="39" t="s">
        <v>14</v>
      </c>
      <c r="B52" s="40"/>
      <c r="C52" s="41">
        <f>SUM(C45:C51)</f>
        <v>1127333</v>
      </c>
      <c r="D52" s="41">
        <f>SUM(D45:D51)</f>
        <v>1202288</v>
      </c>
      <c r="E52" s="281">
        <f>(+C52-D52)/D52</f>
        <v>-6.2343631475985789E-2</v>
      </c>
      <c r="F52" s="47">
        <f>SUM(F45:F51)</f>
        <v>583993</v>
      </c>
      <c r="G52" s="48">
        <f>SUM(G45:G51)</f>
        <v>627116</v>
      </c>
      <c r="H52" s="49">
        <f>(+F52-G52)/G52</f>
        <v>-6.8763992626563505E-2</v>
      </c>
      <c r="I52" s="50">
        <f>K52/C52</f>
        <v>75.3499727587146</v>
      </c>
      <c r="J52" s="51">
        <f>K52/F52</f>
        <v>145.454672984094</v>
      </c>
      <c r="K52" s="48">
        <f>SUM(K45:K51)</f>
        <v>84944510.840000004</v>
      </c>
      <c r="L52" s="47">
        <f>SUM(L45:L51)</f>
        <v>85016153.920000002</v>
      </c>
      <c r="M52" s="44">
        <f>(+K52-L52)/L52</f>
        <v>-8.4269961291608391E-4</v>
      </c>
      <c r="N52" s="10"/>
      <c r="R52" s="2"/>
    </row>
    <row r="53" spans="1:18" ht="15.75" customHeight="1" thickTop="1" x14ac:dyDescent="0.25">
      <c r="A53" s="273"/>
      <c r="B53" s="45"/>
      <c r="C53" s="21"/>
      <c r="D53" s="21"/>
      <c r="E53" s="23"/>
      <c r="F53" s="21"/>
      <c r="G53" s="21"/>
      <c r="H53" s="23"/>
      <c r="I53" s="24"/>
      <c r="J53" s="24"/>
      <c r="K53" s="21"/>
      <c r="L53" s="21"/>
      <c r="M53" s="25"/>
      <c r="N53" s="10"/>
      <c r="R53" s="2"/>
    </row>
    <row r="54" spans="1:18" ht="15.75" x14ac:dyDescent="0.25">
      <c r="A54" s="274" t="s">
        <v>61</v>
      </c>
      <c r="B54" s="20">
        <f>DATE(2023,7,1)</f>
        <v>45108</v>
      </c>
      <c r="C54" s="21">
        <v>94450</v>
      </c>
      <c r="D54" s="21">
        <v>95268</v>
      </c>
      <c r="E54" s="23">
        <f t="shared" ref="E54:E59" si="25">(+C54-D54)/D54</f>
        <v>-8.5863039005752186E-3</v>
      </c>
      <c r="F54" s="21">
        <f>+C54-47449</f>
        <v>47001</v>
      </c>
      <c r="G54" s="21">
        <f>+D54-47922</f>
        <v>47346</v>
      </c>
      <c r="H54" s="23">
        <f t="shared" ref="H54:H59" si="26">(+F54-G54)/G54</f>
        <v>-7.2867824103408944E-3</v>
      </c>
      <c r="I54" s="24">
        <f t="shared" ref="I54:I59" si="27">K54/C54</f>
        <v>66.529558814187396</v>
      </c>
      <c r="J54" s="24">
        <f t="shared" ref="J54:J59" si="28">K54/F54</f>
        <v>133.69325822854833</v>
      </c>
      <c r="K54" s="21">
        <v>6283716.8300000001</v>
      </c>
      <c r="L54" s="21">
        <v>6260150.0999999996</v>
      </c>
      <c r="M54" s="25">
        <f t="shared" ref="M54:M59" si="29">(+K54-L54)/L54</f>
        <v>3.7645630893100228E-3</v>
      </c>
      <c r="N54" s="10"/>
      <c r="R54" s="2"/>
    </row>
    <row r="55" spans="1:18" ht="15.75" x14ac:dyDescent="0.25">
      <c r="A55" s="274"/>
      <c r="B55" s="20">
        <f>DATE(2023,8,1)</f>
        <v>45139</v>
      </c>
      <c r="C55" s="21">
        <v>85640</v>
      </c>
      <c r="D55" s="21">
        <v>85207</v>
      </c>
      <c r="E55" s="23">
        <f t="shared" si="25"/>
        <v>5.0817421103899916E-3</v>
      </c>
      <c r="F55" s="21">
        <f>+C55-42807</f>
        <v>42833</v>
      </c>
      <c r="G55" s="21">
        <f>+D55-42477</f>
        <v>42730</v>
      </c>
      <c r="H55" s="23">
        <f t="shared" si="26"/>
        <v>2.4104844371635853E-3</v>
      </c>
      <c r="I55" s="24">
        <f t="shared" si="27"/>
        <v>70.000778608127035</v>
      </c>
      <c r="J55" s="24">
        <f t="shared" si="28"/>
        <v>139.95906614059254</v>
      </c>
      <c r="K55" s="21">
        <v>5994866.6799999997</v>
      </c>
      <c r="L55" s="21">
        <v>5465144.5899999999</v>
      </c>
      <c r="M55" s="25">
        <f t="shared" si="29"/>
        <v>9.6927369674587122E-2</v>
      </c>
      <c r="N55" s="10"/>
      <c r="R55" s="2"/>
    </row>
    <row r="56" spans="1:18" ht="15.75" x14ac:dyDescent="0.25">
      <c r="A56" s="274"/>
      <c r="B56" s="20">
        <f>DATE(2023,9,1)</f>
        <v>45170</v>
      </c>
      <c r="C56" s="21">
        <v>85140</v>
      </c>
      <c r="D56" s="21">
        <v>84321</v>
      </c>
      <c r="E56" s="23">
        <f t="shared" si="25"/>
        <v>9.7128829117301748E-3</v>
      </c>
      <c r="F56" s="21">
        <f>+C56-42349</f>
        <v>42791</v>
      </c>
      <c r="G56" s="21">
        <f>+D56-41917</f>
        <v>42404</v>
      </c>
      <c r="H56" s="23">
        <f t="shared" si="26"/>
        <v>9.1264975002358275E-3</v>
      </c>
      <c r="I56" s="24">
        <f t="shared" si="27"/>
        <v>61.348339558374441</v>
      </c>
      <c r="J56" s="24">
        <f t="shared" si="28"/>
        <v>122.06299525601177</v>
      </c>
      <c r="K56" s="21">
        <v>5223197.63</v>
      </c>
      <c r="L56" s="21">
        <v>5380839.7999999998</v>
      </c>
      <c r="M56" s="25">
        <f t="shared" si="29"/>
        <v>-2.9296945432198136E-2</v>
      </c>
      <c r="N56" s="10"/>
      <c r="R56" s="2"/>
    </row>
    <row r="57" spans="1:18" ht="15.75" x14ac:dyDescent="0.25">
      <c r="A57" s="274"/>
      <c r="B57" s="20">
        <f>DATE(2023,10,1)</f>
        <v>45200</v>
      </c>
      <c r="C57" s="21">
        <v>78312</v>
      </c>
      <c r="D57" s="21">
        <v>85227</v>
      </c>
      <c r="E57" s="23">
        <f t="shared" si="25"/>
        <v>-8.1136259636030841E-2</v>
      </c>
      <c r="F57" s="21">
        <f>+C57-38948</f>
        <v>39364</v>
      </c>
      <c r="G57" s="21">
        <f>+D57-43095</f>
        <v>42132</v>
      </c>
      <c r="H57" s="23">
        <f t="shared" si="26"/>
        <v>-6.5698281591189595E-2</v>
      </c>
      <c r="I57" s="24">
        <f t="shared" si="27"/>
        <v>66.954319772193287</v>
      </c>
      <c r="J57" s="24">
        <f t="shared" si="28"/>
        <v>133.20106417030792</v>
      </c>
      <c r="K57" s="21">
        <v>5243326.6900000004</v>
      </c>
      <c r="L57" s="21">
        <v>5518454.2199999997</v>
      </c>
      <c r="M57" s="25">
        <f t="shared" si="29"/>
        <v>-4.9855905119749154E-2</v>
      </c>
      <c r="N57" s="10"/>
      <c r="R57" s="2"/>
    </row>
    <row r="58" spans="1:18" ht="15.75" x14ac:dyDescent="0.25">
      <c r="A58" s="274"/>
      <c r="B58" s="20">
        <f>DATE(2023,11,1)</f>
        <v>45231</v>
      </c>
      <c r="C58" s="21">
        <v>76656</v>
      </c>
      <c r="D58" s="21">
        <v>76718</v>
      </c>
      <c r="E58" s="23">
        <f t="shared" si="25"/>
        <v>-8.0815454000364971E-4</v>
      </c>
      <c r="F58" s="21">
        <f>+C58-38503</f>
        <v>38153</v>
      </c>
      <c r="G58" s="21">
        <f>+D58-38746</f>
        <v>37972</v>
      </c>
      <c r="H58" s="23">
        <f t="shared" si="26"/>
        <v>4.7666701780259141E-3</v>
      </c>
      <c r="I58" s="24">
        <f t="shared" si="27"/>
        <v>68.035706011271131</v>
      </c>
      <c r="J58" s="24">
        <f t="shared" si="28"/>
        <v>136.69554373181663</v>
      </c>
      <c r="K58" s="21">
        <v>5215345.08</v>
      </c>
      <c r="L58" s="21">
        <v>5081236.03</v>
      </c>
      <c r="M58" s="25">
        <f t="shared" si="29"/>
        <v>2.6392997532137825E-2</v>
      </c>
      <c r="N58" s="10"/>
      <c r="R58" s="2"/>
    </row>
    <row r="59" spans="1:18" ht="15.75" x14ac:dyDescent="0.25">
      <c r="A59" s="274"/>
      <c r="B59" s="20">
        <f>DATE(2023,12,1)</f>
        <v>45261</v>
      </c>
      <c r="C59" s="21">
        <v>96790</v>
      </c>
      <c r="D59" s="21">
        <v>89653</v>
      </c>
      <c r="E59" s="23">
        <f t="shared" si="25"/>
        <v>7.9606928937124247E-2</v>
      </c>
      <c r="F59" s="21">
        <f>+C59-48686</f>
        <v>48104</v>
      </c>
      <c r="G59" s="21">
        <f>+D59-45455</f>
        <v>44198</v>
      </c>
      <c r="H59" s="23">
        <f t="shared" si="26"/>
        <v>8.8375039594551785E-2</v>
      </c>
      <c r="I59" s="24">
        <f t="shared" si="27"/>
        <v>61.921447670213865</v>
      </c>
      <c r="J59" s="24">
        <f t="shared" si="28"/>
        <v>124.59206968235489</v>
      </c>
      <c r="K59" s="21">
        <v>5993376.9199999999</v>
      </c>
      <c r="L59" s="21">
        <v>5500508.3099999996</v>
      </c>
      <c r="M59" s="25">
        <f t="shared" si="29"/>
        <v>8.9604193325907439E-2</v>
      </c>
      <c r="N59" s="10"/>
      <c r="R59" s="2"/>
    </row>
    <row r="60" spans="1:18" ht="15.75" customHeight="1" thickBot="1" x14ac:dyDescent="0.3">
      <c r="A60" s="19"/>
      <c r="B60" s="20"/>
      <c r="C60" s="21"/>
      <c r="D60" s="21"/>
      <c r="E60" s="23"/>
      <c r="F60" s="21"/>
      <c r="G60" s="21"/>
      <c r="H60" s="23"/>
      <c r="I60" s="24"/>
      <c r="J60" s="24"/>
      <c r="K60" s="21"/>
      <c r="L60" s="21"/>
      <c r="M60" s="25"/>
      <c r="N60" s="10"/>
      <c r="R60" s="2"/>
    </row>
    <row r="61" spans="1:18" ht="17.45" customHeight="1" thickTop="1" thickBot="1" x14ac:dyDescent="0.3">
      <c r="A61" s="39" t="s">
        <v>14</v>
      </c>
      <c r="B61" s="52"/>
      <c r="C61" s="47">
        <f>SUM(C54:C60)</f>
        <v>516988</v>
      </c>
      <c r="D61" s="48">
        <f>SUM(D54:D60)</f>
        <v>516394</v>
      </c>
      <c r="E61" s="281">
        <f>(+C61-D61)/D61</f>
        <v>1.1502844727088232E-3</v>
      </c>
      <c r="F61" s="48">
        <f>SUM(F54:F60)</f>
        <v>258246</v>
      </c>
      <c r="G61" s="47">
        <f>SUM(G54:G60)</f>
        <v>256782</v>
      </c>
      <c r="H61" s="46">
        <f>(+F61-G61)/G61</f>
        <v>5.7013342056686216E-3</v>
      </c>
      <c r="I61" s="51">
        <f>K61/C61</f>
        <v>65.676243607201727</v>
      </c>
      <c r="J61" s="50">
        <f>K61/F61</f>
        <v>131.47862824593608</v>
      </c>
      <c r="K61" s="47">
        <f>SUM(K54:K60)</f>
        <v>33953829.830000006</v>
      </c>
      <c r="L61" s="48">
        <f>SUM(L54:L60)</f>
        <v>33206333.049999997</v>
      </c>
      <c r="M61" s="44">
        <f>(+K61-L61)/L61</f>
        <v>2.2510669241149729E-2</v>
      </c>
      <c r="N61" s="10"/>
      <c r="R61" s="2"/>
    </row>
    <row r="62" spans="1:18" ht="15.75" customHeight="1" thickTop="1" x14ac:dyDescent="0.25">
      <c r="A62" s="19"/>
      <c r="B62" s="45"/>
      <c r="C62" s="21"/>
      <c r="D62" s="21"/>
      <c r="E62" s="23"/>
      <c r="F62" s="21"/>
      <c r="G62" s="21"/>
      <c r="H62" s="23"/>
      <c r="I62" s="24"/>
      <c r="J62" s="24"/>
      <c r="K62" s="21"/>
      <c r="L62" s="21"/>
      <c r="M62" s="25"/>
      <c r="N62" s="10"/>
      <c r="R62" s="2"/>
    </row>
    <row r="63" spans="1:18" ht="15.75" x14ac:dyDescent="0.25">
      <c r="A63" s="19" t="s">
        <v>67</v>
      </c>
      <c r="B63" s="20">
        <f>DATE(2023,7,1)</f>
        <v>45108</v>
      </c>
      <c r="C63" s="21">
        <v>219120</v>
      </c>
      <c r="D63" s="21">
        <v>220596</v>
      </c>
      <c r="E63" s="23">
        <f t="shared" ref="E63:E68" si="30">(+C63-D63)/D63</f>
        <v>-6.6909644780503725E-3</v>
      </c>
      <c r="F63" s="21">
        <f>+C63-104679</f>
        <v>114441</v>
      </c>
      <c r="G63" s="21">
        <f>+D63-105104</f>
        <v>115492</v>
      </c>
      <c r="H63" s="23">
        <f t="shared" ref="H63:H68" si="31">(+F63-G63)/G63</f>
        <v>-9.1001974162712562E-3</v>
      </c>
      <c r="I63" s="24">
        <f t="shared" ref="I63:I68" si="32">K63/C63</f>
        <v>49.308570098576126</v>
      </c>
      <c r="J63" s="24">
        <f t="shared" ref="J63:J68" si="33">K63/F63</f>
        <v>94.411040448790217</v>
      </c>
      <c r="K63" s="21">
        <v>10804493.880000001</v>
      </c>
      <c r="L63" s="21">
        <v>10606782.82</v>
      </c>
      <c r="M63" s="25">
        <f t="shared" ref="M63:M68" si="34">(+K63-L63)/L63</f>
        <v>1.8640059229571414E-2</v>
      </c>
      <c r="N63" s="10"/>
      <c r="R63" s="2"/>
    </row>
    <row r="64" spans="1:18" ht="15.75" x14ac:dyDescent="0.25">
      <c r="A64" s="19"/>
      <c r="B64" s="20">
        <f>DATE(2023,8,1)</f>
        <v>45139</v>
      </c>
      <c r="C64" s="21">
        <v>218088</v>
      </c>
      <c r="D64" s="21">
        <v>204208</v>
      </c>
      <c r="E64" s="23">
        <f t="shared" si="30"/>
        <v>6.7969913029851919E-2</v>
      </c>
      <c r="F64" s="21">
        <f>+C64-101100</f>
        <v>116988</v>
      </c>
      <c r="G64" s="21">
        <f>+D64-95602</f>
        <v>108606</v>
      </c>
      <c r="H64" s="23">
        <f t="shared" si="31"/>
        <v>7.7178056460969008E-2</v>
      </c>
      <c r="I64" s="24">
        <f t="shared" si="32"/>
        <v>49.852029364293315</v>
      </c>
      <c r="J64" s="24">
        <f t="shared" si="33"/>
        <v>92.93371439805793</v>
      </c>
      <c r="K64" s="21">
        <v>10872129.380000001</v>
      </c>
      <c r="L64" s="21">
        <v>10300469.970000001</v>
      </c>
      <c r="M64" s="25">
        <f t="shared" si="34"/>
        <v>5.5498381303469797E-2</v>
      </c>
      <c r="N64" s="10"/>
      <c r="R64" s="2"/>
    </row>
    <row r="65" spans="1:18" ht="15.75" x14ac:dyDescent="0.25">
      <c r="A65" s="19"/>
      <c r="B65" s="20">
        <f>DATE(2023,9,1)</f>
        <v>45170</v>
      </c>
      <c r="C65" s="21">
        <v>241793</v>
      </c>
      <c r="D65" s="21">
        <v>202639</v>
      </c>
      <c r="E65" s="23">
        <f t="shared" si="30"/>
        <v>0.19322045608199803</v>
      </c>
      <c r="F65" s="21">
        <f>+C65-107184</f>
        <v>134609</v>
      </c>
      <c r="G65" s="21">
        <f>+D65-96056</f>
        <v>106583</v>
      </c>
      <c r="H65" s="23">
        <f t="shared" si="31"/>
        <v>0.26295000140735392</v>
      </c>
      <c r="I65" s="24">
        <f t="shared" si="32"/>
        <v>48.595700785382533</v>
      </c>
      <c r="J65" s="24">
        <f t="shared" si="33"/>
        <v>87.290599291280671</v>
      </c>
      <c r="K65" s="21">
        <v>11750100.279999999</v>
      </c>
      <c r="L65" s="21">
        <v>9829370.3000000007</v>
      </c>
      <c r="M65" s="25">
        <f t="shared" si="34"/>
        <v>0.19540722562868534</v>
      </c>
      <c r="N65" s="10"/>
      <c r="R65" s="2"/>
    </row>
    <row r="66" spans="1:18" ht="15.75" x14ac:dyDescent="0.25">
      <c r="A66" s="19"/>
      <c r="B66" s="20">
        <f>DATE(2023,10,1)</f>
        <v>45200</v>
      </c>
      <c r="C66" s="21">
        <v>245062</v>
      </c>
      <c r="D66" s="21">
        <v>197805</v>
      </c>
      <c r="E66" s="23">
        <f t="shared" si="30"/>
        <v>0.23890700437299361</v>
      </c>
      <c r="F66" s="21">
        <f>+C66-106359</f>
        <v>138703</v>
      </c>
      <c r="G66" s="21">
        <f>+D66-92993</f>
        <v>104812</v>
      </c>
      <c r="H66" s="23">
        <f t="shared" si="31"/>
        <v>0.32335037972751213</v>
      </c>
      <c r="I66" s="24">
        <f t="shared" si="32"/>
        <v>48.159280590217982</v>
      </c>
      <c r="J66" s="24">
        <f t="shared" si="33"/>
        <v>85.088351513665884</v>
      </c>
      <c r="K66" s="21">
        <v>11802009.619999999</v>
      </c>
      <c r="L66" s="21">
        <v>10418532.619999999</v>
      </c>
      <c r="M66" s="25">
        <f t="shared" si="34"/>
        <v>0.13279000512454125</v>
      </c>
      <c r="N66" s="10"/>
      <c r="R66" s="2"/>
    </row>
    <row r="67" spans="1:18" ht="15.75" x14ac:dyDescent="0.25">
      <c r="A67" s="19"/>
      <c r="B67" s="20">
        <f>DATE(2023,11,1)</f>
        <v>45231</v>
      </c>
      <c r="C67" s="21">
        <v>235399</v>
      </c>
      <c r="D67" s="21">
        <v>202426</v>
      </c>
      <c r="E67" s="23">
        <f t="shared" si="30"/>
        <v>0.16288915455524489</v>
      </c>
      <c r="F67" s="21">
        <f>+C67-106054</f>
        <v>129345</v>
      </c>
      <c r="G67" s="21">
        <f>+D67-94010</f>
        <v>108416</v>
      </c>
      <c r="H67" s="23">
        <f t="shared" si="31"/>
        <v>0.19304346221959859</v>
      </c>
      <c r="I67" s="24">
        <f t="shared" si="32"/>
        <v>49.233655580524974</v>
      </c>
      <c r="J67" s="24">
        <f t="shared" si="33"/>
        <v>89.60186547605241</v>
      </c>
      <c r="K67" s="21">
        <v>11589553.289999999</v>
      </c>
      <c r="L67" s="21">
        <v>10533865.85</v>
      </c>
      <c r="M67" s="25">
        <f t="shared" si="34"/>
        <v>0.10021842455872926</v>
      </c>
      <c r="N67" s="10"/>
      <c r="R67" s="2"/>
    </row>
    <row r="68" spans="1:18" ht="15.75" x14ac:dyDescent="0.25">
      <c r="A68" s="19"/>
      <c r="B68" s="20">
        <f>DATE(2023,12,1)</f>
        <v>45261</v>
      </c>
      <c r="C68" s="21">
        <v>239374</v>
      </c>
      <c r="D68" s="21">
        <v>223222</v>
      </c>
      <c r="E68" s="23">
        <f t="shared" si="30"/>
        <v>7.2358459291646887E-2</v>
      </c>
      <c r="F68" s="21">
        <f>+C68-109203</f>
        <v>130171</v>
      </c>
      <c r="G68" s="21">
        <f>+D68-104080</f>
        <v>119142</v>
      </c>
      <c r="H68" s="23">
        <f t="shared" si="31"/>
        <v>9.2570210337244635E-2</v>
      </c>
      <c r="I68" s="24">
        <f t="shared" si="32"/>
        <v>49.707959636384906</v>
      </c>
      <c r="J68" s="24">
        <f t="shared" si="33"/>
        <v>91.408940009679583</v>
      </c>
      <c r="K68" s="21">
        <v>11898793.130000001</v>
      </c>
      <c r="L68" s="21">
        <v>10662461.43</v>
      </c>
      <c r="M68" s="25">
        <f t="shared" si="34"/>
        <v>0.11595180982521042</v>
      </c>
      <c r="N68" s="10"/>
      <c r="R68" s="2"/>
    </row>
    <row r="69" spans="1:18" ht="15.75" customHeight="1" thickBot="1" x14ac:dyDescent="0.3">
      <c r="A69" s="19"/>
      <c r="B69" s="45"/>
      <c r="C69" s="21"/>
      <c r="D69" s="21"/>
      <c r="E69" s="23"/>
      <c r="F69" s="21"/>
      <c r="G69" s="21"/>
      <c r="H69" s="23"/>
      <c r="I69" s="24"/>
      <c r="J69" s="24"/>
      <c r="K69" s="21"/>
      <c r="L69" s="21"/>
      <c r="M69" s="25"/>
      <c r="N69" s="10"/>
      <c r="R69" s="2"/>
    </row>
    <row r="70" spans="1:18" ht="17.45" customHeight="1" thickTop="1" thickBot="1" x14ac:dyDescent="0.3">
      <c r="A70" s="39" t="s">
        <v>14</v>
      </c>
      <c r="B70" s="52"/>
      <c r="C70" s="47">
        <f>SUM(C63:C69)</f>
        <v>1398836</v>
      </c>
      <c r="D70" s="48">
        <f>SUM(D63:D69)</f>
        <v>1250896</v>
      </c>
      <c r="E70" s="281">
        <f>(+C70-D70)/D70</f>
        <v>0.11826722605236567</v>
      </c>
      <c r="F70" s="48">
        <f>SUM(F63:F69)</f>
        <v>764257</v>
      </c>
      <c r="G70" s="47">
        <f>SUM(G63:G69)</f>
        <v>663051</v>
      </c>
      <c r="H70" s="53">
        <f>(+F70-G70)/G70</f>
        <v>0.15263682582486113</v>
      </c>
      <c r="I70" s="51">
        <f>K70/C70</f>
        <v>49.124471760806841</v>
      </c>
      <c r="J70" s="50">
        <f>K70/F70</f>
        <v>89.913575642748441</v>
      </c>
      <c r="K70" s="47">
        <f>SUM(K63:K69)</f>
        <v>68717079.579999998</v>
      </c>
      <c r="L70" s="48">
        <f>SUM(L63:L69)</f>
        <v>62351482.990000002</v>
      </c>
      <c r="M70" s="44">
        <f>(+K70-L70)/L70</f>
        <v>0.10209214415992186</v>
      </c>
      <c r="N70" s="10"/>
      <c r="R70" s="2"/>
    </row>
    <row r="71" spans="1:18" ht="15.75" customHeight="1" thickTop="1" x14ac:dyDescent="0.25">
      <c r="A71" s="19"/>
      <c r="B71" s="45"/>
      <c r="C71" s="21"/>
      <c r="D71" s="21"/>
      <c r="E71" s="23"/>
      <c r="F71" s="21"/>
      <c r="G71" s="21"/>
      <c r="H71" s="23"/>
      <c r="I71" s="24"/>
      <c r="J71" s="24"/>
      <c r="K71" s="21"/>
      <c r="L71" s="21"/>
      <c r="M71" s="25"/>
      <c r="N71" s="10"/>
      <c r="R71" s="2"/>
    </row>
    <row r="72" spans="1:18" ht="15.75" customHeight="1" x14ac:dyDescent="0.25">
      <c r="A72" s="19" t="s">
        <v>69</v>
      </c>
      <c r="B72" s="20">
        <f>DATE(2023,7,1)</f>
        <v>45108</v>
      </c>
      <c r="C72" s="21">
        <v>227955</v>
      </c>
      <c r="D72" s="21">
        <v>226404</v>
      </c>
      <c r="E72" s="23">
        <f t="shared" ref="E72:E77" si="35">(+C72-D72)/D72</f>
        <v>6.8505856786982566E-3</v>
      </c>
      <c r="F72" s="21">
        <f>+C72-105186</f>
        <v>122769</v>
      </c>
      <c r="G72" s="21">
        <f>+D72-105902</f>
        <v>120502</v>
      </c>
      <c r="H72" s="23">
        <f t="shared" ref="H72:H77" si="36">(+F72-G72)/G72</f>
        <v>1.8812965759904401E-2</v>
      </c>
      <c r="I72" s="24">
        <f t="shared" ref="I72:I77" si="37">K72/C72</f>
        <v>61.567241209887918</v>
      </c>
      <c r="J72" s="24">
        <f t="shared" ref="J72:J77" si="38">K72/F72</f>
        <v>114.31681018823971</v>
      </c>
      <c r="K72" s="21">
        <v>14034560.470000001</v>
      </c>
      <c r="L72" s="21">
        <v>13168404.74</v>
      </c>
      <c r="M72" s="25">
        <f t="shared" ref="M72:M77" si="39">(+K72-L72)/L72</f>
        <v>6.5775296788151458E-2</v>
      </c>
      <c r="N72" s="10"/>
      <c r="R72" s="2"/>
    </row>
    <row r="73" spans="1:18" ht="15.75" customHeight="1" x14ac:dyDescent="0.25">
      <c r="A73" s="19"/>
      <c r="B73" s="20">
        <f>DATE(2023,8,1)</f>
        <v>45139</v>
      </c>
      <c r="C73" s="21">
        <v>213943</v>
      </c>
      <c r="D73" s="21">
        <v>232585</v>
      </c>
      <c r="E73" s="23">
        <f t="shared" si="35"/>
        <v>-8.0151342519938953E-2</v>
      </c>
      <c r="F73" s="21">
        <f>+C73-98836</f>
        <v>115107</v>
      </c>
      <c r="G73" s="21">
        <f>+D73-107552</f>
        <v>125033</v>
      </c>
      <c r="H73" s="23">
        <f t="shared" si="36"/>
        <v>-7.9387041820959264E-2</v>
      </c>
      <c r="I73" s="24">
        <f t="shared" si="37"/>
        <v>61.074573881828343</v>
      </c>
      <c r="J73" s="24">
        <f t="shared" si="38"/>
        <v>113.51592483515338</v>
      </c>
      <c r="K73" s="21">
        <v>13066477.560000001</v>
      </c>
      <c r="L73" s="21">
        <v>13927721.449999999</v>
      </c>
      <c r="M73" s="25">
        <f t="shared" si="39"/>
        <v>-6.1836668193848664E-2</v>
      </c>
      <c r="N73" s="10"/>
      <c r="R73" s="2"/>
    </row>
    <row r="74" spans="1:18" ht="15.75" customHeight="1" x14ac:dyDescent="0.25">
      <c r="A74" s="19"/>
      <c r="B74" s="20">
        <f>DATE(2023,9,1)</f>
        <v>45170</v>
      </c>
      <c r="C74" s="21">
        <v>210806</v>
      </c>
      <c r="D74" s="21">
        <v>229799</v>
      </c>
      <c r="E74" s="23">
        <f t="shared" si="35"/>
        <v>-8.2650490211010494E-2</v>
      </c>
      <c r="F74" s="21">
        <f>+C74-94978</f>
        <v>115828</v>
      </c>
      <c r="G74" s="21">
        <f>+D74-107359</f>
        <v>122440</v>
      </c>
      <c r="H74" s="23">
        <f t="shared" si="36"/>
        <v>-5.4001960143743873E-2</v>
      </c>
      <c r="I74" s="24">
        <f t="shared" si="37"/>
        <v>64.684465907042494</v>
      </c>
      <c r="J74" s="24">
        <f t="shared" si="38"/>
        <v>117.72519183617086</v>
      </c>
      <c r="K74" s="21">
        <v>13635873.52</v>
      </c>
      <c r="L74" s="21">
        <v>13521948.51</v>
      </c>
      <c r="M74" s="25">
        <f t="shared" si="39"/>
        <v>8.4251918217073413E-3</v>
      </c>
      <c r="N74" s="10"/>
      <c r="R74" s="2"/>
    </row>
    <row r="75" spans="1:18" ht="15.75" customHeight="1" x14ac:dyDescent="0.25">
      <c r="A75" s="19"/>
      <c r="B75" s="20">
        <f>DATE(2023,10,1)</f>
        <v>45200</v>
      </c>
      <c r="C75" s="21">
        <v>192200</v>
      </c>
      <c r="D75" s="21">
        <v>212700</v>
      </c>
      <c r="E75" s="23">
        <f t="shared" si="35"/>
        <v>-9.6379877762106256E-2</v>
      </c>
      <c r="F75" s="21">
        <f>+C75-87717</f>
        <v>104483</v>
      </c>
      <c r="G75" s="21">
        <f>+D75-99072</f>
        <v>113628</v>
      </c>
      <c r="H75" s="23">
        <f t="shared" si="36"/>
        <v>-8.0481923469567354E-2</v>
      </c>
      <c r="I75" s="24">
        <f t="shared" si="37"/>
        <v>60.226780332986472</v>
      </c>
      <c r="J75" s="24">
        <f t="shared" si="38"/>
        <v>110.78919230879664</v>
      </c>
      <c r="K75" s="21">
        <v>11575587.18</v>
      </c>
      <c r="L75" s="21">
        <v>12950831.189999999</v>
      </c>
      <c r="M75" s="25">
        <f t="shared" si="39"/>
        <v>-0.10618963291420988</v>
      </c>
      <c r="N75" s="10"/>
      <c r="R75" s="2"/>
    </row>
    <row r="76" spans="1:18" ht="15.75" customHeight="1" x14ac:dyDescent="0.25">
      <c r="A76" s="19"/>
      <c r="B76" s="20">
        <f>DATE(2023,11,1)</f>
        <v>45231</v>
      </c>
      <c r="C76" s="21">
        <v>197061</v>
      </c>
      <c r="D76" s="21">
        <v>191508</v>
      </c>
      <c r="E76" s="23">
        <f t="shared" si="35"/>
        <v>2.899617770537001E-2</v>
      </c>
      <c r="F76" s="21">
        <f>+C76-91318</f>
        <v>105743</v>
      </c>
      <c r="G76" s="21">
        <f>+D76-91306</f>
        <v>100202</v>
      </c>
      <c r="H76" s="23">
        <f t="shared" si="36"/>
        <v>5.5298297439172868E-2</v>
      </c>
      <c r="I76" s="24">
        <f t="shared" si="37"/>
        <v>61.029115654543517</v>
      </c>
      <c r="J76" s="24">
        <f t="shared" si="38"/>
        <v>113.73290487313581</v>
      </c>
      <c r="K76" s="21">
        <v>12026458.560000001</v>
      </c>
      <c r="L76" s="21">
        <v>11870439.130000001</v>
      </c>
      <c r="M76" s="25">
        <f t="shared" si="39"/>
        <v>1.3143526392860556E-2</v>
      </c>
      <c r="N76" s="10"/>
      <c r="R76" s="2"/>
    </row>
    <row r="77" spans="1:18" ht="15.75" customHeight="1" x14ac:dyDescent="0.25">
      <c r="A77" s="19"/>
      <c r="B77" s="20">
        <f>DATE(2023,12,1)</f>
        <v>45261</v>
      </c>
      <c r="C77" s="21">
        <v>222895</v>
      </c>
      <c r="D77" s="21">
        <v>214147</v>
      </c>
      <c r="E77" s="23">
        <f t="shared" si="35"/>
        <v>4.0850443853988151E-2</v>
      </c>
      <c r="F77" s="21">
        <f>+C77-106183</f>
        <v>116712</v>
      </c>
      <c r="G77" s="21">
        <f>+D77-102215</f>
        <v>111932</v>
      </c>
      <c r="H77" s="23">
        <f t="shared" si="36"/>
        <v>4.2704499160204412E-2</v>
      </c>
      <c r="I77" s="24">
        <f t="shared" si="37"/>
        <v>62.715428654747754</v>
      </c>
      <c r="J77" s="24">
        <f t="shared" si="38"/>
        <v>119.77307791829462</v>
      </c>
      <c r="K77" s="21">
        <v>13978955.470000001</v>
      </c>
      <c r="L77" s="21">
        <v>13055866.52</v>
      </c>
      <c r="M77" s="25">
        <f t="shared" si="39"/>
        <v>7.0703001488713224E-2</v>
      </c>
      <c r="N77" s="10"/>
      <c r="R77" s="2"/>
    </row>
    <row r="78" spans="1:18" ht="15.75" customHeight="1" thickBot="1" x14ac:dyDescent="0.3">
      <c r="A78" s="19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7.25" thickTop="1" thickBot="1" x14ac:dyDescent="0.3">
      <c r="A79" s="39" t="s">
        <v>14</v>
      </c>
      <c r="B79" s="40"/>
      <c r="C79" s="41">
        <f>SUM(C72:C78)</f>
        <v>1264860</v>
      </c>
      <c r="D79" s="41">
        <f>SUM(D72:D78)</f>
        <v>1307143</v>
      </c>
      <c r="E79" s="280">
        <f>(+C79-D79)/D79</f>
        <v>-3.2347646737962102E-2</v>
      </c>
      <c r="F79" s="41">
        <f>SUM(F72:F78)</f>
        <v>680642</v>
      </c>
      <c r="G79" s="41">
        <f>SUM(G72:G78)</f>
        <v>693737</v>
      </c>
      <c r="H79" s="42">
        <f>(+F79-G79)/G79</f>
        <v>-1.8876029388658816E-2</v>
      </c>
      <c r="I79" s="43">
        <f>K79/C79</f>
        <v>61.918246098382433</v>
      </c>
      <c r="J79" s="43">
        <f>K79/F79</f>
        <v>115.06476644109533</v>
      </c>
      <c r="K79" s="41">
        <f>SUM(K72:K78)</f>
        <v>78317912.760000005</v>
      </c>
      <c r="L79" s="41">
        <f>SUM(L72:L78)</f>
        <v>78495211.539999992</v>
      </c>
      <c r="M79" s="44">
        <f>(+K79-L79)/L79</f>
        <v>-2.2587209655411588E-3</v>
      </c>
      <c r="N79" s="10"/>
      <c r="R79" s="2"/>
    </row>
    <row r="80" spans="1:18" ht="15.75" customHeight="1" thickTop="1" x14ac:dyDescent="0.2">
      <c r="A80" s="54"/>
      <c r="B80" s="55"/>
      <c r="C80" s="55"/>
      <c r="D80" s="55"/>
      <c r="E80" s="56"/>
      <c r="F80" s="55"/>
      <c r="G80" s="55"/>
      <c r="H80" s="56"/>
      <c r="I80" s="55"/>
      <c r="J80" s="55"/>
      <c r="K80" s="196"/>
      <c r="L80" s="196"/>
      <c r="M80" s="57"/>
      <c r="N80" s="10"/>
      <c r="R80" s="2"/>
    </row>
    <row r="81" spans="1:18" ht="15.75" customHeight="1" x14ac:dyDescent="0.25">
      <c r="A81" s="19" t="s">
        <v>16</v>
      </c>
      <c r="B81" s="20">
        <f>DATE(2023,7,1)</f>
        <v>45108</v>
      </c>
      <c r="C81" s="21">
        <v>262088</v>
      </c>
      <c r="D81" s="21">
        <v>271337</v>
      </c>
      <c r="E81" s="23">
        <f t="shared" ref="E81:E86" si="40">(+C81-D81)/D81</f>
        <v>-3.4086762955291762E-2</v>
      </c>
      <c r="F81" s="21">
        <f>+C81-132418</f>
        <v>129670</v>
      </c>
      <c r="G81" s="21">
        <f>+D81-134570</f>
        <v>136767</v>
      </c>
      <c r="H81" s="23">
        <f t="shared" ref="H81:H86" si="41">(+F81-G81)/G81</f>
        <v>-5.1891172578180406E-2</v>
      </c>
      <c r="I81" s="24">
        <f t="shared" ref="I81:I86" si="42">K81/C81</f>
        <v>67.305416539482934</v>
      </c>
      <c r="J81" s="24">
        <f t="shared" ref="J81:J86" si="43">K81/F81</f>
        <v>136.03718678183083</v>
      </c>
      <c r="K81" s="21">
        <v>17639942.010000002</v>
      </c>
      <c r="L81" s="21">
        <v>18204043.98</v>
      </c>
      <c r="M81" s="25">
        <f t="shared" ref="M81:M86" si="44">(+K81-L81)/L81</f>
        <v>-3.0987728365178272E-2</v>
      </c>
      <c r="N81" s="10"/>
      <c r="R81" s="2"/>
    </row>
    <row r="82" spans="1:18" ht="15.75" customHeight="1" x14ac:dyDescent="0.25">
      <c r="A82" s="19"/>
      <c r="B82" s="20">
        <f>DATE(2023,8,1)</f>
        <v>45139</v>
      </c>
      <c r="C82" s="21">
        <v>239223</v>
      </c>
      <c r="D82" s="21">
        <v>244622</v>
      </c>
      <c r="E82" s="23">
        <f t="shared" si="40"/>
        <v>-2.2070786764886233E-2</v>
      </c>
      <c r="F82" s="21">
        <f>+C82-117748</f>
        <v>121475</v>
      </c>
      <c r="G82" s="21">
        <f>+D82-120033</f>
        <v>124589</v>
      </c>
      <c r="H82" s="23">
        <f t="shared" si="41"/>
        <v>-2.4994180866689676E-2</v>
      </c>
      <c r="I82" s="24">
        <f t="shared" si="42"/>
        <v>68.308296568473764</v>
      </c>
      <c r="J82" s="24">
        <f t="shared" si="43"/>
        <v>134.52081193661249</v>
      </c>
      <c r="K82" s="21">
        <v>16340915.630000001</v>
      </c>
      <c r="L82" s="21">
        <v>16440004.18</v>
      </c>
      <c r="M82" s="25">
        <f t="shared" si="44"/>
        <v>-6.0272825307760283E-3</v>
      </c>
      <c r="N82" s="10"/>
      <c r="R82" s="2"/>
    </row>
    <row r="83" spans="1:18" ht="15.75" customHeight="1" x14ac:dyDescent="0.25">
      <c r="A83" s="19"/>
      <c r="B83" s="20">
        <f>DATE(2023,9,1)</f>
        <v>45170</v>
      </c>
      <c r="C83" s="21">
        <v>248313</v>
      </c>
      <c r="D83" s="21">
        <v>238237</v>
      </c>
      <c r="E83" s="23">
        <f t="shared" si="40"/>
        <v>4.2294018141598493E-2</v>
      </c>
      <c r="F83" s="21">
        <f>+C83-122761</f>
        <v>125552</v>
      </c>
      <c r="G83" s="21">
        <f>+D83-117564</f>
        <v>120673</v>
      </c>
      <c r="H83" s="23">
        <f t="shared" si="41"/>
        <v>4.0431579557978999E-2</v>
      </c>
      <c r="I83" s="24">
        <f t="shared" si="42"/>
        <v>67.885279143661435</v>
      </c>
      <c r="J83" s="24">
        <f t="shared" si="43"/>
        <v>134.26147986491654</v>
      </c>
      <c r="K83" s="21">
        <v>16856797.32</v>
      </c>
      <c r="L83" s="21">
        <v>16961699.789999999</v>
      </c>
      <c r="M83" s="25">
        <f t="shared" si="44"/>
        <v>-6.1846672974276724E-3</v>
      </c>
      <c r="N83" s="10"/>
      <c r="R83" s="2"/>
    </row>
    <row r="84" spans="1:18" ht="15.75" customHeight="1" x14ac:dyDescent="0.25">
      <c r="A84" s="19"/>
      <c r="B84" s="20">
        <f>DATE(2023,10,1)</f>
        <v>45200</v>
      </c>
      <c r="C84" s="21">
        <v>227962</v>
      </c>
      <c r="D84" s="21">
        <v>243168</v>
      </c>
      <c r="E84" s="23">
        <f t="shared" si="40"/>
        <v>-6.2532899065666531E-2</v>
      </c>
      <c r="F84" s="21">
        <f>+C84-111422</f>
        <v>116540</v>
      </c>
      <c r="G84" s="21">
        <f>+D84-122237</f>
        <v>120931</v>
      </c>
      <c r="H84" s="23">
        <f t="shared" si="41"/>
        <v>-3.6309961879088075E-2</v>
      </c>
      <c r="I84" s="24">
        <f t="shared" si="42"/>
        <v>69.891412647721992</v>
      </c>
      <c r="J84" s="24">
        <f t="shared" si="43"/>
        <v>136.71345640981639</v>
      </c>
      <c r="K84" s="21">
        <v>15932586.210000001</v>
      </c>
      <c r="L84" s="21">
        <v>16273788.960000001</v>
      </c>
      <c r="M84" s="25">
        <f t="shared" si="44"/>
        <v>-2.0966398841637673E-2</v>
      </c>
      <c r="N84" s="10"/>
      <c r="R84" s="2"/>
    </row>
    <row r="85" spans="1:18" ht="15.75" customHeight="1" x14ac:dyDescent="0.25">
      <c r="A85" s="19"/>
      <c r="B85" s="20">
        <f>DATE(2023,11,1)</f>
        <v>45231</v>
      </c>
      <c r="C85" s="21">
        <v>224275</v>
      </c>
      <c r="D85" s="21">
        <v>218400</v>
      </c>
      <c r="E85" s="23">
        <f t="shared" si="40"/>
        <v>2.6900183150183152E-2</v>
      </c>
      <c r="F85" s="21">
        <f>+C85-113252</f>
        <v>111023</v>
      </c>
      <c r="G85" s="21">
        <f>+D85-108404</f>
        <v>109996</v>
      </c>
      <c r="H85" s="23">
        <f t="shared" si="41"/>
        <v>9.3367031528419214E-3</v>
      </c>
      <c r="I85" s="24">
        <f t="shared" si="42"/>
        <v>65.56001431278564</v>
      </c>
      <c r="J85" s="24">
        <f t="shared" si="43"/>
        <v>132.43627185357991</v>
      </c>
      <c r="K85" s="21">
        <v>14703472.210000001</v>
      </c>
      <c r="L85" s="21">
        <v>15198397.5</v>
      </c>
      <c r="M85" s="25">
        <f t="shared" si="44"/>
        <v>-3.2564307519921037E-2</v>
      </c>
      <c r="N85" s="10"/>
      <c r="R85" s="2"/>
    </row>
    <row r="86" spans="1:18" ht="15.75" customHeight="1" x14ac:dyDescent="0.25">
      <c r="A86" s="19"/>
      <c r="B86" s="20">
        <f>DATE(2023,12,1)</f>
        <v>45261</v>
      </c>
      <c r="C86" s="21">
        <v>269748</v>
      </c>
      <c r="D86" s="21">
        <v>250765</v>
      </c>
      <c r="E86" s="23">
        <f t="shared" si="40"/>
        <v>7.5700356907861949E-2</v>
      </c>
      <c r="F86" s="21">
        <f>+C86-136658</f>
        <v>133090</v>
      </c>
      <c r="G86" s="21">
        <f>+D86-124228</f>
        <v>126537</v>
      </c>
      <c r="H86" s="23">
        <f t="shared" si="41"/>
        <v>5.1787224290128581E-2</v>
      </c>
      <c r="I86" s="24">
        <f t="shared" si="42"/>
        <v>69.055946179397068</v>
      </c>
      <c r="J86" s="24">
        <f t="shared" si="43"/>
        <v>139.96320812983697</v>
      </c>
      <c r="K86" s="21">
        <v>18627703.370000001</v>
      </c>
      <c r="L86" s="21">
        <v>16605420.529999999</v>
      </c>
      <c r="M86" s="25">
        <f t="shared" si="44"/>
        <v>0.12178450020861964</v>
      </c>
      <c r="N86" s="10"/>
      <c r="R86" s="2"/>
    </row>
    <row r="87" spans="1:18" ht="15.75" customHeight="1" thickBot="1" x14ac:dyDescent="0.3">
      <c r="A87" s="19"/>
      <c r="B87" s="45"/>
      <c r="C87" s="21"/>
      <c r="D87" s="21"/>
      <c r="E87" s="23"/>
      <c r="F87" s="21"/>
      <c r="G87" s="21"/>
      <c r="H87" s="23"/>
      <c r="I87" s="24"/>
      <c r="J87" s="24"/>
      <c r="K87" s="21"/>
      <c r="L87" s="21"/>
      <c r="M87" s="25"/>
      <c r="N87" s="10"/>
      <c r="R87" s="2"/>
    </row>
    <row r="88" spans="1:18" ht="17.25" thickTop="1" thickBot="1" x14ac:dyDescent="0.3">
      <c r="A88" s="39" t="s">
        <v>14</v>
      </c>
      <c r="B88" s="40"/>
      <c r="C88" s="41">
        <f>SUM(C81:C87)</f>
        <v>1471609</v>
      </c>
      <c r="D88" s="41">
        <f>SUM(D81:D87)</f>
        <v>1466529</v>
      </c>
      <c r="E88" s="280">
        <f>(+C88-D88)/D88</f>
        <v>3.4639615036593206E-3</v>
      </c>
      <c r="F88" s="41">
        <f>SUM(F81:F87)</f>
        <v>737350</v>
      </c>
      <c r="G88" s="41">
        <f>SUM(G81:G87)</f>
        <v>739493</v>
      </c>
      <c r="H88" s="42">
        <f>(+F88-G88)/G88</f>
        <v>-2.8979314205813981E-3</v>
      </c>
      <c r="I88" s="43">
        <f>K88/C88</f>
        <v>68.021748134185103</v>
      </c>
      <c r="J88" s="43">
        <f>K88/F88</f>
        <v>135.75834644334441</v>
      </c>
      <c r="K88" s="41">
        <f>SUM(K81:K87)</f>
        <v>100101416.75</v>
      </c>
      <c r="L88" s="41">
        <f>SUM(L81:L87)</f>
        <v>99683354.939999998</v>
      </c>
      <c r="M88" s="44">
        <f>(+K88-L88)/L88</f>
        <v>4.1938978704281803E-3</v>
      </c>
      <c r="N88" s="10"/>
      <c r="R88" s="2"/>
    </row>
    <row r="89" spans="1:18" ht="15.75" customHeight="1" thickTop="1" x14ac:dyDescent="0.2">
      <c r="A89" s="54"/>
      <c r="B89" s="55"/>
      <c r="C89" s="55"/>
      <c r="D89" s="55"/>
      <c r="E89" s="56"/>
      <c r="F89" s="55"/>
      <c r="G89" s="55"/>
      <c r="H89" s="56"/>
      <c r="I89" s="55"/>
      <c r="J89" s="55"/>
      <c r="K89" s="196"/>
      <c r="L89" s="196"/>
      <c r="M89" s="57"/>
      <c r="N89" s="10"/>
      <c r="R89" s="2"/>
    </row>
    <row r="90" spans="1:18" ht="15.75" customHeight="1" x14ac:dyDescent="0.25">
      <c r="A90" s="19" t="s">
        <v>53</v>
      </c>
      <c r="B90" s="20">
        <f>DATE(2023,7,1)</f>
        <v>45108</v>
      </c>
      <c r="C90" s="21">
        <v>372664</v>
      </c>
      <c r="D90" s="21">
        <v>358906</v>
      </c>
      <c r="E90" s="23">
        <f t="shared" ref="E90:E95" si="45">(+C90-D90)/D90</f>
        <v>3.8333156871158465E-2</v>
      </c>
      <c r="F90" s="21">
        <f>+C90-175639</f>
        <v>197025</v>
      </c>
      <c r="G90" s="21">
        <f>+D90-172463</f>
        <v>186443</v>
      </c>
      <c r="H90" s="23">
        <f t="shared" ref="H90:H95" si="46">(+F90-G90)/G90</f>
        <v>5.6757293113713039E-2</v>
      </c>
      <c r="I90" s="24">
        <f t="shared" ref="I90:I95" si="47">K90/C90</f>
        <v>59.665630729021316</v>
      </c>
      <c r="J90" s="24">
        <f t="shared" ref="J90:J95" si="48">K90/F90</f>
        <v>112.85487938078924</v>
      </c>
      <c r="K90" s="21">
        <v>22235232.609999999</v>
      </c>
      <c r="L90" s="21">
        <v>22397002.989999998</v>
      </c>
      <c r="M90" s="25">
        <f t="shared" ref="M90:M95" si="49">(+K90-L90)/L90</f>
        <v>-7.2228583472631388E-3</v>
      </c>
      <c r="N90" s="10"/>
      <c r="R90" s="2"/>
    </row>
    <row r="91" spans="1:18" ht="15.75" customHeight="1" x14ac:dyDescent="0.25">
      <c r="A91" s="19"/>
      <c r="B91" s="20">
        <f>DATE(2023,8,1)</f>
        <v>45139</v>
      </c>
      <c r="C91" s="21">
        <v>342645</v>
      </c>
      <c r="D91" s="21">
        <v>332390</v>
      </c>
      <c r="E91" s="23">
        <f t="shared" si="45"/>
        <v>3.0852312043081923E-2</v>
      </c>
      <c r="F91" s="21">
        <f>+C91-159996</f>
        <v>182649</v>
      </c>
      <c r="G91" s="21">
        <f>+D91-159690</f>
        <v>172700</v>
      </c>
      <c r="H91" s="23">
        <f t="shared" si="46"/>
        <v>5.7608569774174868E-2</v>
      </c>
      <c r="I91" s="24">
        <f t="shared" si="47"/>
        <v>60.158932422769915</v>
      </c>
      <c r="J91" s="24">
        <f t="shared" si="48"/>
        <v>112.85666715941504</v>
      </c>
      <c r="K91" s="21">
        <v>20613157.399999999</v>
      </c>
      <c r="L91" s="21">
        <v>20719744.75</v>
      </c>
      <c r="M91" s="25">
        <f t="shared" si="49"/>
        <v>-5.1442404955303073E-3</v>
      </c>
      <c r="N91" s="10"/>
      <c r="R91" s="2"/>
    </row>
    <row r="92" spans="1:18" ht="15.75" customHeight="1" x14ac:dyDescent="0.25">
      <c r="A92" s="19"/>
      <c r="B92" s="20">
        <f>DATE(2023,9,1)</f>
        <v>45170</v>
      </c>
      <c r="C92" s="21">
        <v>340628</v>
      </c>
      <c r="D92" s="21">
        <v>333101</v>
      </c>
      <c r="E92" s="23">
        <f t="shared" si="45"/>
        <v>2.259674993470449E-2</v>
      </c>
      <c r="F92" s="21">
        <f>+C92-161145</f>
        <v>179483</v>
      </c>
      <c r="G92" s="21">
        <f>+D92-160339</f>
        <v>172762</v>
      </c>
      <c r="H92" s="23">
        <f t="shared" si="46"/>
        <v>3.8903231034602519E-2</v>
      </c>
      <c r="I92" s="24">
        <f t="shared" si="47"/>
        <v>63.235720052373857</v>
      </c>
      <c r="J92" s="24">
        <f t="shared" si="48"/>
        <v>120.01056841037871</v>
      </c>
      <c r="K92" s="21">
        <v>21539856.850000001</v>
      </c>
      <c r="L92" s="21">
        <v>20315248.210000001</v>
      </c>
      <c r="M92" s="25">
        <f t="shared" si="49"/>
        <v>6.0280269644807878E-2</v>
      </c>
      <c r="N92" s="10"/>
      <c r="R92" s="2"/>
    </row>
    <row r="93" spans="1:18" ht="15.75" customHeight="1" x14ac:dyDescent="0.25">
      <c r="A93" s="19"/>
      <c r="B93" s="20">
        <f>DATE(2023,10,1)</f>
        <v>45200</v>
      </c>
      <c r="C93" s="21">
        <v>330243</v>
      </c>
      <c r="D93" s="21">
        <v>337264</v>
      </c>
      <c r="E93" s="23">
        <f t="shared" si="45"/>
        <v>-2.081751980644243E-2</v>
      </c>
      <c r="F93" s="21">
        <f>+C93-156735</f>
        <v>173508</v>
      </c>
      <c r="G93" s="21">
        <f>+D93-160233</f>
        <v>177031</v>
      </c>
      <c r="H93" s="23">
        <f t="shared" si="46"/>
        <v>-1.9900469409312494E-2</v>
      </c>
      <c r="I93" s="24">
        <f t="shared" si="47"/>
        <v>59.923552353872751</v>
      </c>
      <c r="J93" s="24">
        <f t="shared" si="48"/>
        <v>114.05430124259399</v>
      </c>
      <c r="K93" s="21">
        <v>19789333.699999999</v>
      </c>
      <c r="L93" s="21">
        <v>21004131.789999999</v>
      </c>
      <c r="M93" s="25">
        <f t="shared" si="49"/>
        <v>-5.7836148722812786E-2</v>
      </c>
      <c r="N93" s="10"/>
      <c r="R93" s="2"/>
    </row>
    <row r="94" spans="1:18" ht="15.75" customHeight="1" x14ac:dyDescent="0.25">
      <c r="A94" s="19"/>
      <c r="B94" s="20">
        <f>DATE(2023,11,1)</f>
        <v>45231</v>
      </c>
      <c r="C94" s="21">
        <v>337822</v>
      </c>
      <c r="D94" s="21">
        <v>335976</v>
      </c>
      <c r="E94" s="23">
        <f t="shared" si="45"/>
        <v>5.4944400790532654E-3</v>
      </c>
      <c r="F94" s="21">
        <f>+C94-164575</f>
        <v>173247</v>
      </c>
      <c r="G94" s="21">
        <f>+D94-165580</f>
        <v>170396</v>
      </c>
      <c r="H94" s="23">
        <f t="shared" si="46"/>
        <v>1.6731613418155357E-2</v>
      </c>
      <c r="I94" s="24">
        <f t="shared" si="47"/>
        <v>59.797168568062467</v>
      </c>
      <c r="J94" s="24">
        <f t="shared" si="48"/>
        <v>116.60114795638596</v>
      </c>
      <c r="K94" s="21">
        <v>20200799.079999998</v>
      </c>
      <c r="L94" s="21">
        <v>20877358.670000002</v>
      </c>
      <c r="M94" s="25">
        <f t="shared" si="49"/>
        <v>-3.2406378636977429E-2</v>
      </c>
      <c r="N94" s="10"/>
      <c r="R94" s="2"/>
    </row>
    <row r="95" spans="1:18" ht="15.75" customHeight="1" x14ac:dyDescent="0.25">
      <c r="A95" s="19"/>
      <c r="B95" s="20">
        <f>DATE(2023,12,1)</f>
        <v>45261</v>
      </c>
      <c r="C95" s="21">
        <v>360595</v>
      </c>
      <c r="D95" s="21">
        <v>365348</v>
      </c>
      <c r="E95" s="23">
        <f t="shared" si="45"/>
        <v>-1.3009514216582545E-2</v>
      </c>
      <c r="F95" s="21">
        <f>+C95-173565</f>
        <v>187030</v>
      </c>
      <c r="G95" s="21">
        <f>+D95-180304</f>
        <v>185044</v>
      </c>
      <c r="H95" s="23">
        <f t="shared" si="46"/>
        <v>1.0732582520913945E-2</v>
      </c>
      <c r="I95" s="24">
        <f t="shared" si="47"/>
        <v>59.736622249337898</v>
      </c>
      <c r="J95" s="24">
        <f t="shared" si="48"/>
        <v>115.17257819601134</v>
      </c>
      <c r="K95" s="21">
        <v>21540727.300000001</v>
      </c>
      <c r="L95" s="21">
        <v>20814881.129999999</v>
      </c>
      <c r="M95" s="25">
        <f t="shared" si="49"/>
        <v>3.4871502050225822E-2</v>
      </c>
      <c r="N95" s="10"/>
      <c r="R95" s="2"/>
    </row>
    <row r="96" spans="1:18" ht="15.75" customHeight="1" thickBot="1" x14ac:dyDescent="0.3">
      <c r="A96" s="19"/>
      <c r="B96" s="45"/>
      <c r="C96" s="21"/>
      <c r="D96" s="21"/>
      <c r="E96" s="23"/>
      <c r="F96" s="21"/>
      <c r="G96" s="21"/>
      <c r="H96" s="23"/>
      <c r="I96" s="24"/>
      <c r="J96" s="24"/>
      <c r="K96" s="21"/>
      <c r="L96" s="21"/>
      <c r="M96" s="25"/>
      <c r="N96" s="10"/>
      <c r="R96" s="2"/>
    </row>
    <row r="97" spans="1:18" ht="17.25" thickTop="1" thickBot="1" x14ac:dyDescent="0.3">
      <c r="A97" s="39" t="s">
        <v>14</v>
      </c>
      <c r="B97" s="40"/>
      <c r="C97" s="41">
        <f>SUM(C90:C96)</f>
        <v>2084597</v>
      </c>
      <c r="D97" s="41">
        <f>SUM(D90:D96)</f>
        <v>2062985</v>
      </c>
      <c r="E97" s="280">
        <f>(+C97-D97)/D97</f>
        <v>1.0476081987993126E-2</v>
      </c>
      <c r="F97" s="41">
        <f>SUM(F90:F96)</f>
        <v>1092942</v>
      </c>
      <c r="G97" s="41">
        <f>SUM(G90:G96)</f>
        <v>1064376</v>
      </c>
      <c r="H97" s="42">
        <f>(+F97-G97)/G97</f>
        <v>2.6838260163701548E-2</v>
      </c>
      <c r="I97" s="43">
        <f>K97/C97</f>
        <v>60.404532358052897</v>
      </c>
      <c r="J97" s="43">
        <f>K97/F97</f>
        <v>115.21115204649469</v>
      </c>
      <c r="K97" s="41">
        <f>SUM(K90:K96)</f>
        <v>125919106.94</v>
      </c>
      <c r="L97" s="41">
        <f>SUM(L90:L96)</f>
        <v>126128367.53999999</v>
      </c>
      <c r="M97" s="44">
        <f>(+K97-L97)/L97</f>
        <v>-1.6591081299266776E-3</v>
      </c>
      <c r="N97" s="10"/>
      <c r="R97" s="2"/>
    </row>
    <row r="98" spans="1:18" ht="15.75" customHeight="1" thickTop="1" x14ac:dyDescent="0.2">
      <c r="A98" s="58"/>
      <c r="B98" s="59"/>
      <c r="C98" s="59"/>
      <c r="D98" s="59"/>
      <c r="E98" s="60"/>
      <c r="F98" s="59"/>
      <c r="G98" s="59"/>
      <c r="H98" s="60"/>
      <c r="I98" s="59"/>
      <c r="J98" s="59"/>
      <c r="K98" s="197"/>
      <c r="L98" s="197"/>
      <c r="M98" s="61"/>
      <c r="N98" s="10"/>
      <c r="R98" s="2"/>
    </row>
    <row r="99" spans="1:18" ht="15" customHeight="1" x14ac:dyDescent="0.25">
      <c r="A99" s="19" t="s">
        <v>54</v>
      </c>
      <c r="B99" s="20">
        <f>DATE(2023,7,1)</f>
        <v>45108</v>
      </c>
      <c r="C99" s="21">
        <v>43122</v>
      </c>
      <c r="D99" s="21">
        <v>45743</v>
      </c>
      <c r="E99" s="23">
        <f t="shared" ref="E99:E104" si="50">(+C99-D99)/D99</f>
        <v>-5.729838445226592E-2</v>
      </c>
      <c r="F99" s="21">
        <f>+C99-21874</f>
        <v>21248</v>
      </c>
      <c r="G99" s="21">
        <f>+D99-23748</f>
        <v>21995</v>
      </c>
      <c r="H99" s="23">
        <f t="shared" ref="H99:H104" si="51">(+F99-G99)/G99</f>
        <v>-3.3962264150943396E-2</v>
      </c>
      <c r="I99" s="24">
        <f t="shared" ref="I99:I104" si="52">K99/C99</f>
        <v>73.706668985668571</v>
      </c>
      <c r="J99" s="24">
        <f t="shared" ref="J99:J104" si="53">K99/F99</f>
        <v>149.58485410391566</v>
      </c>
      <c r="K99" s="21">
        <v>3178378.98</v>
      </c>
      <c r="L99" s="21">
        <v>3253812.68</v>
      </c>
      <c r="M99" s="25">
        <f t="shared" ref="M99:M104" si="54">(+K99-L99)/L99</f>
        <v>-2.3183172302346608E-2</v>
      </c>
      <c r="N99" s="10"/>
      <c r="R99" s="2"/>
    </row>
    <row r="100" spans="1:18" ht="15" customHeight="1" x14ac:dyDescent="0.25">
      <c r="A100" s="19"/>
      <c r="B100" s="20">
        <f>DATE(2023,8,1)</f>
        <v>45139</v>
      </c>
      <c r="C100" s="21">
        <v>38794</v>
      </c>
      <c r="D100" s="21">
        <v>40978</v>
      </c>
      <c r="E100" s="23">
        <f t="shared" si="50"/>
        <v>-5.329689101469081E-2</v>
      </c>
      <c r="F100" s="21">
        <f>+C100-19691</f>
        <v>19103</v>
      </c>
      <c r="G100" s="21">
        <f>+D100-21136</f>
        <v>19842</v>
      </c>
      <c r="H100" s="23">
        <f t="shared" si="51"/>
        <v>-3.7244229412357624E-2</v>
      </c>
      <c r="I100" s="24">
        <f t="shared" si="52"/>
        <v>74.058326803113886</v>
      </c>
      <c r="J100" s="24">
        <f t="shared" si="53"/>
        <v>150.39620635502277</v>
      </c>
      <c r="K100" s="21">
        <v>2873018.73</v>
      </c>
      <c r="L100" s="21">
        <v>2953942.06</v>
      </c>
      <c r="M100" s="25">
        <f t="shared" si="54"/>
        <v>-2.7395029542319482E-2</v>
      </c>
      <c r="N100" s="10"/>
      <c r="R100" s="2"/>
    </row>
    <row r="101" spans="1:18" ht="15" customHeight="1" x14ac:dyDescent="0.25">
      <c r="A101" s="19"/>
      <c r="B101" s="20">
        <f>DATE(2023,9,1)</f>
        <v>45170</v>
      </c>
      <c r="C101" s="21">
        <v>39024</v>
      </c>
      <c r="D101" s="21">
        <v>41696</v>
      </c>
      <c r="E101" s="23">
        <f t="shared" si="50"/>
        <v>-6.4082885648503451E-2</v>
      </c>
      <c r="F101" s="21">
        <f>+C101-19292</f>
        <v>19732</v>
      </c>
      <c r="G101" s="21">
        <f>+D101-21639</f>
        <v>20057</v>
      </c>
      <c r="H101" s="23">
        <f t="shared" si="51"/>
        <v>-1.6203819115520764E-2</v>
      </c>
      <c r="I101" s="24">
        <f t="shared" si="52"/>
        <v>73.702168152931534</v>
      </c>
      <c r="J101" s="24">
        <f t="shared" si="53"/>
        <v>145.76086610581797</v>
      </c>
      <c r="K101" s="21">
        <v>2876153.41</v>
      </c>
      <c r="L101" s="21">
        <v>3101049.85</v>
      </c>
      <c r="M101" s="25">
        <f t="shared" si="54"/>
        <v>-7.2522678085939166E-2</v>
      </c>
      <c r="N101" s="10"/>
      <c r="R101" s="2"/>
    </row>
    <row r="102" spans="1:18" ht="15" customHeight="1" x14ac:dyDescent="0.25">
      <c r="A102" s="19"/>
      <c r="B102" s="20">
        <f>DATE(2023,10,1)</f>
        <v>45200</v>
      </c>
      <c r="C102" s="21">
        <v>39576</v>
      </c>
      <c r="D102" s="21">
        <v>40713</v>
      </c>
      <c r="E102" s="23">
        <f t="shared" si="50"/>
        <v>-2.7927197700980032E-2</v>
      </c>
      <c r="F102" s="21">
        <f>+C102-20256</f>
        <v>19320</v>
      </c>
      <c r="G102" s="21">
        <f>+D102-21150</f>
        <v>19563</v>
      </c>
      <c r="H102" s="23">
        <f t="shared" si="51"/>
        <v>-1.2421407759546081E-2</v>
      </c>
      <c r="I102" s="24">
        <f t="shared" si="52"/>
        <v>78.079089094400643</v>
      </c>
      <c r="J102" s="24">
        <f t="shared" si="53"/>
        <v>159.94089182194617</v>
      </c>
      <c r="K102" s="21">
        <v>3090058.03</v>
      </c>
      <c r="L102" s="21">
        <v>3050192.47</v>
      </c>
      <c r="M102" s="25">
        <f t="shared" si="54"/>
        <v>1.306985063798272E-2</v>
      </c>
      <c r="N102" s="10"/>
      <c r="R102" s="2"/>
    </row>
    <row r="103" spans="1:18" ht="15" customHeight="1" x14ac:dyDescent="0.25">
      <c r="A103" s="19"/>
      <c r="B103" s="20">
        <f>DATE(2023,11,1)</f>
        <v>45231</v>
      </c>
      <c r="C103" s="21">
        <v>38920</v>
      </c>
      <c r="D103" s="21">
        <v>37233</v>
      </c>
      <c r="E103" s="23">
        <f t="shared" si="50"/>
        <v>4.5309268659522464E-2</v>
      </c>
      <c r="F103" s="21">
        <f>+C103-20391</f>
        <v>18529</v>
      </c>
      <c r="G103" s="21">
        <f>+D103-19170</f>
        <v>18063</v>
      </c>
      <c r="H103" s="23">
        <f t="shared" si="51"/>
        <v>2.5798593810551957E-2</v>
      </c>
      <c r="I103" s="24">
        <f t="shared" si="52"/>
        <v>70.912000000000006</v>
      </c>
      <c r="J103" s="24">
        <f t="shared" si="53"/>
        <v>148.95002644503211</v>
      </c>
      <c r="K103" s="21">
        <v>2759895.04</v>
      </c>
      <c r="L103" s="21">
        <v>2799014.1</v>
      </c>
      <c r="M103" s="25">
        <f t="shared" si="54"/>
        <v>-1.3976013911469775E-2</v>
      </c>
      <c r="N103" s="10"/>
      <c r="R103" s="2"/>
    </row>
    <row r="104" spans="1:18" ht="15" customHeight="1" x14ac:dyDescent="0.25">
      <c r="A104" s="19"/>
      <c r="B104" s="20">
        <f>DATE(2023,12,1)</f>
        <v>45261</v>
      </c>
      <c r="C104" s="21">
        <v>39936</v>
      </c>
      <c r="D104" s="21">
        <v>38888</v>
      </c>
      <c r="E104" s="23">
        <f t="shared" si="50"/>
        <v>2.6949187409997941E-2</v>
      </c>
      <c r="F104" s="21">
        <f>+C104-21159</f>
        <v>18777</v>
      </c>
      <c r="G104" s="21">
        <f>+D104-20548</f>
        <v>18340</v>
      </c>
      <c r="H104" s="23">
        <f t="shared" si="51"/>
        <v>2.3827699018538713E-2</v>
      </c>
      <c r="I104" s="24">
        <f t="shared" si="52"/>
        <v>80.196872746394234</v>
      </c>
      <c r="J104" s="24">
        <f t="shared" si="53"/>
        <v>170.56730627895831</v>
      </c>
      <c r="K104" s="21">
        <v>3202742.31</v>
      </c>
      <c r="L104" s="21">
        <v>3097813.72</v>
      </c>
      <c r="M104" s="25">
        <f t="shared" si="54"/>
        <v>3.3871820414043435E-2</v>
      </c>
      <c r="N104" s="10"/>
      <c r="R104" s="2"/>
    </row>
    <row r="105" spans="1:18" ht="15.75" thickBot="1" x14ac:dyDescent="0.25">
      <c r="A105" s="38"/>
      <c r="B105" s="20"/>
      <c r="C105" s="21"/>
      <c r="D105" s="21"/>
      <c r="E105" s="23"/>
      <c r="F105" s="21"/>
      <c r="G105" s="21"/>
      <c r="H105" s="23"/>
      <c r="I105" s="24"/>
      <c r="J105" s="24"/>
      <c r="K105" s="21"/>
      <c r="L105" s="21"/>
      <c r="M105" s="25"/>
      <c r="N105" s="10"/>
      <c r="R105" s="2"/>
    </row>
    <row r="106" spans="1:18" ht="17.25" thickTop="1" thickBot="1" x14ac:dyDescent="0.3">
      <c r="A106" s="62" t="s">
        <v>14</v>
      </c>
      <c r="B106" s="52"/>
      <c r="C106" s="48">
        <f>SUM(C99:C105)</f>
        <v>239372</v>
      </c>
      <c r="D106" s="48">
        <f>SUM(D99:D105)</f>
        <v>245251</v>
      </c>
      <c r="E106" s="280">
        <f>(+C106-D106)/D106</f>
        <v>-2.3971359953680108E-2</v>
      </c>
      <c r="F106" s="48">
        <f>SUM(F99:F105)</f>
        <v>116709</v>
      </c>
      <c r="G106" s="48">
        <f>SUM(G99:G105)</f>
        <v>117860</v>
      </c>
      <c r="H106" s="42">
        <f>(+F106-G106)/G106</f>
        <v>-9.7658238588155446E-3</v>
      </c>
      <c r="I106" s="50">
        <f>K106/C106</f>
        <v>75.114242685025815</v>
      </c>
      <c r="J106" s="50">
        <f>K106/F106</f>
        <v>154.06049661979796</v>
      </c>
      <c r="K106" s="48">
        <f>SUM(K99:K105)</f>
        <v>17980246.5</v>
      </c>
      <c r="L106" s="48">
        <f>SUM(L99:L105)</f>
        <v>18255824.879999999</v>
      </c>
      <c r="M106" s="44">
        <f>(+K106-L106)/L106</f>
        <v>-1.509536719438552E-2</v>
      </c>
      <c r="N106" s="10"/>
      <c r="R106" s="2"/>
    </row>
    <row r="107" spans="1:18" ht="15.75" customHeight="1" thickTop="1" x14ac:dyDescent="0.25">
      <c r="A107" s="19"/>
      <c r="B107" s="45"/>
      <c r="C107" s="21"/>
      <c r="D107" s="21"/>
      <c r="E107" s="23"/>
      <c r="F107" s="21"/>
      <c r="G107" s="21"/>
      <c r="H107" s="23"/>
      <c r="I107" s="24"/>
      <c r="J107" s="24"/>
      <c r="K107" s="21"/>
      <c r="L107" s="21"/>
      <c r="M107" s="25"/>
      <c r="N107" s="10"/>
      <c r="R107" s="2"/>
    </row>
    <row r="108" spans="1:18" ht="15.75" x14ac:dyDescent="0.25">
      <c r="A108" s="19" t="s">
        <v>17</v>
      </c>
      <c r="B108" s="20">
        <f>DATE(2023,7,1)</f>
        <v>45108</v>
      </c>
      <c r="C108" s="21">
        <v>341358</v>
      </c>
      <c r="D108" s="21">
        <v>376535</v>
      </c>
      <c r="E108" s="23">
        <f t="shared" ref="E108:E113" si="55">(+C108-D108)/D108</f>
        <v>-9.3422922171909645E-2</v>
      </c>
      <c r="F108" s="21">
        <f>+C108-174275</f>
        <v>167083</v>
      </c>
      <c r="G108" s="21">
        <f>+D108-192471</f>
        <v>184064</v>
      </c>
      <c r="H108" s="23">
        <f t="shared" ref="H108:H113" si="56">(+F108-G108)/G108</f>
        <v>-9.2255954450625871E-2</v>
      </c>
      <c r="I108" s="24">
        <f t="shared" ref="I108:I113" si="57">K108/C108</f>
        <v>75.201336397565015</v>
      </c>
      <c r="J108" s="24">
        <f t="shared" ref="J108:J113" si="58">K108/F108</f>
        <v>153.63967483226898</v>
      </c>
      <c r="K108" s="21">
        <v>25670577.789999999</v>
      </c>
      <c r="L108" s="21">
        <v>26699268.829999998</v>
      </c>
      <c r="M108" s="25">
        <f t="shared" ref="M108:M113" si="59">(+K108-L108)/L108</f>
        <v>-3.8528809404852871E-2</v>
      </c>
      <c r="N108" s="10"/>
      <c r="R108" s="2"/>
    </row>
    <row r="109" spans="1:18" ht="15.75" x14ac:dyDescent="0.25">
      <c r="A109" s="19"/>
      <c r="B109" s="20">
        <f>DATE(2023,8,1)</f>
        <v>45139</v>
      </c>
      <c r="C109" s="21">
        <v>326253</v>
      </c>
      <c r="D109" s="21">
        <v>348725</v>
      </c>
      <c r="E109" s="23">
        <f t="shared" si="55"/>
        <v>-6.4440461681840991E-2</v>
      </c>
      <c r="F109" s="21">
        <f>+C109-166627</f>
        <v>159626</v>
      </c>
      <c r="G109" s="21">
        <f>+D109-177430</f>
        <v>171295</v>
      </c>
      <c r="H109" s="23">
        <f t="shared" si="56"/>
        <v>-6.8122245249423508E-2</v>
      </c>
      <c r="I109" s="24">
        <f t="shared" si="57"/>
        <v>71.558283510036688</v>
      </c>
      <c r="J109" s="24">
        <f t="shared" si="58"/>
        <v>146.25502530916017</v>
      </c>
      <c r="K109" s="21">
        <v>23346104.670000002</v>
      </c>
      <c r="L109" s="21">
        <v>26620249.559999999</v>
      </c>
      <c r="M109" s="25">
        <f t="shared" si="59"/>
        <v>-0.12299452274556351</v>
      </c>
      <c r="N109" s="10"/>
      <c r="R109" s="2"/>
    </row>
    <row r="110" spans="1:18" ht="15.75" x14ac:dyDescent="0.25">
      <c r="A110" s="19"/>
      <c r="B110" s="20">
        <f>DATE(2023,9,1)</f>
        <v>45170</v>
      </c>
      <c r="C110" s="21">
        <v>330805</v>
      </c>
      <c r="D110" s="21">
        <v>351773</v>
      </c>
      <c r="E110" s="23">
        <f t="shared" si="55"/>
        <v>-5.9606621315450588E-2</v>
      </c>
      <c r="F110" s="21">
        <f>+C110-169998</f>
        <v>160807</v>
      </c>
      <c r="G110" s="21">
        <f>+D110-180127</f>
        <v>171646</v>
      </c>
      <c r="H110" s="23">
        <f t="shared" si="56"/>
        <v>-6.3147408037472472E-2</v>
      </c>
      <c r="I110" s="24">
        <f t="shared" si="57"/>
        <v>74.375674521243639</v>
      </c>
      <c r="J110" s="24">
        <f t="shared" si="58"/>
        <v>153.00232583158694</v>
      </c>
      <c r="K110" s="21">
        <v>24603845.010000002</v>
      </c>
      <c r="L110" s="21">
        <v>24480724.719999999</v>
      </c>
      <c r="M110" s="25">
        <f t="shared" si="59"/>
        <v>5.0292747215697148E-3</v>
      </c>
      <c r="N110" s="10"/>
      <c r="R110" s="2"/>
    </row>
    <row r="111" spans="1:18" ht="15.75" x14ac:dyDescent="0.25">
      <c r="A111" s="19"/>
      <c r="B111" s="20">
        <f>DATE(2023,10,1)</f>
        <v>45200</v>
      </c>
      <c r="C111" s="21">
        <v>304204</v>
      </c>
      <c r="D111" s="21">
        <v>353411</v>
      </c>
      <c r="E111" s="23">
        <f t="shared" si="55"/>
        <v>-0.13923448902269595</v>
      </c>
      <c r="F111" s="21">
        <f>+C111-155651</f>
        <v>148553</v>
      </c>
      <c r="G111" s="21">
        <f>+D111-182814</f>
        <v>170597</v>
      </c>
      <c r="H111" s="23">
        <f t="shared" si="56"/>
        <v>-0.12921680920532014</v>
      </c>
      <c r="I111" s="24">
        <f t="shared" si="57"/>
        <v>77.748252258352935</v>
      </c>
      <c r="J111" s="24">
        <f t="shared" si="58"/>
        <v>159.2113880567878</v>
      </c>
      <c r="K111" s="21">
        <v>23651329.329999998</v>
      </c>
      <c r="L111" s="21">
        <v>24469878.329999998</v>
      </c>
      <c r="M111" s="25">
        <f t="shared" si="59"/>
        <v>-3.3451290151960474E-2</v>
      </c>
      <c r="N111" s="10"/>
      <c r="R111" s="2"/>
    </row>
    <row r="112" spans="1:18" ht="15.75" x14ac:dyDescent="0.25">
      <c r="A112" s="19"/>
      <c r="B112" s="20">
        <f>DATE(2023,11,1)</f>
        <v>45231</v>
      </c>
      <c r="C112" s="21">
        <v>307303</v>
      </c>
      <c r="D112" s="21">
        <v>324947</v>
      </c>
      <c r="E112" s="23">
        <f t="shared" si="55"/>
        <v>-5.429808553394861E-2</v>
      </c>
      <c r="F112" s="21">
        <f>+C112-157952</f>
        <v>149351</v>
      </c>
      <c r="G112" s="21">
        <f>+D112-166237</f>
        <v>158710</v>
      </c>
      <c r="H112" s="23">
        <f t="shared" si="56"/>
        <v>-5.8969189087014054E-2</v>
      </c>
      <c r="I112" s="24">
        <f t="shared" si="57"/>
        <v>71.832083871618565</v>
      </c>
      <c r="J112" s="24">
        <f t="shared" si="58"/>
        <v>147.80091777088873</v>
      </c>
      <c r="K112" s="21">
        <v>22074214.870000001</v>
      </c>
      <c r="L112" s="21">
        <v>24161266.16</v>
      </c>
      <c r="M112" s="25">
        <f t="shared" si="59"/>
        <v>-8.6380046317903691E-2</v>
      </c>
      <c r="N112" s="10"/>
      <c r="R112" s="2"/>
    </row>
    <row r="113" spans="1:18" ht="15.75" x14ac:dyDescent="0.25">
      <c r="A113" s="19"/>
      <c r="B113" s="20">
        <f>DATE(2023,12,1)</f>
        <v>45261</v>
      </c>
      <c r="C113" s="21">
        <v>374032</v>
      </c>
      <c r="D113" s="21">
        <v>362717</v>
      </c>
      <c r="E113" s="23">
        <f t="shared" si="55"/>
        <v>3.1195119059762844E-2</v>
      </c>
      <c r="F113" s="21">
        <f>+C113-193719</f>
        <v>180313</v>
      </c>
      <c r="G113" s="21">
        <f>+D113-186399</f>
        <v>176318</v>
      </c>
      <c r="H113" s="23">
        <f t="shared" si="56"/>
        <v>2.2657924885717849E-2</v>
      </c>
      <c r="I113" s="24">
        <f t="shared" si="57"/>
        <v>71.185745257090304</v>
      </c>
      <c r="J113" s="24">
        <f t="shared" si="58"/>
        <v>147.66404346885693</v>
      </c>
      <c r="K113" s="21">
        <v>26625746.670000002</v>
      </c>
      <c r="L113" s="21">
        <v>25274658.52</v>
      </c>
      <c r="M113" s="25">
        <f t="shared" si="59"/>
        <v>5.345623755632059E-2</v>
      </c>
      <c r="N113" s="10"/>
      <c r="R113" s="2"/>
    </row>
    <row r="114" spans="1:18" ht="15.75" thickBot="1" x14ac:dyDescent="0.25">
      <c r="A114" s="38"/>
      <c r="B114" s="45"/>
      <c r="C114" s="21"/>
      <c r="D114" s="21"/>
      <c r="E114" s="23"/>
      <c r="F114" s="21"/>
      <c r="G114" s="21"/>
      <c r="H114" s="23"/>
      <c r="I114" s="24"/>
      <c r="J114" s="24"/>
      <c r="K114" s="21"/>
      <c r="L114" s="21"/>
      <c r="M114" s="25"/>
      <c r="N114" s="10"/>
      <c r="R114" s="2"/>
    </row>
    <row r="115" spans="1:18" ht="17.25" thickTop="1" thickBot="1" x14ac:dyDescent="0.3">
      <c r="A115" s="39" t="s">
        <v>14</v>
      </c>
      <c r="B115" s="40"/>
      <c r="C115" s="41">
        <f>SUM(C108:C114)</f>
        <v>1983955</v>
      </c>
      <c r="D115" s="41">
        <f>SUM(D108:D114)</f>
        <v>2118108</v>
      </c>
      <c r="E115" s="280">
        <f>(+C115-D115)/D115</f>
        <v>-6.3336241589191863E-2</v>
      </c>
      <c r="F115" s="41">
        <f>SUM(F108:F114)</f>
        <v>965733</v>
      </c>
      <c r="G115" s="41">
        <f>SUM(G108:G114)</f>
        <v>1032630</v>
      </c>
      <c r="H115" s="42">
        <f>(+F115-G115)/G115</f>
        <v>-6.4783126579704253E-2</v>
      </c>
      <c r="I115" s="43">
        <f>K115/C115</f>
        <v>73.57617402612459</v>
      </c>
      <c r="J115" s="43">
        <f>K115/F115</f>
        <v>151.15132064452598</v>
      </c>
      <c r="K115" s="41">
        <f>SUM(K108:K114)</f>
        <v>145971818.34</v>
      </c>
      <c r="L115" s="41">
        <f>SUM(L108:L114)</f>
        <v>151706046.12</v>
      </c>
      <c r="M115" s="44">
        <f>(+K115-L115)/L115</f>
        <v>-3.7798281127597297E-2</v>
      </c>
      <c r="N115" s="10"/>
      <c r="R115" s="2"/>
    </row>
    <row r="116" spans="1:18" ht="15.75" customHeight="1" thickTop="1" x14ac:dyDescent="0.25">
      <c r="A116" s="19"/>
      <c r="B116" s="45"/>
      <c r="C116" s="21"/>
      <c r="D116" s="21"/>
      <c r="E116" s="23"/>
      <c r="F116" s="21"/>
      <c r="G116" s="21"/>
      <c r="H116" s="23"/>
      <c r="I116" s="24"/>
      <c r="J116" s="24"/>
      <c r="K116" s="21"/>
      <c r="L116" s="21"/>
      <c r="M116" s="25"/>
      <c r="N116" s="10"/>
      <c r="R116" s="2"/>
    </row>
    <row r="117" spans="1:18" ht="15.75" x14ac:dyDescent="0.25">
      <c r="A117" s="19" t="s">
        <v>56</v>
      </c>
      <c r="B117" s="20">
        <f>DATE(2023,7,1)</f>
        <v>45108</v>
      </c>
      <c r="C117" s="21">
        <v>66323</v>
      </c>
      <c r="D117" s="21">
        <v>68778</v>
      </c>
      <c r="E117" s="23">
        <f t="shared" ref="E117:E122" si="60">(+C117-D117)/D117</f>
        <v>-3.5694553490941874E-2</v>
      </c>
      <c r="F117" s="21">
        <f>+C117-28441</f>
        <v>37882</v>
      </c>
      <c r="G117" s="21">
        <f>+D117-29763</f>
        <v>39015</v>
      </c>
      <c r="H117" s="23">
        <f t="shared" ref="H117:H122" si="61">(+F117-G117)/G117</f>
        <v>-2.9040112777136997E-2</v>
      </c>
      <c r="I117" s="24">
        <f t="shared" ref="I117:I122" si="62">K117/C117</f>
        <v>58.975659575109688</v>
      </c>
      <c r="J117" s="24">
        <f t="shared" ref="J117:J122" si="63">K117/F117</f>
        <v>103.25333060556464</v>
      </c>
      <c r="K117" s="21">
        <v>3911442.67</v>
      </c>
      <c r="L117" s="21">
        <v>4137931.7</v>
      </c>
      <c r="M117" s="25">
        <f t="shared" ref="M117:M122" si="64">(+K117-L117)/L117</f>
        <v>-5.4734840113479941E-2</v>
      </c>
      <c r="N117" s="10"/>
      <c r="R117" s="2"/>
    </row>
    <row r="118" spans="1:18" ht="15.75" x14ac:dyDescent="0.25">
      <c r="A118" s="19"/>
      <c r="B118" s="20">
        <f>DATE(2023,8,1)</f>
        <v>45139</v>
      </c>
      <c r="C118" s="21">
        <v>63894</v>
      </c>
      <c r="D118" s="21">
        <v>61732</v>
      </c>
      <c r="E118" s="23">
        <f t="shared" si="60"/>
        <v>3.5022354694485842E-2</v>
      </c>
      <c r="F118" s="21">
        <f>+C118-27335</f>
        <v>36559</v>
      </c>
      <c r="G118" s="21">
        <f>+D118-26815</f>
        <v>34917</v>
      </c>
      <c r="H118" s="23">
        <f t="shared" si="61"/>
        <v>4.7025804049603347E-2</v>
      </c>
      <c r="I118" s="24">
        <f t="shared" si="62"/>
        <v>60.44767067330266</v>
      </c>
      <c r="J118" s="24">
        <f t="shared" si="63"/>
        <v>105.64412237752674</v>
      </c>
      <c r="K118" s="21">
        <v>3862243.47</v>
      </c>
      <c r="L118" s="21">
        <v>3659627.99</v>
      </c>
      <c r="M118" s="25">
        <f t="shared" si="64"/>
        <v>5.5365048183490355E-2</v>
      </c>
      <c r="N118" s="10"/>
      <c r="R118" s="2"/>
    </row>
    <row r="119" spans="1:18" ht="15.75" x14ac:dyDescent="0.25">
      <c r="A119" s="19"/>
      <c r="B119" s="20">
        <f>DATE(2023,9,1)</f>
        <v>45170</v>
      </c>
      <c r="C119" s="21">
        <v>61378</v>
      </c>
      <c r="D119" s="21">
        <v>62788</v>
      </c>
      <c r="E119" s="23">
        <f t="shared" si="60"/>
        <v>-2.245652035420781E-2</v>
      </c>
      <c r="F119" s="21">
        <f>+C119-26751</f>
        <v>34627</v>
      </c>
      <c r="G119" s="21">
        <f>+D119-27365</f>
        <v>35423</v>
      </c>
      <c r="H119" s="23">
        <f t="shared" si="61"/>
        <v>-2.2471275724811564E-2</v>
      </c>
      <c r="I119" s="24">
        <f t="shared" si="62"/>
        <v>60.955323568705403</v>
      </c>
      <c r="J119" s="24">
        <f t="shared" si="63"/>
        <v>108.04620238542178</v>
      </c>
      <c r="K119" s="21">
        <v>3741315.85</v>
      </c>
      <c r="L119" s="21">
        <v>3960660.61</v>
      </c>
      <c r="M119" s="25">
        <f t="shared" si="64"/>
        <v>-5.5380852236162639E-2</v>
      </c>
      <c r="N119" s="10"/>
      <c r="R119" s="2"/>
    </row>
    <row r="120" spans="1:18" ht="15.75" x14ac:dyDescent="0.25">
      <c r="A120" s="19"/>
      <c r="B120" s="20">
        <f>DATE(2023,10,1)</f>
        <v>45200</v>
      </c>
      <c r="C120" s="21">
        <v>57497</v>
      </c>
      <c r="D120" s="21">
        <v>62422</v>
      </c>
      <c r="E120" s="23">
        <f t="shared" si="60"/>
        <v>-7.889846528467527E-2</v>
      </c>
      <c r="F120" s="21">
        <f>+C120-24805</f>
        <v>32692</v>
      </c>
      <c r="G120" s="21">
        <f>+D120-27630</f>
        <v>34792</v>
      </c>
      <c r="H120" s="23">
        <f t="shared" si="61"/>
        <v>-6.0358703150149462E-2</v>
      </c>
      <c r="I120" s="24">
        <f t="shared" si="62"/>
        <v>61.609674591717827</v>
      </c>
      <c r="J120" s="24">
        <f t="shared" si="63"/>
        <v>108.35591153799095</v>
      </c>
      <c r="K120" s="21">
        <v>3542371.46</v>
      </c>
      <c r="L120" s="21">
        <v>3840534.87</v>
      </c>
      <c r="M120" s="25">
        <f t="shared" si="64"/>
        <v>-7.7635907521391712E-2</v>
      </c>
      <c r="N120" s="10"/>
      <c r="R120" s="2"/>
    </row>
    <row r="121" spans="1:18" ht="15.75" x14ac:dyDescent="0.25">
      <c r="A121" s="19"/>
      <c r="B121" s="20">
        <f>DATE(2023,11,1)</f>
        <v>45231</v>
      </c>
      <c r="C121" s="21">
        <v>57953</v>
      </c>
      <c r="D121" s="21">
        <v>58006</v>
      </c>
      <c r="E121" s="23">
        <f t="shared" si="60"/>
        <v>-9.1369858290521672E-4</v>
      </c>
      <c r="F121" s="21">
        <f>+C121-25146</f>
        <v>32807</v>
      </c>
      <c r="G121" s="21">
        <f>+D121-26107</f>
        <v>31899</v>
      </c>
      <c r="H121" s="23">
        <f t="shared" si="61"/>
        <v>2.8464842158061381E-2</v>
      </c>
      <c r="I121" s="24">
        <f t="shared" si="62"/>
        <v>62.883518023225719</v>
      </c>
      <c r="J121" s="24">
        <f t="shared" si="63"/>
        <v>111.08265065382388</v>
      </c>
      <c r="K121" s="21">
        <v>3644288.52</v>
      </c>
      <c r="L121" s="21">
        <v>3573473.44</v>
      </c>
      <c r="M121" s="25">
        <f t="shared" si="64"/>
        <v>1.9816875986071434E-2</v>
      </c>
      <c r="N121" s="10"/>
      <c r="R121" s="2"/>
    </row>
    <row r="122" spans="1:18" ht="15.75" x14ac:dyDescent="0.25">
      <c r="A122" s="19"/>
      <c r="B122" s="20">
        <f>DATE(2023,12,1)</f>
        <v>45261</v>
      </c>
      <c r="C122" s="21">
        <v>70244</v>
      </c>
      <c r="D122" s="21">
        <v>64256</v>
      </c>
      <c r="E122" s="23">
        <f t="shared" si="60"/>
        <v>9.3189741035856574E-2</v>
      </c>
      <c r="F122" s="21">
        <f>+C122-32047</f>
        <v>38197</v>
      </c>
      <c r="G122" s="21">
        <f>+D122-29013</f>
        <v>35243</v>
      </c>
      <c r="H122" s="23">
        <f t="shared" si="61"/>
        <v>8.381806316147887E-2</v>
      </c>
      <c r="I122" s="24">
        <f t="shared" si="62"/>
        <v>65.062498718751783</v>
      </c>
      <c r="J122" s="24">
        <f t="shared" si="63"/>
        <v>119.64945309841087</v>
      </c>
      <c r="K122" s="21">
        <v>4570250.16</v>
      </c>
      <c r="L122" s="21">
        <v>3934523.29</v>
      </c>
      <c r="M122" s="25">
        <f t="shared" si="64"/>
        <v>0.16157659343782918</v>
      </c>
      <c r="N122" s="10"/>
      <c r="R122" s="2"/>
    </row>
    <row r="123" spans="1:18" ht="15.75" thickBot="1" x14ac:dyDescent="0.25">
      <c r="A123" s="38"/>
      <c r="B123" s="45"/>
      <c r="C123" s="21"/>
      <c r="D123" s="21"/>
      <c r="E123" s="23"/>
      <c r="F123" s="21"/>
      <c r="G123" s="21"/>
      <c r="H123" s="23"/>
      <c r="I123" s="24"/>
      <c r="J123" s="24"/>
      <c r="K123" s="21"/>
      <c r="L123" s="21"/>
      <c r="M123" s="25"/>
      <c r="N123" s="10"/>
      <c r="R123" s="2"/>
    </row>
    <row r="124" spans="1:18" ht="17.25" thickTop="1" thickBot="1" x14ac:dyDescent="0.3">
      <c r="A124" s="26" t="s">
        <v>14</v>
      </c>
      <c r="B124" s="27"/>
      <c r="C124" s="28">
        <f>SUM(C117:C123)</f>
        <v>377289</v>
      </c>
      <c r="D124" s="28">
        <f>SUM(D117:D123)</f>
        <v>377982</v>
      </c>
      <c r="E124" s="280">
        <f>(+C124-D124)/D124</f>
        <v>-1.8334206390780514E-3</v>
      </c>
      <c r="F124" s="28">
        <f>SUM(F117:F123)</f>
        <v>212764</v>
      </c>
      <c r="G124" s="28">
        <f>SUM(G117:G123)</f>
        <v>211289</v>
      </c>
      <c r="H124" s="42">
        <f>(+F124-G124)/G124</f>
        <v>6.9809597281448631E-3</v>
      </c>
      <c r="I124" s="43">
        <f>K124/C124</f>
        <v>61.681925871149168</v>
      </c>
      <c r="J124" s="43">
        <f>K124/F124</f>
        <v>109.37899329773833</v>
      </c>
      <c r="K124" s="28">
        <f>SUM(K117:K123)</f>
        <v>23271912.129999999</v>
      </c>
      <c r="L124" s="28">
        <f>SUM(L117:L123)</f>
        <v>23106751.900000002</v>
      </c>
      <c r="M124" s="44">
        <f>(+K124-L124)/L124</f>
        <v>7.147704303693013E-3</v>
      </c>
      <c r="N124" s="10"/>
      <c r="R124" s="2"/>
    </row>
    <row r="125" spans="1:18" ht="16.5" thickTop="1" thickBot="1" x14ac:dyDescent="0.25">
      <c r="A125" s="63"/>
      <c r="B125" s="34"/>
      <c r="C125" s="35"/>
      <c r="D125" s="35"/>
      <c r="E125" s="29"/>
      <c r="F125" s="35"/>
      <c r="G125" s="35"/>
      <c r="H125" s="29"/>
      <c r="I125" s="36"/>
      <c r="J125" s="36"/>
      <c r="K125" s="35"/>
      <c r="L125" s="35"/>
      <c r="M125" s="37"/>
      <c r="N125" s="10"/>
      <c r="R125" s="2"/>
    </row>
    <row r="126" spans="1:18" ht="17.25" thickTop="1" thickBot="1" x14ac:dyDescent="0.3">
      <c r="A126" s="64" t="s">
        <v>18</v>
      </c>
      <c r="B126" s="65"/>
      <c r="C126" s="28">
        <f>C124+C115+C52+C70+C79+C34+C16+C88+C97+C43+C106+C25+C61</f>
        <v>14413539</v>
      </c>
      <c r="D126" s="28">
        <f>D124+D115+D52+D70+D79+D34+D16+D88+D97+D43+D106+D25+D61</f>
        <v>14431648</v>
      </c>
      <c r="E126" s="279">
        <f>(+C126-D126)/D126</f>
        <v>-1.2548116472907321E-3</v>
      </c>
      <c r="F126" s="28">
        <f>F124+F115+F52+F70+F79+F34+F16+F88+F97+F43+F106+F25+F61</f>
        <v>7406829</v>
      </c>
      <c r="G126" s="28">
        <f>G124+G115+G52+G70+G79+G34+G16+G88+G97+G43+G106+G25+G61</f>
        <v>7369736</v>
      </c>
      <c r="H126" s="30">
        <f>(+F126-G126)/G126</f>
        <v>5.0331517981105425E-3</v>
      </c>
      <c r="I126" s="31">
        <f>K126/C126</f>
        <v>65.947186031133654</v>
      </c>
      <c r="J126" s="31">
        <f>K126/F126</f>
        <v>128.33188639834941</v>
      </c>
      <c r="K126" s="28">
        <f>K124+K115+K52+K70+K79+K34+K16+K88+K97+K43+K106+K25+K61</f>
        <v>950532337.80000007</v>
      </c>
      <c r="L126" s="28">
        <f>L124+L115+L52+L70+L79+L34+L16+L88+L97+L43+L106+L25+L61</f>
        <v>950046935.61000001</v>
      </c>
      <c r="M126" s="32">
        <f>(+K126-L126)/L126</f>
        <v>5.109244310002361E-4</v>
      </c>
      <c r="N126" s="10"/>
      <c r="R126" s="2"/>
    </row>
    <row r="127" spans="1:18" ht="17.25" thickTop="1" thickBot="1" x14ac:dyDescent="0.3">
      <c r="A127" s="64"/>
      <c r="B127" s="65"/>
      <c r="C127" s="28"/>
      <c r="D127" s="28"/>
      <c r="E127" s="29"/>
      <c r="F127" s="28"/>
      <c r="G127" s="28"/>
      <c r="H127" s="30"/>
      <c r="I127" s="31"/>
      <c r="J127" s="31"/>
      <c r="K127" s="28"/>
      <c r="L127" s="28"/>
      <c r="M127" s="32"/>
      <c r="N127" s="10"/>
      <c r="R127" s="2"/>
    </row>
    <row r="128" spans="1:18" ht="17.25" thickTop="1" thickBot="1" x14ac:dyDescent="0.3">
      <c r="A128" s="64" t="s">
        <v>19</v>
      </c>
      <c r="B128" s="65"/>
      <c r="C128" s="28">
        <f>+C14+C23+C32+C41+C50+C59+C68+C77+C86+C95+C104+C113+C122</f>
        <v>2554765</v>
      </c>
      <c r="D128" s="28">
        <f>+D14+D23+D32+D41+D50+D59+D68+D77+D86+D95+D104+D113+D122</f>
        <v>2448273</v>
      </c>
      <c r="E128" s="279">
        <f>(+C128-D128)/D128</f>
        <v>4.349678324271844E-2</v>
      </c>
      <c r="F128" s="28">
        <f>+F14+F23+F32+F41+F50+F59+F68+F77+F86+F95+F104+F113+F122</f>
        <v>1297398</v>
      </c>
      <c r="G128" s="28">
        <f>+G14+G23+G32+G41+G50+G59+G68+G77+G86+G95+G104+G113+G122</f>
        <v>1240249</v>
      </c>
      <c r="H128" s="30">
        <f>(+F128-G128)/G128</f>
        <v>4.6078650335537458E-2</v>
      </c>
      <c r="I128" s="291">
        <f>K128/C128</f>
        <v>66.17161504874224</v>
      </c>
      <c r="J128" s="31">
        <f>K128/F128</f>
        <v>130.30151589566191</v>
      </c>
      <c r="K128" s="28">
        <f>+K14+K23+K32+K41+K50+K59+K68+K77+K86+K95+K104+K113+K122</f>
        <v>169052926.11999997</v>
      </c>
      <c r="L128" s="28">
        <f>+L14+L23+L32+L41+L50+L59+L68+L77+L86+L95+L104+L113+L122</f>
        <v>157685292.25999999</v>
      </c>
      <c r="M128" s="32">
        <f>(+K128-L128)/L128</f>
        <v>7.2090641410337872E-2</v>
      </c>
      <c r="N128" s="10"/>
      <c r="R128" s="2"/>
    </row>
    <row r="129" spans="1:18" ht="15.75" thickTop="1" x14ac:dyDescent="0.2">
      <c r="A129" s="66"/>
      <c r="B129" s="67"/>
      <c r="C129" s="68"/>
      <c r="D129" s="67"/>
      <c r="E129" s="67"/>
      <c r="F129" s="67"/>
      <c r="G129" s="67"/>
      <c r="H129" s="67"/>
      <c r="I129" s="67"/>
      <c r="J129" s="67"/>
      <c r="K129" s="68"/>
      <c r="L129" s="68"/>
      <c r="M129" s="67"/>
      <c r="R129" s="2"/>
    </row>
    <row r="130" spans="1:18" ht="18.75" x14ac:dyDescent="0.3">
      <c r="A130" s="264" t="s">
        <v>20</v>
      </c>
      <c r="B130" s="70"/>
      <c r="C130" s="71"/>
      <c r="D130" s="71"/>
      <c r="E130" s="71"/>
      <c r="F130" s="71"/>
      <c r="G130" s="71"/>
      <c r="H130" s="71"/>
      <c r="I130" s="71"/>
      <c r="J130" s="71"/>
      <c r="K130" s="198"/>
      <c r="L130" s="198"/>
      <c r="M130" s="71"/>
      <c r="N130" s="2"/>
      <c r="O130" s="2"/>
      <c r="P130" s="2"/>
      <c r="Q130" s="2"/>
      <c r="R130" s="2"/>
    </row>
    <row r="131" spans="1:18" ht="18" x14ac:dyDescent="0.25">
      <c r="A131" s="69"/>
      <c r="B131" s="70"/>
      <c r="C131" s="71"/>
      <c r="D131" s="71"/>
      <c r="E131" s="71"/>
      <c r="F131" s="71"/>
      <c r="G131" s="71"/>
      <c r="H131" s="71"/>
      <c r="I131" s="71"/>
      <c r="J131" s="71"/>
      <c r="K131" s="198"/>
      <c r="L131" s="198"/>
      <c r="M131" s="71"/>
      <c r="N131" s="2"/>
      <c r="O131" s="2"/>
      <c r="P131" s="2"/>
      <c r="Q131" s="2"/>
      <c r="R131" s="2"/>
    </row>
    <row r="132" spans="1:18" ht="15.75" x14ac:dyDescent="0.25">
      <c r="A132" s="72"/>
      <c r="B132" s="73"/>
      <c r="C132" s="74"/>
      <c r="D132" s="74"/>
      <c r="E132" s="74"/>
      <c r="F132" s="74"/>
      <c r="G132" s="74"/>
      <c r="H132" s="74"/>
      <c r="I132" s="74"/>
      <c r="J132" s="74"/>
      <c r="K132" s="192"/>
      <c r="L132" s="192"/>
      <c r="M132" s="75"/>
      <c r="N132" s="2"/>
      <c r="O132" s="2"/>
      <c r="P132" s="2"/>
      <c r="Q132" s="2"/>
      <c r="R132" s="2"/>
    </row>
    <row r="133" spans="1:18" x14ac:dyDescent="0.2">
      <c r="A133" s="2"/>
      <c r="B133" s="73"/>
      <c r="C133" s="74"/>
      <c r="D133" s="74"/>
      <c r="E133" s="74"/>
      <c r="F133" s="74"/>
      <c r="G133" s="74"/>
      <c r="H133" s="74"/>
      <c r="I133" s="74"/>
      <c r="J133" s="74"/>
      <c r="K133" s="192"/>
      <c r="L133" s="192"/>
      <c r="M133" s="75"/>
      <c r="N133" s="2"/>
      <c r="O133" s="2"/>
      <c r="P133" s="2"/>
      <c r="Q133" s="2"/>
      <c r="R133" s="2"/>
    </row>
    <row r="134" spans="1:18" x14ac:dyDescent="0.2">
      <c r="A134" s="2"/>
      <c r="B134" s="73"/>
      <c r="C134" s="74"/>
      <c r="D134" s="74"/>
      <c r="E134" s="74"/>
      <c r="F134" s="74"/>
      <c r="G134" s="74"/>
      <c r="H134" s="74"/>
      <c r="I134" s="74"/>
      <c r="J134" s="74"/>
      <c r="K134" s="192"/>
      <c r="L134" s="192"/>
      <c r="M134" s="75"/>
      <c r="N134" s="2"/>
      <c r="O134" s="2"/>
      <c r="P134" s="2"/>
      <c r="Q134" s="2"/>
      <c r="R134" s="2"/>
    </row>
    <row r="135" spans="1:18" x14ac:dyDescent="0.2">
      <c r="A135" s="2"/>
      <c r="B135" s="73"/>
      <c r="C135" s="74"/>
      <c r="D135" s="74"/>
      <c r="E135" s="74"/>
      <c r="F135" s="74"/>
      <c r="G135" s="74"/>
      <c r="H135" s="74"/>
      <c r="I135" s="74"/>
      <c r="J135" s="74"/>
      <c r="K135" s="192"/>
      <c r="L135" s="192"/>
      <c r="M135" s="75"/>
      <c r="N135" s="2"/>
      <c r="O135" s="2"/>
      <c r="P135" s="2"/>
      <c r="Q135" s="2"/>
      <c r="R135" s="2"/>
    </row>
    <row r="136" spans="1:18" x14ac:dyDescent="0.2">
      <c r="A136" s="2"/>
      <c r="B136" s="73"/>
      <c r="C136" s="74"/>
      <c r="D136" s="74"/>
      <c r="E136" s="74"/>
      <c r="F136" s="74"/>
      <c r="G136" s="74"/>
      <c r="H136" s="74"/>
      <c r="I136" s="74"/>
      <c r="J136" s="74"/>
      <c r="K136" s="192"/>
      <c r="L136" s="192"/>
      <c r="M136" s="75"/>
      <c r="N136" s="2"/>
      <c r="O136" s="2"/>
      <c r="P136" s="2"/>
      <c r="Q136" s="2"/>
      <c r="R136" s="2"/>
    </row>
    <row r="137" spans="1:18" x14ac:dyDescent="0.2">
      <c r="A137" s="2"/>
      <c r="B137" s="73"/>
      <c r="C137" s="74"/>
      <c r="D137" s="74"/>
      <c r="E137" s="74"/>
      <c r="F137" s="74"/>
      <c r="G137" s="74"/>
      <c r="H137" s="74"/>
      <c r="I137" s="74"/>
      <c r="J137" s="74"/>
      <c r="K137" s="192"/>
      <c r="L137" s="192"/>
      <c r="M137" s="75"/>
      <c r="N137" s="2"/>
      <c r="O137" s="2"/>
      <c r="P137" s="2"/>
      <c r="Q137" s="2"/>
      <c r="R137" s="2"/>
    </row>
    <row r="138" spans="1:18" x14ac:dyDescent="0.2">
      <c r="A138" s="2"/>
      <c r="B138" s="73"/>
      <c r="C138" s="74"/>
      <c r="D138" s="74"/>
      <c r="E138" s="74"/>
      <c r="F138" s="74"/>
      <c r="G138" s="74"/>
      <c r="H138" s="74"/>
      <c r="I138" s="74"/>
      <c r="J138" s="74"/>
      <c r="K138" s="192"/>
      <c r="L138" s="192"/>
      <c r="M138" s="75"/>
      <c r="N138" s="2"/>
      <c r="O138" s="2"/>
      <c r="P138" s="2"/>
      <c r="Q138" s="2"/>
      <c r="R138" s="2"/>
    </row>
    <row r="139" spans="1:18" x14ac:dyDescent="0.2">
      <c r="A139" s="2"/>
      <c r="B139" s="73"/>
      <c r="C139" s="74"/>
      <c r="D139" s="74"/>
      <c r="E139" s="74"/>
      <c r="F139" s="74"/>
      <c r="G139" s="74"/>
      <c r="H139" s="74"/>
      <c r="I139" s="74"/>
      <c r="J139" s="74"/>
      <c r="K139" s="192"/>
      <c r="L139" s="192"/>
      <c r="M139" s="75"/>
      <c r="N139" s="2"/>
      <c r="O139" s="2"/>
      <c r="P139" s="2"/>
      <c r="Q139" s="2"/>
      <c r="R139" s="2"/>
    </row>
    <row r="140" spans="1:18" x14ac:dyDescent="0.2">
      <c r="A140" s="2"/>
      <c r="B140" s="73"/>
      <c r="C140" s="74"/>
      <c r="D140" s="74"/>
      <c r="E140" s="74"/>
      <c r="F140" s="74"/>
      <c r="G140" s="74"/>
      <c r="H140" s="74"/>
      <c r="I140" s="74"/>
      <c r="J140" s="74"/>
      <c r="K140" s="192"/>
      <c r="L140" s="192"/>
      <c r="M140" s="75"/>
      <c r="N140" s="2"/>
      <c r="O140" s="2"/>
      <c r="P140" s="2"/>
      <c r="Q140" s="2"/>
      <c r="R140" s="2"/>
    </row>
    <row r="141" spans="1:18" x14ac:dyDescent="0.2">
      <c r="A141" s="2"/>
      <c r="B141" s="73"/>
      <c r="C141" s="74"/>
      <c r="D141" s="74"/>
      <c r="E141" s="74"/>
      <c r="F141" s="74"/>
      <c r="G141" s="74"/>
      <c r="H141" s="74"/>
      <c r="I141" s="74"/>
      <c r="J141" s="74"/>
      <c r="K141" s="192"/>
      <c r="L141" s="192"/>
      <c r="M141" s="74"/>
      <c r="N141" s="2"/>
      <c r="O141" s="2"/>
      <c r="P141" s="2"/>
      <c r="Q141" s="2"/>
      <c r="R141" s="2"/>
    </row>
    <row r="142" spans="1:18" x14ac:dyDescent="0.2">
      <c r="A142" s="2"/>
      <c r="B142" s="73"/>
      <c r="C142" s="74"/>
      <c r="D142" s="74"/>
      <c r="E142" s="74"/>
      <c r="F142" s="74"/>
      <c r="G142" s="74"/>
      <c r="H142" s="74"/>
      <c r="I142" s="74"/>
      <c r="J142" s="74"/>
      <c r="K142" s="192"/>
      <c r="L142" s="192"/>
      <c r="M142" s="74"/>
      <c r="N142" s="2"/>
      <c r="O142" s="2"/>
      <c r="P142" s="2"/>
      <c r="Q142" s="2"/>
      <c r="R142" s="2"/>
    </row>
    <row r="143" spans="1:18" x14ac:dyDescent="0.2">
      <c r="A143" s="2"/>
      <c r="B143" s="70"/>
      <c r="C143" s="74"/>
      <c r="D143" s="74"/>
      <c r="E143" s="74"/>
      <c r="F143" s="74"/>
      <c r="G143" s="74"/>
      <c r="H143" s="74"/>
      <c r="I143" s="74"/>
      <c r="J143" s="74"/>
      <c r="K143" s="192"/>
      <c r="L143" s="192"/>
      <c r="M143" s="74"/>
      <c r="N143" s="2"/>
      <c r="O143" s="2"/>
      <c r="P143" s="2"/>
      <c r="Q143" s="2"/>
      <c r="R143" s="2"/>
    </row>
    <row r="144" spans="1:18" ht="15.75" x14ac:dyDescent="0.25">
      <c r="A144" s="76"/>
      <c r="B144" s="70"/>
      <c r="C144" s="74"/>
      <c r="D144" s="74"/>
      <c r="E144" s="74"/>
      <c r="F144" s="74"/>
      <c r="G144" s="74"/>
      <c r="H144" s="74"/>
      <c r="I144" s="74"/>
      <c r="J144" s="74"/>
      <c r="K144" s="192"/>
      <c r="L144" s="192"/>
      <c r="M144" s="75"/>
      <c r="N144" s="2"/>
      <c r="O144" s="2"/>
      <c r="P144" s="2"/>
      <c r="Q144" s="2"/>
      <c r="R144" s="2"/>
    </row>
    <row r="145" spans="1:18" ht="15.75" x14ac:dyDescent="0.25">
      <c r="A145" s="76"/>
      <c r="B145" s="70"/>
      <c r="C145" s="74"/>
      <c r="D145" s="74"/>
      <c r="E145" s="74"/>
      <c r="F145" s="74"/>
      <c r="G145" s="74"/>
      <c r="H145" s="74"/>
      <c r="I145" s="74"/>
      <c r="J145" s="74"/>
      <c r="K145" s="192"/>
      <c r="L145" s="192"/>
      <c r="M145" s="75"/>
      <c r="N145" s="2"/>
      <c r="O145" s="2"/>
      <c r="P145" s="2"/>
      <c r="Q145" s="2"/>
      <c r="R145" s="2"/>
    </row>
    <row r="146" spans="1:18" ht="15.75" x14ac:dyDescent="0.25">
      <c r="A146" s="76"/>
      <c r="B146" s="70"/>
      <c r="C146" s="74"/>
      <c r="D146" s="74"/>
      <c r="E146" s="74"/>
      <c r="F146" s="74"/>
      <c r="G146" s="74"/>
      <c r="H146" s="74"/>
      <c r="I146" s="74"/>
      <c r="J146" s="74"/>
      <c r="K146" s="192"/>
      <c r="L146" s="192"/>
      <c r="M146" s="75"/>
      <c r="N146" s="2"/>
      <c r="O146" s="2"/>
      <c r="P146" s="2"/>
      <c r="Q146" s="2"/>
      <c r="R146" s="2"/>
    </row>
    <row r="147" spans="1:18" x14ac:dyDescent="0.2">
      <c r="A147" s="2"/>
      <c r="B147" s="70"/>
      <c r="C147" s="74"/>
      <c r="D147" s="74"/>
      <c r="E147" s="74"/>
      <c r="F147" s="74"/>
      <c r="G147" s="74"/>
      <c r="H147" s="74"/>
      <c r="I147" s="74"/>
      <c r="J147" s="74"/>
      <c r="K147" s="192"/>
      <c r="L147" s="192"/>
      <c r="M147" s="75"/>
      <c r="N147" s="2"/>
      <c r="O147" s="2"/>
      <c r="P147" s="2"/>
      <c r="Q147" s="2"/>
      <c r="R147" s="2"/>
    </row>
    <row r="148" spans="1:18" ht="15.75" x14ac:dyDescent="0.25">
      <c r="A148" s="76"/>
      <c r="B148" s="73"/>
      <c r="C148" s="74"/>
      <c r="D148" s="74"/>
      <c r="E148" s="74"/>
      <c r="F148" s="74"/>
      <c r="G148" s="74"/>
      <c r="H148" s="74"/>
      <c r="I148" s="74"/>
      <c r="J148" s="74"/>
      <c r="K148" s="192"/>
      <c r="L148" s="192"/>
      <c r="M148" s="75"/>
      <c r="N148" s="2"/>
      <c r="O148" s="2"/>
      <c r="P148" s="2"/>
      <c r="Q148" s="2"/>
      <c r="R148" s="2"/>
    </row>
    <row r="149" spans="1:18" x14ac:dyDescent="0.2">
      <c r="A149" s="2"/>
      <c r="B149" s="73"/>
      <c r="C149" s="74"/>
      <c r="D149" s="74"/>
      <c r="E149" s="74"/>
      <c r="F149" s="74"/>
      <c r="G149" s="74"/>
      <c r="H149" s="74"/>
      <c r="I149" s="74"/>
      <c r="J149" s="74"/>
      <c r="K149" s="192"/>
      <c r="L149" s="192"/>
      <c r="M149" s="75"/>
      <c r="N149" s="2"/>
      <c r="O149" s="2"/>
      <c r="P149" s="2"/>
      <c r="Q149" s="2"/>
      <c r="R149" s="2"/>
    </row>
    <row r="150" spans="1:18" x14ac:dyDescent="0.2">
      <c r="A150" s="2"/>
      <c r="B150" s="73"/>
      <c r="C150" s="74"/>
      <c r="D150" s="74"/>
      <c r="E150" s="74"/>
      <c r="F150" s="74"/>
      <c r="G150" s="74"/>
      <c r="H150" s="74"/>
      <c r="I150" s="74"/>
      <c r="J150" s="74"/>
      <c r="K150" s="192"/>
      <c r="L150" s="192"/>
      <c r="M150" s="75"/>
      <c r="N150" s="2"/>
      <c r="O150" s="2"/>
      <c r="P150" s="2"/>
      <c r="Q150" s="2"/>
      <c r="R150" s="2"/>
    </row>
    <row r="151" spans="1:18" x14ac:dyDescent="0.2">
      <c r="A151" s="2"/>
      <c r="B151" s="77"/>
      <c r="C151" s="74"/>
      <c r="D151" s="74"/>
      <c r="E151" s="74"/>
      <c r="F151" s="74"/>
      <c r="G151" s="74"/>
      <c r="H151" s="74"/>
      <c r="I151" s="74"/>
      <c r="J151" s="74"/>
      <c r="K151" s="192"/>
      <c r="L151" s="192"/>
      <c r="M151" s="75"/>
      <c r="N151" s="2"/>
      <c r="O151" s="2"/>
      <c r="P151" s="2"/>
      <c r="Q151" s="2"/>
      <c r="R151" s="2"/>
    </row>
    <row r="152" spans="1:18" x14ac:dyDescent="0.2">
      <c r="A152" s="2"/>
      <c r="B152" s="77"/>
      <c r="C152" s="74"/>
      <c r="D152" s="74"/>
      <c r="E152" s="74"/>
      <c r="F152" s="74"/>
      <c r="G152" s="74"/>
      <c r="H152" s="74"/>
      <c r="I152" s="74"/>
      <c r="J152" s="74"/>
      <c r="K152" s="192"/>
      <c r="L152" s="192"/>
      <c r="M152" s="75"/>
      <c r="N152" s="2"/>
      <c r="O152" s="2"/>
      <c r="P152" s="2"/>
      <c r="Q152" s="2"/>
      <c r="R152" s="2"/>
    </row>
    <row r="153" spans="1:18" x14ac:dyDescent="0.2">
      <c r="A153" s="2"/>
      <c r="B153" s="77"/>
      <c r="C153" s="74"/>
      <c r="D153" s="74"/>
      <c r="E153" s="74"/>
      <c r="F153" s="74"/>
      <c r="G153" s="74"/>
      <c r="H153" s="74"/>
      <c r="I153" s="74"/>
      <c r="J153" s="74"/>
      <c r="K153" s="192"/>
      <c r="L153" s="192"/>
      <c r="M153" s="75"/>
      <c r="N153" s="2"/>
      <c r="O153" s="2"/>
      <c r="P153" s="2"/>
      <c r="Q153" s="2"/>
      <c r="R153" s="2"/>
    </row>
    <row r="154" spans="1:18" x14ac:dyDescent="0.2">
      <c r="A154" s="2"/>
      <c r="B154" s="77"/>
      <c r="C154" s="74"/>
      <c r="D154" s="74"/>
      <c r="E154" s="74"/>
      <c r="F154" s="74"/>
      <c r="G154" s="74"/>
      <c r="H154" s="74"/>
      <c r="I154" s="74"/>
      <c r="J154" s="74"/>
      <c r="K154" s="192"/>
      <c r="L154" s="192"/>
      <c r="M154" s="75"/>
      <c r="N154" s="2"/>
      <c r="O154" s="2"/>
      <c r="P154" s="2"/>
      <c r="Q154" s="2"/>
      <c r="R154" s="2"/>
    </row>
    <row r="155" spans="1:18" x14ac:dyDescent="0.2">
      <c r="A155" s="2"/>
      <c r="B155" s="77"/>
      <c r="C155" s="74"/>
      <c r="D155" s="74"/>
      <c r="E155" s="74"/>
      <c r="F155" s="74"/>
      <c r="G155" s="74"/>
      <c r="H155" s="74"/>
      <c r="I155" s="74"/>
      <c r="J155" s="74"/>
      <c r="K155" s="192"/>
      <c r="L155" s="192"/>
      <c r="M155" s="75"/>
      <c r="N155" s="2"/>
      <c r="O155" s="2"/>
      <c r="P155" s="2"/>
      <c r="Q155" s="2"/>
      <c r="R155" s="2"/>
    </row>
    <row r="156" spans="1:18" x14ac:dyDescent="0.2">
      <c r="A156" s="2"/>
      <c r="B156" s="77"/>
      <c r="C156" s="74"/>
      <c r="D156" s="74"/>
      <c r="E156" s="74"/>
      <c r="F156" s="74"/>
      <c r="G156" s="74"/>
      <c r="H156" s="74"/>
      <c r="I156" s="74"/>
      <c r="J156" s="74"/>
      <c r="K156" s="192"/>
      <c r="L156" s="192"/>
      <c r="M156" s="75"/>
      <c r="N156" s="2"/>
      <c r="O156" s="2"/>
      <c r="P156" s="2"/>
      <c r="Q156" s="2"/>
      <c r="R156" s="2"/>
    </row>
    <row r="157" spans="1:18" x14ac:dyDescent="0.2">
      <c r="A157" s="2"/>
      <c r="B157" s="77"/>
      <c r="C157" s="74"/>
      <c r="D157" s="74"/>
      <c r="E157" s="74"/>
      <c r="F157" s="74"/>
      <c r="G157" s="74"/>
      <c r="H157" s="74"/>
      <c r="I157" s="74"/>
      <c r="J157" s="74"/>
      <c r="K157" s="192"/>
      <c r="L157" s="192"/>
      <c r="M157" s="75"/>
      <c r="N157" s="2"/>
      <c r="O157" s="2"/>
      <c r="P157" s="2"/>
      <c r="Q157" s="2"/>
      <c r="R157" s="2"/>
    </row>
    <row r="158" spans="1:18" x14ac:dyDescent="0.2">
      <c r="A158" s="2"/>
      <c r="B158" s="77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x14ac:dyDescent="0.2">
      <c r="A159" s="2"/>
      <c r="B159" s="77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2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ht="15.75" x14ac:dyDescent="0.25">
      <c r="A161" s="76"/>
      <c r="B161" s="2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2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2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ht="15.75" x14ac:dyDescent="0.25">
      <c r="A164" s="76"/>
      <c r="B164" s="2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ht="15.75" x14ac:dyDescent="0.25">
      <c r="A165" s="76"/>
      <c r="B165" s="2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ht="15.75" x14ac:dyDescent="0.25">
      <c r="A166" s="76"/>
      <c r="B166" s="77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77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5"/>
      <c r="N167" s="2"/>
      <c r="O167" s="2"/>
      <c r="P167" s="2"/>
      <c r="Q167" s="2"/>
      <c r="R167" s="2"/>
    </row>
    <row r="168" spans="1:18" x14ac:dyDescent="0.2">
      <c r="A168" s="2"/>
      <c r="B168" s="77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5"/>
      <c r="N168" s="2"/>
      <c r="O168" s="2"/>
      <c r="P168" s="2"/>
      <c r="Q168" s="2"/>
      <c r="R168" s="2"/>
    </row>
    <row r="169" spans="1:18" x14ac:dyDescent="0.2">
      <c r="A169" s="2"/>
      <c r="B169" s="77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5"/>
      <c r="N169" s="2"/>
      <c r="O169" s="2"/>
      <c r="P169" s="2"/>
      <c r="Q169" s="2"/>
      <c r="R169" s="2"/>
    </row>
    <row r="170" spans="1:18" x14ac:dyDescent="0.2">
      <c r="A170" s="2"/>
      <c r="B170" s="77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x14ac:dyDescent="0.2">
      <c r="A171" s="2"/>
      <c r="B171" s="77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77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77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x14ac:dyDescent="0.2">
      <c r="A174" s="2"/>
      <c r="B174" s="77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77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77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x14ac:dyDescent="0.2">
      <c r="A177" s="2"/>
      <c r="B177" s="77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x14ac:dyDescent="0.2">
      <c r="A178" s="2"/>
      <c r="B178" s="2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ht="15.75" x14ac:dyDescent="0.25">
      <c r="A179" s="76"/>
      <c r="B179" s="2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2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2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ht="15.75" x14ac:dyDescent="0.25">
      <c r="A182" s="76"/>
      <c r="B182" s="77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77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77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2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2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2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ht="15.75" x14ac:dyDescent="0.25">
      <c r="A188" s="76"/>
      <c r="B188" s="2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2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2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ht="15.75" x14ac:dyDescent="0.25">
      <c r="A191" s="76"/>
      <c r="B191" s="76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x14ac:dyDescent="0.2">
      <c r="A192" s="2"/>
      <c r="B192" s="2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2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2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x14ac:dyDescent="0.2">
      <c r="A195" s="2"/>
      <c r="B195" s="2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2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2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2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2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2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2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2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12" man="1"/>
    <brk id="9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STATS'!$C$18*2</f>
        <v>229528</v>
      </c>
      <c r="D10" s="89">
        <f>'MONTHLY STATS'!$C$27*2</f>
        <v>124414</v>
      </c>
      <c r="E10" s="89">
        <f>'MONTHLY STATS'!$C$36*2</f>
        <v>703680</v>
      </c>
      <c r="F10" s="89">
        <f>'MONTHLY STATS'!$C$45*2</f>
        <v>399396</v>
      </c>
      <c r="G10" s="89">
        <f>'MONTHLY STATS'!$C$54*2</f>
        <v>188900</v>
      </c>
      <c r="H10" s="89">
        <f>'MONTHLY STATS'!$C$63*2</f>
        <v>438240</v>
      </c>
      <c r="I10" s="89">
        <f>'MONTHLY STATS'!$C$72*2</f>
        <v>455910</v>
      </c>
      <c r="J10" s="89">
        <f>'MONTHLY STATS'!$C$81*2</f>
        <v>524176</v>
      </c>
      <c r="K10" s="89">
        <f>'MONTHLY STATS'!$C$90*2</f>
        <v>745328</v>
      </c>
      <c r="L10" s="89">
        <f>'MONTHLY STATS'!$C$99*2</f>
        <v>86244</v>
      </c>
      <c r="M10" s="89">
        <f>'MONTHLY STATS'!$C$108*2</f>
        <v>682716</v>
      </c>
      <c r="N10" s="89">
        <f>'MONTHLY STATS'!$C$117*2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STATS'!$C$19*2</f>
        <v>206976</v>
      </c>
      <c r="D11" s="89">
        <f>'MONTHLY STATS'!$C$28*2</f>
        <v>111582</v>
      </c>
      <c r="E11" s="89">
        <f>'MONTHLY STATS'!$C$37*2</f>
        <v>661644</v>
      </c>
      <c r="F11" s="89">
        <f>'MONTHLY STATS'!$C$46*2</f>
        <v>371724</v>
      </c>
      <c r="G11" s="89">
        <f>'MONTHLY STATS'!$C$55*2</f>
        <v>171280</v>
      </c>
      <c r="H11" s="89">
        <f>'MONTHLY STATS'!$C$64*2</f>
        <v>436176</v>
      </c>
      <c r="I11" s="89">
        <f>'MONTHLY STATS'!$C$73*2</f>
        <v>427886</v>
      </c>
      <c r="J11" s="89">
        <f>'MONTHLY STATS'!$C$82*2</f>
        <v>478446</v>
      </c>
      <c r="K11" s="89">
        <f>'MONTHLY STATS'!$C$91*2</f>
        <v>685290</v>
      </c>
      <c r="L11" s="89">
        <f>'MONTHLY STATS'!$C$100*2</f>
        <v>77588</v>
      </c>
      <c r="M11" s="89">
        <f>'MONTHLY STATS'!$C$109*2</f>
        <v>652506</v>
      </c>
      <c r="N11" s="89">
        <f>'MONTHLY STATS'!$C$118*2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371408</v>
      </c>
      <c r="C12" s="89">
        <f>'MONTHLY STATS'!$C$20*2</f>
        <v>200608</v>
      </c>
      <c r="D12" s="89">
        <f>'MONTHLY STATS'!$C$29*2</f>
        <v>113374</v>
      </c>
      <c r="E12" s="89">
        <f>'MONTHLY STATS'!$C$38*2</f>
        <v>633924</v>
      </c>
      <c r="F12" s="89">
        <f>'MONTHLY STATS'!$C$47*2</f>
        <v>375262</v>
      </c>
      <c r="G12" s="89">
        <f>'MONTHLY STATS'!$C$56*2</f>
        <v>170280</v>
      </c>
      <c r="H12" s="89">
        <f>'MONTHLY STATS'!$C$65*2</f>
        <v>483586</v>
      </c>
      <c r="I12" s="89">
        <f>'MONTHLY STATS'!$C$74*2</f>
        <v>421612</v>
      </c>
      <c r="J12" s="89">
        <f>'MONTHLY STATS'!$C$83*2</f>
        <v>496626</v>
      </c>
      <c r="K12" s="89">
        <f>'MONTHLY STATS'!$C$92*2</f>
        <v>681256</v>
      </c>
      <c r="L12" s="89">
        <f>'MONTHLY STATS'!$C$101*2</f>
        <v>78048</v>
      </c>
      <c r="M12" s="89">
        <f>'MONTHLY STATS'!$C$110*2</f>
        <v>661610</v>
      </c>
      <c r="N12" s="89">
        <f>'MONTHLY STATS'!$C$119*2</f>
        <v>122756</v>
      </c>
      <c r="O12" s="90">
        <f t="shared" si="0"/>
        <v>4810350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338922</v>
      </c>
      <c r="C13" s="89">
        <f>'MONTHLY STATS'!$C$21*2</f>
        <v>186356</v>
      </c>
      <c r="D13" s="89">
        <f>'MONTHLY STATS'!$C$30*2</f>
        <v>100636</v>
      </c>
      <c r="E13" s="89">
        <f>'MONTHLY STATS'!$C$39*2</f>
        <v>577604</v>
      </c>
      <c r="F13" s="89">
        <f>'MONTHLY STATS'!$C$48*2</f>
        <v>367450</v>
      </c>
      <c r="G13" s="89">
        <f>'MONTHLY STATS'!$C$57*2</f>
        <v>156624</v>
      </c>
      <c r="H13" s="89">
        <f>'MONTHLY STATS'!$C$66*2</f>
        <v>490124</v>
      </c>
      <c r="I13" s="89">
        <f>'MONTHLY STATS'!$C$75*2</f>
        <v>384400</v>
      </c>
      <c r="J13" s="89">
        <f>'MONTHLY STATS'!$C$84*2</f>
        <v>455924</v>
      </c>
      <c r="K13" s="89">
        <f>'MONTHLY STATS'!$C$93*2</f>
        <v>660486</v>
      </c>
      <c r="L13" s="89">
        <f>'MONTHLY STATS'!$C$102*2</f>
        <v>79152</v>
      </c>
      <c r="M13" s="89">
        <f>'MONTHLY STATS'!$C$111*2</f>
        <v>608408</v>
      </c>
      <c r="N13" s="89">
        <f>'MONTHLY STATS'!$C$120*2</f>
        <v>114994</v>
      </c>
      <c r="O13" s="90">
        <f t="shared" si="0"/>
        <v>4521080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STATS'!$C$22*2</f>
        <v>178800</v>
      </c>
      <c r="D14" s="89">
        <f>'MONTHLY STATS'!$C$31*2</f>
        <v>100948</v>
      </c>
      <c r="E14" s="89">
        <f>'MONTHLY STATS'!$C$40*2</f>
        <v>577830</v>
      </c>
      <c r="F14" s="89">
        <f>'MONTHLY STATS'!$C$49*2</f>
        <v>336434</v>
      </c>
      <c r="G14" s="89">
        <f>'MONTHLY STATS'!$C$58*2</f>
        <v>153312</v>
      </c>
      <c r="H14" s="89">
        <f>'MONTHLY STATS'!$C$67*2</f>
        <v>470798</v>
      </c>
      <c r="I14" s="89">
        <f>'MONTHLY STATS'!$C$76*2</f>
        <v>394122</v>
      </c>
      <c r="J14" s="89">
        <f>'MONTHLY STATS'!$C$85*2</f>
        <v>448550</v>
      </c>
      <c r="K14" s="89">
        <f>'MONTHLY STATS'!$C$94*2</f>
        <v>675644</v>
      </c>
      <c r="L14" s="89">
        <f>'MONTHLY STATS'!$C$103*2</f>
        <v>77840</v>
      </c>
      <c r="M14" s="89">
        <f>'MONTHLY STATS'!$C$112*2</f>
        <v>614606</v>
      </c>
      <c r="N14" s="89">
        <f>'MONTHLY STATS'!$C$121*2</f>
        <v>115906</v>
      </c>
      <c r="O14" s="90">
        <f t="shared" si="0"/>
        <v>4496940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409404</v>
      </c>
      <c r="C15" s="89">
        <f>'MONTHLY STATS'!$C$23*2</f>
        <v>206504</v>
      </c>
      <c r="D15" s="89">
        <f>'MONTHLY STATS'!$C$32*2</f>
        <v>112508</v>
      </c>
      <c r="E15" s="89">
        <f>'MONTHLY STATS'!$C$41*2</f>
        <v>629486</v>
      </c>
      <c r="F15" s="89">
        <f>'MONTHLY STATS'!$C$50*2</f>
        <v>404400</v>
      </c>
      <c r="G15" s="89">
        <f>'MONTHLY STATS'!$C$59*2</f>
        <v>193580</v>
      </c>
      <c r="H15" s="89">
        <f>'MONTHLY STATS'!$C$68*2</f>
        <v>478748</v>
      </c>
      <c r="I15" s="89">
        <f>'MONTHLY STATS'!$C$77*2</f>
        <v>445790</v>
      </c>
      <c r="J15" s="89">
        <f>'MONTHLY STATS'!$C$86*2</f>
        <v>539496</v>
      </c>
      <c r="K15" s="89">
        <f>'MONTHLY STATS'!$C$95*2</f>
        <v>721190</v>
      </c>
      <c r="L15" s="89">
        <f>'MONTHLY STATS'!$C$104*2</f>
        <v>79872</v>
      </c>
      <c r="M15" s="89">
        <f>'MONTHLY STATS'!$C$113*2</f>
        <v>748064</v>
      </c>
      <c r="N15" s="89">
        <f>'MONTHLY STATS'!$C$122*2</f>
        <v>140488</v>
      </c>
      <c r="O15" s="90">
        <f t="shared" si="0"/>
        <v>5109530</v>
      </c>
      <c r="P15" s="83"/>
    </row>
    <row r="16" spans="1:16" ht="15.75" x14ac:dyDescent="0.2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  <c r="P16" s="83"/>
    </row>
    <row r="17" spans="1:16" ht="15.75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2240998</v>
      </c>
      <c r="C23" s="90">
        <f t="shared" si="1"/>
        <v>1208772</v>
      </c>
      <c r="D23" s="90">
        <f t="shared" si="1"/>
        <v>663462</v>
      </c>
      <c r="E23" s="90">
        <f t="shared" si="1"/>
        <v>3784168</v>
      </c>
      <c r="F23" s="90">
        <f t="shared" si="1"/>
        <v>2254666</v>
      </c>
      <c r="G23" s="90">
        <f>SUM(G10:G21)</f>
        <v>1033976</v>
      </c>
      <c r="H23" s="90">
        <f t="shared" si="1"/>
        <v>2797672</v>
      </c>
      <c r="I23" s="90">
        <f>SUM(I10:I21)</f>
        <v>2529720</v>
      </c>
      <c r="J23" s="90">
        <f t="shared" si="1"/>
        <v>2943218</v>
      </c>
      <c r="K23" s="90">
        <f>SUM(K10:K21)</f>
        <v>4169194</v>
      </c>
      <c r="L23" s="90">
        <f t="shared" si="1"/>
        <v>478744</v>
      </c>
      <c r="M23" s="90">
        <f t="shared" si="1"/>
        <v>3967910</v>
      </c>
      <c r="N23" s="90">
        <f t="shared" si="1"/>
        <v>754578</v>
      </c>
      <c r="O23" s="90">
        <f t="shared" si="1"/>
        <v>28827078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STATS'!$K$18*0.21</f>
        <v>1719921.4872000001</v>
      </c>
      <c r="D31" s="89">
        <f>'MONTHLY STATS'!$K$27*0.21</f>
        <v>817934.35290000006</v>
      </c>
      <c r="E31" s="89">
        <f>'MONTHLY STATS'!$K$36*0.21</f>
        <v>4674535.0217999993</v>
      </c>
      <c r="F31" s="89">
        <f>'MONTHLY STATS'!$K$45*0.21</f>
        <v>3228902.0589000001</v>
      </c>
      <c r="G31" s="89">
        <f>'MONTHLY STATS'!$K$54*0.21</f>
        <v>1319580.5342999999</v>
      </c>
      <c r="H31" s="89">
        <f>'MONTHLY STATS'!$K$63*0.21</f>
        <v>2268943.7148000002</v>
      </c>
      <c r="I31" s="89">
        <f>'MONTHLY STATS'!$K$72*0.21</f>
        <v>2947257.6987000001</v>
      </c>
      <c r="J31" s="89">
        <f>'MONTHLY STATS'!$K$81*0.21</f>
        <v>3704387.8221</v>
      </c>
      <c r="K31" s="89">
        <f>'MONTHLY STATS'!$K$90*0.21</f>
        <v>4669398.8481000001</v>
      </c>
      <c r="L31" s="89">
        <f>'MONTHLY STATS'!$K$99*0.21</f>
        <v>667459.5858</v>
      </c>
      <c r="M31" s="89">
        <f>'MONTHLY STATS'!$K$108*0.21</f>
        <v>5390821.3358999994</v>
      </c>
      <c r="N31" s="89">
        <f>'MONTHLY STATS'!$K$117*0.21</f>
        <v>821402.96069999994</v>
      </c>
      <c r="O31" s="90">
        <f t="shared" ref="O31:O36" si="2">SUM(B31:N31)</f>
        <v>35376761.489999995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STATS'!$K$19*0.21</f>
        <v>1570446.5763000001</v>
      </c>
      <c r="D32" s="89">
        <f>'MONTHLY STATS'!$K$28*0.21</f>
        <v>789048.26909999992</v>
      </c>
      <c r="E32" s="89">
        <f>'MONTHLY STATS'!$K$37*0.21</f>
        <v>4190646.3227999997</v>
      </c>
      <c r="F32" s="89">
        <f>'MONTHLY STATS'!$K$46*0.21</f>
        <v>2955351.3128999998</v>
      </c>
      <c r="G32" s="89">
        <f>'MONTHLY STATS'!$K$55*0.21</f>
        <v>1258922.0027999999</v>
      </c>
      <c r="H32" s="89">
        <f>'MONTHLY STATS'!$K$64*0.21</f>
        <v>2283147.1698000003</v>
      </c>
      <c r="I32" s="89">
        <f>'MONTHLY STATS'!$K$73*0.21</f>
        <v>2743960.2875999999</v>
      </c>
      <c r="J32" s="89">
        <f>'MONTHLY STATS'!$K$82*0.21</f>
        <v>3431592.2823000001</v>
      </c>
      <c r="K32" s="89">
        <f>'MONTHLY STATS'!$K$91*0.21</f>
        <v>4328763.0539999995</v>
      </c>
      <c r="L32" s="89">
        <f>'MONTHLY STATS'!$K$100*0.21</f>
        <v>603333.93329999992</v>
      </c>
      <c r="M32" s="89">
        <f>'MONTHLY STATS'!$K$109*0.21</f>
        <v>4902681.9807000002</v>
      </c>
      <c r="N32" s="89">
        <f>'MONTHLY STATS'!$K$118*0.21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STATS'!$K$20*0.21</f>
        <v>1512997.5902999998</v>
      </c>
      <c r="D33" s="89">
        <f>'MONTHLY STATS'!$K$29*0.21</f>
        <v>844931.44259999995</v>
      </c>
      <c r="E33" s="89">
        <f>'MONTHLY STATS'!$K$38*0.21</f>
        <v>4303547.5833000001</v>
      </c>
      <c r="F33" s="89">
        <f>'MONTHLY STATS'!$K$47*0.21</f>
        <v>2904963.7407</v>
      </c>
      <c r="G33" s="89">
        <f>'MONTHLY STATS'!$K$56*0.21</f>
        <v>1096871.5023000001</v>
      </c>
      <c r="H33" s="89">
        <f>'MONTHLY STATS'!$K$65*0.21</f>
        <v>2467521.0587999998</v>
      </c>
      <c r="I33" s="89">
        <f>'MONTHLY STATS'!$K$74*0.21</f>
        <v>2863533.4391999999</v>
      </c>
      <c r="J33" s="89">
        <f>'MONTHLY STATS'!$K$83*0.21</f>
        <v>3539927.4372</v>
      </c>
      <c r="K33" s="89">
        <f>'MONTHLY STATS'!$K$92*0.21</f>
        <v>4523369.9385000002</v>
      </c>
      <c r="L33" s="89">
        <f>'MONTHLY STATS'!$K$101*0.21</f>
        <v>603992.21609999996</v>
      </c>
      <c r="M33" s="89">
        <f>'MONTHLY STATS'!$K$110*0.21</f>
        <v>5166807.4521000003</v>
      </c>
      <c r="N33" s="89">
        <f>'MONTHLY STATS'!$K$119*0.21</f>
        <v>785676.32849999995</v>
      </c>
      <c r="O33" s="90">
        <f t="shared" si="2"/>
        <v>33298801.817399997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STATS'!$K$21*0.21</f>
        <v>1371526.7223</v>
      </c>
      <c r="D34" s="89">
        <f>'MONTHLY STATS'!$K$30*0.21</f>
        <v>777349.62899999996</v>
      </c>
      <c r="E34" s="89">
        <f>'MONTHLY STATS'!$K$39*0.21</f>
        <v>4064720.5997999995</v>
      </c>
      <c r="F34" s="89">
        <f>'MONTHLY STATS'!$K$48*0.21</f>
        <v>2814623.5781999999</v>
      </c>
      <c r="G34" s="89">
        <f>'MONTHLY STATS'!$K$57*0.21</f>
        <v>1101098.6049000002</v>
      </c>
      <c r="H34" s="89">
        <f>'MONTHLY STATS'!$K$66*0.21</f>
        <v>2478422.0201999997</v>
      </c>
      <c r="I34" s="89">
        <f>'MONTHLY STATS'!$K$75*0.21</f>
        <v>2430873.3078000001</v>
      </c>
      <c r="J34" s="89">
        <f>'MONTHLY STATS'!$K$84*0.21</f>
        <v>3345843.1041000001</v>
      </c>
      <c r="K34" s="89">
        <f>'MONTHLY STATS'!$K$93*0.21</f>
        <v>4155760.0769999996</v>
      </c>
      <c r="L34" s="89">
        <f>'MONTHLY STATS'!$K$102*0.21</f>
        <v>648912.18629999994</v>
      </c>
      <c r="M34" s="89">
        <f>'MONTHLY STATS'!$K$111*0.21</f>
        <v>4966779.1592999995</v>
      </c>
      <c r="N34" s="89">
        <f>'MONTHLY STATS'!$K$120*0.21</f>
        <v>743898.00659999996</v>
      </c>
      <c r="O34" s="90">
        <f t="shared" si="2"/>
        <v>31600839.652199995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STATS'!$K$22*0.21</f>
        <v>1426649.6768999998</v>
      </c>
      <c r="D35" s="89">
        <f>'MONTHLY STATS'!$K$31*0.21</f>
        <v>752874.89339999994</v>
      </c>
      <c r="E35" s="89">
        <f>'MONTHLY STATS'!$K$40*0.21</f>
        <v>4139318.5617</v>
      </c>
      <c r="F35" s="89">
        <f>'MONTHLY STATS'!$K$49*0.21</f>
        <v>2664497.5496999999</v>
      </c>
      <c r="G35" s="89">
        <f>'MONTHLY STATS'!$K$58*0.21</f>
        <v>1095222.4668000001</v>
      </c>
      <c r="H35" s="89">
        <f>'MONTHLY STATS'!$K$67*0.21</f>
        <v>2433806.1908999998</v>
      </c>
      <c r="I35" s="89">
        <f>'MONTHLY STATS'!$K$76*0.21</f>
        <v>2525556.2976000002</v>
      </c>
      <c r="J35" s="89">
        <f>'MONTHLY STATS'!$K$85*0.21</f>
        <v>3087729.1641000002</v>
      </c>
      <c r="K35" s="89">
        <f>'MONTHLY STATS'!$K$94*0.21</f>
        <v>4242167.8067999994</v>
      </c>
      <c r="L35" s="89">
        <f>'MONTHLY STATS'!$K$103*0.21</f>
        <v>579577.9584</v>
      </c>
      <c r="M35" s="89">
        <f>'MONTHLY STATS'!$K$112*0.21</f>
        <v>4635585.1227000002</v>
      </c>
      <c r="N35" s="89">
        <f>'MONTHLY STATS'!$K$121*0.21</f>
        <v>765300.58919999993</v>
      </c>
      <c r="O35" s="90">
        <f t="shared" si="2"/>
        <v>30998612.3937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STATS'!$K$23*0.21</f>
        <v>1639249.6091999998</v>
      </c>
      <c r="D36" s="89">
        <f>'MONTHLY STATS'!$K$32*0.21</f>
        <v>853822.77119999996</v>
      </c>
      <c r="E36" s="89">
        <f>'MONTHLY STATS'!$K$41*0.21</f>
        <v>4488511.4315999998</v>
      </c>
      <c r="F36" s="89">
        <f>'MONTHLY STATS'!$K$50*0.21</f>
        <v>3270009.0359999998</v>
      </c>
      <c r="G36" s="89">
        <f>'MONTHLY STATS'!$K$59*0.21</f>
        <v>1258609.1531999998</v>
      </c>
      <c r="H36" s="89">
        <f>'MONTHLY STATS'!$K$68*0.21</f>
        <v>2498746.5573</v>
      </c>
      <c r="I36" s="89">
        <f>'MONTHLY STATS'!$K$77*0.21</f>
        <v>2935580.6487000003</v>
      </c>
      <c r="J36" s="89">
        <f>'MONTHLY STATS'!$K$86*0.21</f>
        <v>3911817.7077000001</v>
      </c>
      <c r="K36" s="89">
        <f>'MONTHLY STATS'!$K$95*0.21</f>
        <v>4523552.733</v>
      </c>
      <c r="L36" s="89">
        <f>'MONTHLY STATS'!$K$104*0.21</f>
        <v>672575.88509999996</v>
      </c>
      <c r="M36" s="89">
        <f>'MONTHLY STATS'!$K$113*0.21</f>
        <v>5591406.8007000005</v>
      </c>
      <c r="N36" s="89">
        <f>'MONTHLY STATS'!$K$122*0.21</f>
        <v>959752.53359999997</v>
      </c>
      <c r="O36" s="90">
        <f t="shared" si="2"/>
        <v>35501114.485200003</v>
      </c>
      <c r="P36" s="83"/>
    </row>
    <row r="37" spans="1:16" ht="15.75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  <c r="P37" s="83"/>
    </row>
    <row r="38" spans="1:16" ht="15.7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17046413.3259</v>
      </c>
      <c r="C44" s="90">
        <f t="shared" si="3"/>
        <v>9240791.6622000001</v>
      </c>
      <c r="D44" s="90">
        <f t="shared" si="3"/>
        <v>4835961.3581999997</v>
      </c>
      <c r="E44" s="90">
        <f t="shared" si="3"/>
        <v>25861279.521000002</v>
      </c>
      <c r="F44" s="90">
        <f t="shared" si="3"/>
        <v>17838347.2764</v>
      </c>
      <c r="G44" s="90">
        <f t="shared" si="3"/>
        <v>7130304.2643000009</v>
      </c>
      <c r="H44" s="90">
        <f t="shared" si="3"/>
        <v>14430586.7118</v>
      </c>
      <c r="I44" s="90">
        <f>SUM(I31:I42)</f>
        <v>16446761.679600002</v>
      </c>
      <c r="J44" s="90">
        <f t="shared" si="3"/>
        <v>21021297.517499998</v>
      </c>
      <c r="K44" s="90">
        <f>SUM(K31:K42)</f>
        <v>26443012.457399998</v>
      </c>
      <c r="L44" s="90">
        <f t="shared" si="3"/>
        <v>3775851.7650000001</v>
      </c>
      <c r="M44" s="90">
        <f t="shared" si="3"/>
        <v>30654081.851400003</v>
      </c>
      <c r="N44" s="90">
        <f t="shared" si="3"/>
        <v>4887101.5472999997</v>
      </c>
      <c r="O44" s="90">
        <f t="shared" si="3"/>
        <v>199611790.93799996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31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75</v>
      </c>
      <c r="B3" s="117"/>
      <c r="C3" s="200"/>
      <c r="D3" s="200"/>
      <c r="E3" s="200"/>
      <c r="F3" s="117"/>
      <c r="G3" s="210"/>
    </row>
    <row r="4" spans="1:8" x14ac:dyDescent="0.2">
      <c r="A4" s="284" t="s">
        <v>76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thickBot="1" x14ac:dyDescent="0.25">
      <c r="A15" s="133"/>
      <c r="B15" s="134"/>
      <c r="C15" s="204"/>
      <c r="D15" s="204"/>
      <c r="E15" s="204"/>
      <c r="F15" s="132"/>
      <c r="G15" s="215"/>
      <c r="H15" s="123"/>
    </row>
    <row r="16" spans="1:8" ht="17.25" thickTop="1" thickBot="1" x14ac:dyDescent="0.3">
      <c r="A16" s="135" t="s">
        <v>14</v>
      </c>
      <c r="B16" s="136"/>
      <c r="C16" s="201">
        <f>SUM(C9:C15)</f>
        <v>94959250</v>
      </c>
      <c r="D16" s="201">
        <f>SUM(D9:D15)</f>
        <v>14510640.5</v>
      </c>
      <c r="E16" s="201">
        <f>SUM(E9:E15)</f>
        <v>15939542.85</v>
      </c>
      <c r="F16" s="137">
        <f>(+D16-E16)/E16</f>
        <v>-8.9645127432246258E-2</v>
      </c>
      <c r="G16" s="212">
        <f>D16/C16</f>
        <v>0.15280913128526183</v>
      </c>
      <c r="H16" s="123"/>
    </row>
    <row r="17" spans="1:8" ht="15.75" customHeight="1" thickTop="1" x14ac:dyDescent="0.25">
      <c r="A17" s="138"/>
      <c r="B17" s="139"/>
      <c r="C17" s="205"/>
      <c r="D17" s="205"/>
      <c r="E17" s="205"/>
      <c r="F17" s="140"/>
      <c r="G17" s="216"/>
      <c r="H17" s="123"/>
    </row>
    <row r="18" spans="1:8" ht="15.75" x14ac:dyDescent="0.25">
      <c r="A18" s="19" t="s">
        <v>15</v>
      </c>
      <c r="B18" s="131">
        <f>DATE(2023,7,1)</f>
        <v>45108</v>
      </c>
      <c r="C18" s="204">
        <v>2471937</v>
      </c>
      <c r="D18" s="204">
        <v>614728</v>
      </c>
      <c r="E18" s="204">
        <v>637839.5</v>
      </c>
      <c r="F18" s="132">
        <f t="shared" ref="F18:F23" si="2">(+D18-E18)/E18</f>
        <v>-3.62340369324885E-2</v>
      </c>
      <c r="G18" s="215">
        <f t="shared" ref="G18:G23" si="3">D18/C18</f>
        <v>0.24868271319212423</v>
      </c>
      <c r="H18" s="123"/>
    </row>
    <row r="19" spans="1:8" ht="15.75" x14ac:dyDescent="0.25">
      <c r="A19" s="19"/>
      <c r="B19" s="131">
        <f>DATE(2023,8,1)</f>
        <v>45139</v>
      </c>
      <c r="C19" s="204">
        <v>2248291</v>
      </c>
      <c r="D19" s="204">
        <v>388628</v>
      </c>
      <c r="E19" s="204">
        <v>695761.5</v>
      </c>
      <c r="F19" s="132">
        <f t="shared" si="2"/>
        <v>-0.44143503197575606</v>
      </c>
      <c r="G19" s="215">
        <f t="shared" si="3"/>
        <v>0.17285484841597462</v>
      </c>
      <c r="H19" s="123"/>
    </row>
    <row r="20" spans="1:8" ht="15.75" x14ac:dyDescent="0.25">
      <c r="A20" s="19"/>
      <c r="B20" s="131">
        <f>DATE(2023,9,1)</f>
        <v>45170</v>
      </c>
      <c r="C20" s="204">
        <v>2515175</v>
      </c>
      <c r="D20" s="204">
        <v>596033.5</v>
      </c>
      <c r="E20" s="204">
        <v>780368</v>
      </c>
      <c r="F20" s="132">
        <f t="shared" si="2"/>
        <v>-0.23621483710249525</v>
      </c>
      <c r="G20" s="215">
        <f t="shared" si="3"/>
        <v>0.23697496198077669</v>
      </c>
      <c r="H20" s="123"/>
    </row>
    <row r="21" spans="1:8" ht="15.75" x14ac:dyDescent="0.25">
      <c r="A21" s="19"/>
      <c r="B21" s="131">
        <f>DATE(2023,10,1)</f>
        <v>45200</v>
      </c>
      <c r="C21" s="204">
        <v>2462749</v>
      </c>
      <c r="D21" s="204">
        <v>457507</v>
      </c>
      <c r="E21" s="204">
        <v>868243</v>
      </c>
      <c r="F21" s="132">
        <f t="shared" si="2"/>
        <v>-0.47306572008066866</v>
      </c>
      <c r="G21" s="215">
        <f t="shared" si="3"/>
        <v>0.18577086012419455</v>
      </c>
      <c r="H21" s="123"/>
    </row>
    <row r="22" spans="1:8" ht="15.75" x14ac:dyDescent="0.25">
      <c r="A22" s="19"/>
      <c r="B22" s="131">
        <f>DATE(2023,11,1)</f>
        <v>45231</v>
      </c>
      <c r="C22" s="204">
        <v>2333327</v>
      </c>
      <c r="D22" s="204">
        <v>573968</v>
      </c>
      <c r="E22" s="204">
        <v>714136.5</v>
      </c>
      <c r="F22" s="132">
        <f t="shared" si="2"/>
        <v>-0.19627690224487895</v>
      </c>
      <c r="G22" s="215">
        <f t="shared" si="3"/>
        <v>0.24598695339315921</v>
      </c>
      <c r="H22" s="123"/>
    </row>
    <row r="23" spans="1:8" ht="15.75" x14ac:dyDescent="0.25">
      <c r="A23" s="19"/>
      <c r="B23" s="131">
        <f>DATE(2023,12,1)</f>
        <v>45261</v>
      </c>
      <c r="C23" s="204">
        <v>2421990</v>
      </c>
      <c r="D23" s="204">
        <v>676389.5</v>
      </c>
      <c r="E23" s="204">
        <v>736054</v>
      </c>
      <c r="F23" s="132">
        <f t="shared" si="2"/>
        <v>-8.1059949405885984E-2</v>
      </c>
      <c r="G23" s="215">
        <f t="shared" si="3"/>
        <v>0.27927014562405295</v>
      </c>
      <c r="H23" s="123"/>
    </row>
    <row r="24" spans="1:8" ht="15.75" thickBot="1" x14ac:dyDescent="0.25">
      <c r="A24" s="133"/>
      <c r="B24" s="131"/>
      <c r="C24" s="204"/>
      <c r="D24" s="204"/>
      <c r="E24" s="204"/>
      <c r="F24" s="132"/>
      <c r="G24" s="215"/>
      <c r="H24" s="123"/>
    </row>
    <row r="25" spans="1:8" ht="17.25" thickTop="1" thickBot="1" x14ac:dyDescent="0.3">
      <c r="A25" s="135" t="s">
        <v>14</v>
      </c>
      <c r="B25" s="136"/>
      <c r="C25" s="201">
        <f>SUM(C18:C24)</f>
        <v>14453469</v>
      </c>
      <c r="D25" s="201">
        <f>SUM(D18:D24)</f>
        <v>3307254</v>
      </c>
      <c r="E25" s="201">
        <f>SUM(E18:E24)</f>
        <v>4432402.5</v>
      </c>
      <c r="F25" s="137">
        <f>(+D25-E25)/E25</f>
        <v>-0.25384619289425991</v>
      </c>
      <c r="G25" s="212">
        <f>D25/C25</f>
        <v>0.2288207765208477</v>
      </c>
      <c r="H25" s="123"/>
    </row>
    <row r="26" spans="1:8" ht="15.75" customHeight="1" thickTop="1" x14ac:dyDescent="0.25">
      <c r="A26" s="255"/>
      <c r="B26" s="139"/>
      <c r="C26" s="205"/>
      <c r="D26" s="205"/>
      <c r="E26" s="205"/>
      <c r="F26" s="140"/>
      <c r="G26" s="219"/>
      <c r="H26" s="123"/>
    </row>
    <row r="27" spans="1:8" ht="15.75" x14ac:dyDescent="0.25">
      <c r="A27" s="19" t="s">
        <v>62</v>
      </c>
      <c r="B27" s="131">
        <f>DATE(2023,7,1)</f>
        <v>45108</v>
      </c>
      <c r="C27" s="204">
        <v>1300276</v>
      </c>
      <c r="D27" s="204">
        <v>166322.5</v>
      </c>
      <c r="E27" s="204">
        <v>249087.5</v>
      </c>
      <c r="F27" s="132">
        <f t="shared" ref="F27:F32" si="4">(+D27-E27)/E27</f>
        <v>-0.33227279570432078</v>
      </c>
      <c r="G27" s="215">
        <f t="shared" ref="G27:G32" si="5">D27/C27</f>
        <v>0.12791322765320592</v>
      </c>
      <c r="H27" s="123"/>
    </row>
    <row r="28" spans="1:8" ht="15.75" x14ac:dyDescent="0.25">
      <c r="A28" s="19"/>
      <c r="B28" s="131">
        <f>DATE(2023,8,1)</f>
        <v>45139</v>
      </c>
      <c r="C28" s="204">
        <v>1380793</v>
      </c>
      <c r="D28" s="204">
        <v>264487</v>
      </c>
      <c r="E28" s="204">
        <v>272495.5</v>
      </c>
      <c r="F28" s="132">
        <f t="shared" si="4"/>
        <v>-2.9389476156486988E-2</v>
      </c>
      <c r="G28" s="215">
        <f t="shared" si="5"/>
        <v>0.19154717615167516</v>
      </c>
      <c r="H28" s="123"/>
    </row>
    <row r="29" spans="1:8" ht="15.75" x14ac:dyDescent="0.25">
      <c r="A29" s="19"/>
      <c r="B29" s="131">
        <f>DATE(2023,9,1)</f>
        <v>45170</v>
      </c>
      <c r="C29" s="204">
        <v>1331049</v>
      </c>
      <c r="D29" s="204">
        <v>353812</v>
      </c>
      <c r="E29" s="204">
        <v>310850</v>
      </c>
      <c r="F29" s="132">
        <f t="shared" si="4"/>
        <v>0.13820813897378156</v>
      </c>
      <c r="G29" s="215">
        <f t="shared" si="5"/>
        <v>0.26581440653199095</v>
      </c>
      <c r="H29" s="123"/>
    </row>
    <row r="30" spans="1:8" ht="15.75" x14ac:dyDescent="0.25">
      <c r="A30" s="19"/>
      <c r="B30" s="131">
        <f>DATE(2023,10,1)</f>
        <v>45200</v>
      </c>
      <c r="C30" s="204">
        <v>1247669</v>
      </c>
      <c r="D30" s="204">
        <v>292380</v>
      </c>
      <c r="E30" s="204">
        <v>204149.5</v>
      </c>
      <c r="F30" s="132">
        <f t="shared" si="4"/>
        <v>0.43218572663660698</v>
      </c>
      <c r="G30" s="215">
        <f t="shared" si="5"/>
        <v>0.23434099909511258</v>
      </c>
      <c r="H30" s="123"/>
    </row>
    <row r="31" spans="1:8" ht="15.75" x14ac:dyDescent="0.25">
      <c r="A31" s="19"/>
      <c r="B31" s="131">
        <f>DATE(2023,11,1)</f>
        <v>45231</v>
      </c>
      <c r="C31" s="204">
        <v>1223816</v>
      </c>
      <c r="D31" s="204">
        <v>305629</v>
      </c>
      <c r="E31" s="204">
        <v>292609</v>
      </c>
      <c r="F31" s="132">
        <f t="shared" si="4"/>
        <v>4.4496239008369527E-2</v>
      </c>
      <c r="G31" s="215">
        <f t="shared" si="5"/>
        <v>0.24973443720297822</v>
      </c>
      <c r="H31" s="123"/>
    </row>
    <row r="32" spans="1:8" ht="15.75" x14ac:dyDescent="0.25">
      <c r="A32" s="19"/>
      <c r="B32" s="131">
        <f>DATE(2023,12,1)</f>
        <v>45261</v>
      </c>
      <c r="C32" s="204">
        <v>1442415</v>
      </c>
      <c r="D32" s="204">
        <v>320450.5</v>
      </c>
      <c r="E32" s="204">
        <v>300188</v>
      </c>
      <c r="F32" s="132">
        <f t="shared" si="4"/>
        <v>6.7499367063306989E-2</v>
      </c>
      <c r="G32" s="215">
        <f t="shared" si="5"/>
        <v>0.22216248444449066</v>
      </c>
      <c r="H32" s="123"/>
    </row>
    <row r="33" spans="1:8" ht="15.75" thickBot="1" x14ac:dyDescent="0.25">
      <c r="A33" s="133"/>
      <c r="B33" s="131"/>
      <c r="C33" s="204"/>
      <c r="D33" s="204"/>
      <c r="E33" s="204"/>
      <c r="F33" s="132"/>
      <c r="G33" s="215"/>
      <c r="H33" s="123"/>
    </row>
    <row r="34" spans="1:8" ht="17.25" thickTop="1" thickBot="1" x14ac:dyDescent="0.3">
      <c r="A34" s="141" t="s">
        <v>14</v>
      </c>
      <c r="B34" s="142"/>
      <c r="C34" s="206">
        <f>SUM(C27:C33)</f>
        <v>7926018</v>
      </c>
      <c r="D34" s="206">
        <f>SUM(D27:D33)</f>
        <v>1703081</v>
      </c>
      <c r="E34" s="206">
        <f>SUM(E27:E33)</f>
        <v>1629379.5</v>
      </c>
      <c r="F34" s="143">
        <f>(+D34-E34)/E34</f>
        <v>4.5232863185034548E-2</v>
      </c>
      <c r="G34" s="217">
        <f>D34/C34</f>
        <v>0.21487220947517405</v>
      </c>
      <c r="H34" s="123"/>
    </row>
    <row r="35" spans="1:8" ht="15.75" thickTop="1" x14ac:dyDescent="0.2">
      <c r="A35" s="133"/>
      <c r="B35" s="134"/>
      <c r="C35" s="204"/>
      <c r="D35" s="204"/>
      <c r="E35" s="204"/>
      <c r="F35" s="132"/>
      <c r="G35" s="218"/>
      <c r="H35" s="123"/>
    </row>
    <row r="36" spans="1:8" ht="15.75" x14ac:dyDescent="0.25">
      <c r="A36" s="177" t="s">
        <v>58</v>
      </c>
      <c r="B36" s="131">
        <f>DATE(2023,7,1)</f>
        <v>45108</v>
      </c>
      <c r="C36" s="204">
        <v>17665032</v>
      </c>
      <c r="D36" s="204">
        <v>3803022</v>
      </c>
      <c r="E36" s="204">
        <v>3390213</v>
      </c>
      <c r="F36" s="132">
        <f t="shared" ref="F36:F41" si="6">(+D36-E36)/E36</f>
        <v>0.12176491565574199</v>
      </c>
      <c r="G36" s="215">
        <f t="shared" ref="G36:G41" si="7">D36/C36</f>
        <v>0.21528531621114527</v>
      </c>
      <c r="H36" s="123"/>
    </row>
    <row r="37" spans="1:8" ht="15.75" x14ac:dyDescent="0.25">
      <c r="A37" s="177"/>
      <c r="B37" s="131">
        <f>DATE(2023,8,1)</f>
        <v>45139</v>
      </c>
      <c r="C37" s="204">
        <v>17268495</v>
      </c>
      <c r="D37" s="204">
        <v>2558007.38</v>
      </c>
      <c r="E37" s="204">
        <v>2096973.67</v>
      </c>
      <c r="F37" s="132">
        <f t="shared" si="6"/>
        <v>0.21985669948826778</v>
      </c>
      <c r="G37" s="215">
        <f t="shared" si="7"/>
        <v>0.14813146021121121</v>
      </c>
      <c r="H37" s="123"/>
    </row>
    <row r="38" spans="1:8" ht="15.75" x14ac:dyDescent="0.25">
      <c r="A38" s="177"/>
      <c r="B38" s="131">
        <f>DATE(2023,9,1)</f>
        <v>45170</v>
      </c>
      <c r="C38" s="204">
        <v>15882513</v>
      </c>
      <c r="D38" s="204">
        <v>3090684.15</v>
      </c>
      <c r="E38" s="204">
        <v>3937084.53</v>
      </c>
      <c r="F38" s="132">
        <f t="shared" si="6"/>
        <v>-0.21498151069669819</v>
      </c>
      <c r="G38" s="215">
        <f t="shared" si="7"/>
        <v>0.19459667056466443</v>
      </c>
      <c r="H38" s="123"/>
    </row>
    <row r="39" spans="1:8" ht="15.75" x14ac:dyDescent="0.25">
      <c r="A39" s="177"/>
      <c r="B39" s="131">
        <f>DATE(2023,10,1)</f>
        <v>45200</v>
      </c>
      <c r="C39" s="204">
        <v>14805478</v>
      </c>
      <c r="D39" s="204">
        <v>2879819</v>
      </c>
      <c r="E39" s="204">
        <v>2819327.04</v>
      </c>
      <c r="F39" s="132">
        <f t="shared" si="6"/>
        <v>2.1456169909256063E-2</v>
      </c>
      <c r="G39" s="215">
        <f t="shared" si="7"/>
        <v>0.19451036974287489</v>
      </c>
      <c r="H39" s="123"/>
    </row>
    <row r="40" spans="1:8" ht="15.75" x14ac:dyDescent="0.25">
      <c r="A40" s="177"/>
      <c r="B40" s="131">
        <f>DATE(2023,11,1)</f>
        <v>45231</v>
      </c>
      <c r="C40" s="204">
        <v>14098672</v>
      </c>
      <c r="D40" s="204">
        <v>3291435.87</v>
      </c>
      <c r="E40" s="204">
        <v>2876740.26</v>
      </c>
      <c r="F40" s="132">
        <f t="shared" si="6"/>
        <v>0.1441546933403019</v>
      </c>
      <c r="G40" s="215">
        <f t="shared" si="7"/>
        <v>0.23345715610661771</v>
      </c>
      <c r="H40" s="123"/>
    </row>
    <row r="41" spans="1:8" ht="15.75" x14ac:dyDescent="0.25">
      <c r="A41" s="177"/>
      <c r="B41" s="131">
        <f>DATE(2023,12,1)</f>
        <v>45261</v>
      </c>
      <c r="C41" s="204">
        <v>16834383</v>
      </c>
      <c r="D41" s="204">
        <v>3310603.9</v>
      </c>
      <c r="E41" s="204">
        <v>3108188.89</v>
      </c>
      <c r="F41" s="132">
        <f t="shared" si="6"/>
        <v>6.5123136708721635E-2</v>
      </c>
      <c r="G41" s="215">
        <f t="shared" si="7"/>
        <v>0.19665727576710118</v>
      </c>
      <c r="H41" s="123"/>
    </row>
    <row r="42" spans="1:8" ht="15.75" customHeight="1" thickBot="1" x14ac:dyDescent="0.25">
      <c r="A42" s="133"/>
      <c r="B42" s="134"/>
      <c r="C42" s="204"/>
      <c r="D42" s="204"/>
      <c r="E42" s="204"/>
      <c r="F42" s="132"/>
      <c r="G42" s="215"/>
      <c r="H42" s="123"/>
    </row>
    <row r="43" spans="1:8" ht="17.25" customHeight="1" thickTop="1" thickBot="1" x14ac:dyDescent="0.3">
      <c r="A43" s="141" t="s">
        <v>14</v>
      </c>
      <c r="B43" s="142"/>
      <c r="C43" s="206">
        <f>SUM(C36:C42)</f>
        <v>96554573</v>
      </c>
      <c r="D43" s="206">
        <f>SUM(D36:D42)</f>
        <v>18933572.299999997</v>
      </c>
      <c r="E43" s="206">
        <f>SUM(E36:E42)</f>
        <v>18228527.389999997</v>
      </c>
      <c r="F43" s="143">
        <f>(+D43-E43)/E43</f>
        <v>3.8678105746862541E-2</v>
      </c>
      <c r="G43" s="217">
        <f>D43/C43</f>
        <v>0.19609192720473215</v>
      </c>
      <c r="H43" s="123"/>
    </row>
    <row r="44" spans="1:8" ht="15.75" customHeight="1" thickTop="1" x14ac:dyDescent="0.2">
      <c r="A44" s="133"/>
      <c r="B44" s="134"/>
      <c r="C44" s="204"/>
      <c r="D44" s="204"/>
      <c r="E44" s="204"/>
      <c r="F44" s="132"/>
      <c r="G44" s="218"/>
      <c r="H44" s="123"/>
    </row>
    <row r="45" spans="1:8" ht="15" customHeight="1" x14ac:dyDescent="0.25">
      <c r="A45" s="130" t="s">
        <v>60</v>
      </c>
      <c r="B45" s="131">
        <f>DATE(2023,7,1)</f>
        <v>45108</v>
      </c>
      <c r="C45" s="204">
        <v>12723732</v>
      </c>
      <c r="D45" s="204">
        <v>3308388.5</v>
      </c>
      <c r="E45" s="204">
        <v>3195567.5</v>
      </c>
      <c r="F45" s="132">
        <f t="shared" ref="F45:F50" si="8">(+D45-E45)/E45</f>
        <v>3.5305466087009588E-2</v>
      </c>
      <c r="G45" s="215">
        <f t="shared" ref="G45:G50" si="9">D45/C45</f>
        <v>0.26001714748471594</v>
      </c>
      <c r="H45" s="123"/>
    </row>
    <row r="46" spans="1:8" ht="15" customHeight="1" x14ac:dyDescent="0.25">
      <c r="A46" s="130"/>
      <c r="B46" s="131">
        <f>DATE(2023,8,1)</f>
        <v>45139</v>
      </c>
      <c r="C46" s="204">
        <v>11628258</v>
      </c>
      <c r="D46" s="204">
        <v>3099426.5</v>
      </c>
      <c r="E46" s="204">
        <v>3909171</v>
      </c>
      <c r="F46" s="132">
        <f t="shared" si="8"/>
        <v>-0.20713969790525918</v>
      </c>
      <c r="G46" s="215">
        <f t="shared" si="9"/>
        <v>0.26654263261100675</v>
      </c>
      <c r="H46" s="123"/>
    </row>
    <row r="47" spans="1:8" ht="15" customHeight="1" x14ac:dyDescent="0.25">
      <c r="A47" s="130"/>
      <c r="B47" s="131">
        <f>DATE(2023,9,1)</f>
        <v>45170</v>
      </c>
      <c r="C47" s="204">
        <v>11873656</v>
      </c>
      <c r="D47" s="204">
        <v>3032057</v>
      </c>
      <c r="E47" s="204">
        <v>3778062.5</v>
      </c>
      <c r="F47" s="132">
        <f t="shared" si="8"/>
        <v>-0.19745716223593443</v>
      </c>
      <c r="G47" s="215">
        <f t="shared" si="9"/>
        <v>0.25536001716741669</v>
      </c>
      <c r="H47" s="123"/>
    </row>
    <row r="48" spans="1:8" ht="15" customHeight="1" x14ac:dyDescent="0.25">
      <c r="A48" s="130"/>
      <c r="B48" s="131">
        <f>DATE(2023,10,1)</f>
        <v>45200</v>
      </c>
      <c r="C48" s="204">
        <v>12435915</v>
      </c>
      <c r="D48" s="204">
        <v>2838722.5</v>
      </c>
      <c r="E48" s="204">
        <v>1234436</v>
      </c>
      <c r="F48" s="132">
        <f t="shared" si="8"/>
        <v>1.2996109154302045</v>
      </c>
      <c r="G48" s="215">
        <f t="shared" si="9"/>
        <v>0.22826808481724103</v>
      </c>
      <c r="H48" s="123"/>
    </row>
    <row r="49" spans="1:8" ht="15" customHeight="1" x14ac:dyDescent="0.25">
      <c r="A49" s="130"/>
      <c r="B49" s="131">
        <f>DATE(2023,11,1)</f>
        <v>45231</v>
      </c>
      <c r="C49" s="204">
        <v>12500603</v>
      </c>
      <c r="D49" s="204">
        <v>2777794</v>
      </c>
      <c r="E49" s="204">
        <v>3487549</v>
      </c>
      <c r="F49" s="132">
        <f t="shared" si="8"/>
        <v>-0.2035111191269284</v>
      </c>
      <c r="G49" s="215">
        <f t="shared" si="9"/>
        <v>0.22221280045450609</v>
      </c>
      <c r="H49" s="123"/>
    </row>
    <row r="50" spans="1:8" ht="15" customHeight="1" x14ac:dyDescent="0.25">
      <c r="A50" s="130"/>
      <c r="B50" s="131">
        <f>DATE(2023,12,1)</f>
        <v>45261</v>
      </c>
      <c r="C50" s="204">
        <v>13701598</v>
      </c>
      <c r="D50" s="204">
        <v>3754286.5</v>
      </c>
      <c r="E50" s="204">
        <v>3689598</v>
      </c>
      <c r="F50" s="132">
        <f t="shared" si="8"/>
        <v>1.7532668870700818E-2</v>
      </c>
      <c r="G50" s="215">
        <f t="shared" si="9"/>
        <v>0.27400355053476244</v>
      </c>
      <c r="H50" s="123"/>
    </row>
    <row r="51" spans="1:8" ht="15.75" thickBot="1" x14ac:dyDescent="0.25">
      <c r="A51" s="133"/>
      <c r="B51" s="131"/>
      <c r="C51" s="204"/>
      <c r="D51" s="204"/>
      <c r="E51" s="204"/>
      <c r="F51" s="132"/>
      <c r="G51" s="215"/>
      <c r="H51" s="123"/>
    </row>
    <row r="52" spans="1:8" ht="17.25" customHeight="1" thickTop="1" thickBot="1" x14ac:dyDescent="0.3">
      <c r="A52" s="141" t="s">
        <v>14</v>
      </c>
      <c r="B52" s="142"/>
      <c r="C52" s="207">
        <f>SUM(C45:C51)</f>
        <v>74863762</v>
      </c>
      <c r="D52" s="261">
        <f>SUM(D45:D51)</f>
        <v>18810675</v>
      </c>
      <c r="E52" s="206">
        <f>SUM(E45:E51)</f>
        <v>19294384</v>
      </c>
      <c r="F52" s="268">
        <f>(+D52-E52)/E52</f>
        <v>-2.5069937449156188E-2</v>
      </c>
      <c r="G52" s="267">
        <f>D52/C52</f>
        <v>0.25126542532019697</v>
      </c>
      <c r="H52" s="123"/>
    </row>
    <row r="53" spans="1:8" ht="15.75" customHeight="1" thickTop="1" x14ac:dyDescent="0.25">
      <c r="A53" s="130"/>
      <c r="B53" s="134"/>
      <c r="C53" s="204"/>
      <c r="D53" s="204"/>
      <c r="E53" s="204"/>
      <c r="F53" s="132"/>
      <c r="G53" s="218"/>
      <c r="H53" s="123"/>
    </row>
    <row r="54" spans="1:8" ht="15.75" x14ac:dyDescent="0.25">
      <c r="A54" s="130" t="s">
        <v>64</v>
      </c>
      <c r="B54" s="131">
        <f>DATE(2023,7,1)</f>
        <v>45108</v>
      </c>
      <c r="C54" s="204">
        <v>3361117</v>
      </c>
      <c r="D54" s="204">
        <v>707897</v>
      </c>
      <c r="E54" s="204">
        <v>700930</v>
      </c>
      <c r="F54" s="132">
        <f t="shared" ref="F54:F59" si="10">(+D54-E54)/E54</f>
        <v>9.9396516057238243E-3</v>
      </c>
      <c r="G54" s="215">
        <f t="shared" ref="G54:G59" si="11">D54/C54</f>
        <v>0.21061361446209698</v>
      </c>
      <c r="H54" s="123"/>
    </row>
    <row r="55" spans="1:8" ht="15.75" x14ac:dyDescent="0.25">
      <c r="A55" s="130"/>
      <c r="B55" s="131">
        <f>DATE(2023,8,1)</f>
        <v>45139</v>
      </c>
      <c r="C55" s="204">
        <v>2951366</v>
      </c>
      <c r="D55" s="204">
        <v>871889</v>
      </c>
      <c r="E55" s="204">
        <v>630145.5</v>
      </c>
      <c r="F55" s="132">
        <f t="shared" si="10"/>
        <v>0.38363124072138893</v>
      </c>
      <c r="G55" s="215">
        <f t="shared" si="11"/>
        <v>0.29541879929497056</v>
      </c>
      <c r="H55" s="123"/>
    </row>
    <row r="56" spans="1:8" ht="15.75" x14ac:dyDescent="0.25">
      <c r="A56" s="130"/>
      <c r="B56" s="131">
        <f>DATE(2023,9,1)</f>
        <v>45170</v>
      </c>
      <c r="C56" s="204">
        <v>2512048</v>
      </c>
      <c r="D56" s="204">
        <v>529240.5</v>
      </c>
      <c r="E56" s="204">
        <v>538940</v>
      </c>
      <c r="F56" s="132">
        <f t="shared" si="10"/>
        <v>-1.7997365198352322E-2</v>
      </c>
      <c r="G56" s="215">
        <f t="shared" si="11"/>
        <v>0.21068088667095533</v>
      </c>
      <c r="H56" s="123"/>
    </row>
    <row r="57" spans="1:8" ht="15.75" x14ac:dyDescent="0.25">
      <c r="A57" s="130"/>
      <c r="B57" s="131">
        <f>DATE(2023,10,1)</f>
        <v>45200</v>
      </c>
      <c r="C57" s="204">
        <v>2477871</v>
      </c>
      <c r="D57" s="204">
        <v>555726</v>
      </c>
      <c r="E57" s="204">
        <v>664586</v>
      </c>
      <c r="F57" s="132">
        <f t="shared" si="10"/>
        <v>-0.16380122361891464</v>
      </c>
      <c r="G57" s="215">
        <f t="shared" si="11"/>
        <v>0.22427559788221421</v>
      </c>
      <c r="H57" s="123"/>
    </row>
    <row r="58" spans="1:8" ht="15.75" x14ac:dyDescent="0.25">
      <c r="A58" s="130"/>
      <c r="B58" s="131">
        <f>DATE(2023,11,1)</f>
        <v>45231</v>
      </c>
      <c r="C58" s="204">
        <v>2620270</v>
      </c>
      <c r="D58" s="204">
        <v>618313.5</v>
      </c>
      <c r="E58" s="204">
        <v>644592.5</v>
      </c>
      <c r="F58" s="132">
        <f t="shared" si="10"/>
        <v>-4.076839243397961E-2</v>
      </c>
      <c r="G58" s="215">
        <f t="shared" si="11"/>
        <v>0.23597320123498725</v>
      </c>
      <c r="H58" s="123"/>
    </row>
    <row r="59" spans="1:8" ht="15.75" x14ac:dyDescent="0.25">
      <c r="A59" s="130"/>
      <c r="B59" s="131">
        <f>DATE(2023,12,1)</f>
        <v>45261</v>
      </c>
      <c r="C59" s="204">
        <v>3237541</v>
      </c>
      <c r="D59" s="204">
        <v>684848</v>
      </c>
      <c r="E59" s="204">
        <v>621789.5</v>
      </c>
      <c r="F59" s="132">
        <f t="shared" si="10"/>
        <v>0.10141454624113144</v>
      </c>
      <c r="G59" s="215">
        <f t="shared" si="11"/>
        <v>0.21153338289769921</v>
      </c>
      <c r="H59" s="123"/>
    </row>
    <row r="60" spans="1:8" ht="15.75" customHeight="1" thickBot="1" x14ac:dyDescent="0.3">
      <c r="A60" s="130"/>
      <c r="B60" s="131"/>
      <c r="C60" s="204"/>
      <c r="D60" s="204"/>
      <c r="E60" s="204"/>
      <c r="F60" s="132"/>
      <c r="G60" s="215"/>
      <c r="H60" s="123"/>
    </row>
    <row r="61" spans="1:8" ht="17.25" thickTop="1" thickBot="1" x14ac:dyDescent="0.3">
      <c r="A61" s="141" t="s">
        <v>14</v>
      </c>
      <c r="B61" s="142"/>
      <c r="C61" s="207">
        <f>SUM(C54:C60)</f>
        <v>17160213</v>
      </c>
      <c r="D61" s="261">
        <f>SUM(D54:D60)</f>
        <v>3967914</v>
      </c>
      <c r="E61" s="207">
        <f>SUM(E54:E60)</f>
        <v>3800983.5</v>
      </c>
      <c r="F61" s="268">
        <f>(+D61-E61)/E61</f>
        <v>4.3917712349974686E-2</v>
      </c>
      <c r="G61" s="267">
        <f>D61/C61</f>
        <v>0.23122754944824986</v>
      </c>
      <c r="H61" s="123"/>
    </row>
    <row r="62" spans="1:8" ht="15.75" customHeight="1" thickTop="1" x14ac:dyDescent="0.25">
      <c r="A62" s="130"/>
      <c r="B62" s="134"/>
      <c r="C62" s="204"/>
      <c r="D62" s="204"/>
      <c r="E62" s="204"/>
      <c r="F62" s="132"/>
      <c r="G62" s="218"/>
      <c r="H62" s="123"/>
    </row>
    <row r="63" spans="1:8" ht="15.75" x14ac:dyDescent="0.25">
      <c r="A63" s="130" t="s">
        <v>67</v>
      </c>
      <c r="B63" s="131">
        <f>DATE(2023,7,1)</f>
        <v>45108</v>
      </c>
      <c r="C63" s="204">
        <v>8239268</v>
      </c>
      <c r="D63" s="204">
        <v>826564</v>
      </c>
      <c r="E63" s="204">
        <v>951854</v>
      </c>
      <c r="F63" s="132">
        <f t="shared" ref="F63:F68" si="12">(+D63-E63)/E63</f>
        <v>-0.13162732940135777</v>
      </c>
      <c r="G63" s="215">
        <f t="shared" ref="G63:G68" si="13">D63/C63</f>
        <v>0.1003200769777121</v>
      </c>
      <c r="H63" s="123"/>
    </row>
    <row r="64" spans="1:8" ht="15.75" x14ac:dyDescent="0.25">
      <c r="A64" s="130"/>
      <c r="B64" s="131">
        <f>DATE(2023,8,1)</f>
        <v>45139</v>
      </c>
      <c r="C64" s="204">
        <v>7087572</v>
      </c>
      <c r="D64" s="204">
        <v>916100.5</v>
      </c>
      <c r="E64" s="204">
        <v>1029739</v>
      </c>
      <c r="F64" s="132">
        <f t="shared" si="12"/>
        <v>-0.11035660492610264</v>
      </c>
      <c r="G64" s="215">
        <f t="shared" si="13"/>
        <v>0.1292544894076561</v>
      </c>
      <c r="H64" s="123"/>
    </row>
    <row r="65" spans="1:8" ht="15.75" x14ac:dyDescent="0.25">
      <c r="A65" s="130"/>
      <c r="B65" s="131">
        <f>DATE(2023,9,1)</f>
        <v>45170</v>
      </c>
      <c r="C65" s="204">
        <v>7246519</v>
      </c>
      <c r="D65" s="204">
        <v>1270544.5</v>
      </c>
      <c r="E65" s="204">
        <v>389281</v>
      </c>
      <c r="F65" s="132">
        <f t="shared" si="12"/>
        <v>2.2638235619000158</v>
      </c>
      <c r="G65" s="215">
        <f t="shared" si="13"/>
        <v>0.17533170064137002</v>
      </c>
      <c r="H65" s="123"/>
    </row>
    <row r="66" spans="1:8" ht="15.75" x14ac:dyDescent="0.25">
      <c r="A66" s="130"/>
      <c r="B66" s="131">
        <f>DATE(2023,10,1)</f>
        <v>45200</v>
      </c>
      <c r="C66" s="204">
        <v>7936605</v>
      </c>
      <c r="D66" s="204">
        <v>1093341.5</v>
      </c>
      <c r="E66" s="204">
        <v>1134882.5</v>
      </c>
      <c r="F66" s="132">
        <f t="shared" si="12"/>
        <v>-3.6603789379076691E-2</v>
      </c>
      <c r="G66" s="215">
        <f t="shared" si="13"/>
        <v>0.13775934420322039</v>
      </c>
      <c r="H66" s="123"/>
    </row>
    <row r="67" spans="1:8" ht="15.75" x14ac:dyDescent="0.25">
      <c r="A67" s="130"/>
      <c r="B67" s="131">
        <f>DATE(2023,11,1)</f>
        <v>45231</v>
      </c>
      <c r="C67" s="204">
        <v>7753074</v>
      </c>
      <c r="D67" s="204">
        <v>1066773</v>
      </c>
      <c r="E67" s="204">
        <v>1197761</v>
      </c>
      <c r="F67" s="132">
        <f t="shared" si="12"/>
        <v>-0.10936071553506918</v>
      </c>
      <c r="G67" s="215">
        <f t="shared" si="13"/>
        <v>0.13759355321515054</v>
      </c>
      <c r="H67" s="123"/>
    </row>
    <row r="68" spans="1:8" ht="15.75" x14ac:dyDescent="0.25">
      <c r="A68" s="130"/>
      <c r="B68" s="131">
        <f>DATE(2023,12,1)</f>
        <v>45261</v>
      </c>
      <c r="C68" s="204">
        <v>7263263</v>
      </c>
      <c r="D68" s="204">
        <v>1133563</v>
      </c>
      <c r="E68" s="204">
        <v>867843</v>
      </c>
      <c r="F68" s="132">
        <f t="shared" si="12"/>
        <v>0.30618441354023712</v>
      </c>
      <c r="G68" s="215">
        <f t="shared" si="13"/>
        <v>0.15606800965351247</v>
      </c>
      <c r="H68" s="123"/>
    </row>
    <row r="69" spans="1:8" ht="15.75" customHeight="1" thickBot="1" x14ac:dyDescent="0.3">
      <c r="A69" s="130"/>
      <c r="B69" s="131"/>
      <c r="C69" s="204"/>
      <c r="D69" s="204"/>
      <c r="E69" s="204"/>
      <c r="F69" s="132"/>
      <c r="G69" s="215"/>
      <c r="H69" s="123"/>
    </row>
    <row r="70" spans="1:8" ht="17.25" thickTop="1" thickBot="1" x14ac:dyDescent="0.3">
      <c r="A70" s="141" t="s">
        <v>14</v>
      </c>
      <c r="B70" s="142"/>
      <c r="C70" s="207">
        <f>SUM(C63:C69)</f>
        <v>45526301</v>
      </c>
      <c r="D70" s="261">
        <f>SUM(D63:D69)</f>
        <v>6306886.5</v>
      </c>
      <c r="E70" s="207">
        <f>SUM(E63:E69)</f>
        <v>5571360.5</v>
      </c>
      <c r="F70" s="269">
        <f>(+D70-E70)/E70</f>
        <v>0.13201910018208299</v>
      </c>
      <c r="G70" s="267">
        <f>D70/C70</f>
        <v>0.13853281205516785</v>
      </c>
      <c r="H70" s="123"/>
    </row>
    <row r="71" spans="1:8" ht="15.75" customHeight="1" thickTop="1" x14ac:dyDescent="0.25">
      <c r="A71" s="130"/>
      <c r="B71" s="139"/>
      <c r="C71" s="205"/>
      <c r="D71" s="205"/>
      <c r="E71" s="205"/>
      <c r="F71" s="140"/>
      <c r="G71" s="216"/>
      <c r="H71" s="123"/>
    </row>
    <row r="72" spans="1:8" ht="15.75" x14ac:dyDescent="0.25">
      <c r="A72" s="130" t="s">
        <v>69</v>
      </c>
      <c r="B72" s="131">
        <f>DATE(2023,7,1)</f>
        <v>45108</v>
      </c>
      <c r="C72" s="204">
        <v>6583612</v>
      </c>
      <c r="D72" s="204">
        <v>1705016.95</v>
      </c>
      <c r="E72" s="204">
        <v>1405783</v>
      </c>
      <c r="F72" s="132">
        <f t="shared" ref="F72:F77" si="14">(+D72-E72)/E72</f>
        <v>0.21285927486674683</v>
      </c>
      <c r="G72" s="215">
        <f t="shared" ref="G72:G77" si="15">D72/C72</f>
        <v>0.25897895410604393</v>
      </c>
      <c r="H72" s="123"/>
    </row>
    <row r="73" spans="1:8" ht="15.75" x14ac:dyDescent="0.25">
      <c r="A73" s="130"/>
      <c r="B73" s="131">
        <f>DATE(2023,8,1)</f>
        <v>45139</v>
      </c>
      <c r="C73" s="204">
        <v>6682064</v>
      </c>
      <c r="D73" s="204">
        <v>1401382.35</v>
      </c>
      <c r="E73" s="204">
        <v>1387184.42</v>
      </c>
      <c r="F73" s="132">
        <f t="shared" si="14"/>
        <v>1.0235070258358415E-2</v>
      </c>
      <c r="G73" s="215">
        <f t="shared" si="15"/>
        <v>0.20972297631390541</v>
      </c>
      <c r="H73" s="123"/>
    </row>
    <row r="74" spans="1:8" ht="15.75" x14ac:dyDescent="0.25">
      <c r="A74" s="130"/>
      <c r="B74" s="131">
        <f>DATE(2023,9,1)</f>
        <v>45170</v>
      </c>
      <c r="C74" s="204">
        <v>6212275</v>
      </c>
      <c r="D74" s="204">
        <v>1626153.96</v>
      </c>
      <c r="E74" s="204">
        <v>1318470</v>
      </c>
      <c r="F74" s="132">
        <f t="shared" si="14"/>
        <v>0.2333643996450431</v>
      </c>
      <c r="G74" s="215">
        <f t="shared" si="15"/>
        <v>0.26176464499720309</v>
      </c>
      <c r="H74" s="123"/>
    </row>
    <row r="75" spans="1:8" ht="15.75" x14ac:dyDescent="0.25">
      <c r="A75" s="130"/>
      <c r="B75" s="131">
        <f>DATE(2023,10,1)</f>
        <v>45200</v>
      </c>
      <c r="C75" s="204">
        <v>5515298</v>
      </c>
      <c r="D75" s="204">
        <v>1039539</v>
      </c>
      <c r="E75" s="204">
        <v>1379988.01</v>
      </c>
      <c r="F75" s="132">
        <f t="shared" si="14"/>
        <v>-0.24670432462670455</v>
      </c>
      <c r="G75" s="215">
        <f t="shared" si="15"/>
        <v>0.18848283447240746</v>
      </c>
      <c r="H75" s="123"/>
    </row>
    <row r="76" spans="1:8" ht="15.75" x14ac:dyDescent="0.25">
      <c r="A76" s="130"/>
      <c r="B76" s="131">
        <f>DATE(2023,11,1)</f>
        <v>45231</v>
      </c>
      <c r="C76" s="204">
        <v>5590365</v>
      </c>
      <c r="D76" s="204">
        <v>1359520</v>
      </c>
      <c r="E76" s="204">
        <v>1234881.42</v>
      </c>
      <c r="F76" s="132">
        <f t="shared" si="14"/>
        <v>0.10093161819537302</v>
      </c>
      <c r="G76" s="215">
        <f t="shared" si="15"/>
        <v>0.24318984538576641</v>
      </c>
      <c r="H76" s="123"/>
    </row>
    <row r="77" spans="1:8" ht="15.75" x14ac:dyDescent="0.25">
      <c r="A77" s="130"/>
      <c r="B77" s="131">
        <f>DATE(2023,12,1)</f>
        <v>45261</v>
      </c>
      <c r="C77" s="204">
        <v>6722180</v>
      </c>
      <c r="D77" s="204">
        <v>1397248.95</v>
      </c>
      <c r="E77" s="204">
        <v>1290058.78</v>
      </c>
      <c r="F77" s="132">
        <f t="shared" si="14"/>
        <v>8.3089368997589341E-2</v>
      </c>
      <c r="G77" s="215">
        <f t="shared" si="15"/>
        <v>0.20785652124757145</v>
      </c>
      <c r="H77" s="123"/>
    </row>
    <row r="78" spans="1:8" ht="15.75" customHeight="1" thickBot="1" x14ac:dyDescent="0.3">
      <c r="A78" s="130"/>
      <c r="B78" s="131"/>
      <c r="C78" s="204"/>
      <c r="D78" s="204"/>
      <c r="E78" s="204"/>
      <c r="F78" s="132"/>
      <c r="G78" s="215"/>
      <c r="H78" s="123"/>
    </row>
    <row r="79" spans="1:8" ht="17.25" thickTop="1" thickBot="1" x14ac:dyDescent="0.3">
      <c r="A79" s="141" t="s">
        <v>14</v>
      </c>
      <c r="B79" s="142"/>
      <c r="C79" s="206">
        <f>SUM(C72:C78)</f>
        <v>37305794</v>
      </c>
      <c r="D79" s="206">
        <f>SUM(D72:D78)</f>
        <v>8528861.209999999</v>
      </c>
      <c r="E79" s="206">
        <f>SUM(E72:E78)</f>
        <v>8016365.6299999999</v>
      </c>
      <c r="F79" s="143">
        <f>(+D79-E79)/E79</f>
        <v>6.3931163279537087E-2</v>
      </c>
      <c r="G79" s="217">
        <f>D79/C79</f>
        <v>0.22862028375538659</v>
      </c>
      <c r="H79" s="123"/>
    </row>
    <row r="80" spans="1:8" ht="15.75" customHeight="1" thickTop="1" x14ac:dyDescent="0.25">
      <c r="A80" s="138"/>
      <c r="B80" s="139"/>
      <c r="C80" s="205"/>
      <c r="D80" s="205"/>
      <c r="E80" s="205"/>
      <c r="F80" s="140"/>
      <c r="G80" s="216"/>
      <c r="H80" s="123"/>
    </row>
    <row r="81" spans="1:8" ht="15.75" x14ac:dyDescent="0.25">
      <c r="A81" s="130" t="s">
        <v>16</v>
      </c>
      <c r="B81" s="131">
        <f>DATE(2023,7,1)</f>
        <v>45108</v>
      </c>
      <c r="C81" s="204">
        <v>10870339</v>
      </c>
      <c r="D81" s="204">
        <v>2105009.5</v>
      </c>
      <c r="E81" s="204">
        <v>2289729.5</v>
      </c>
      <c r="F81" s="132">
        <f t="shared" ref="F81:F86" si="16">(+D81-E81)/E81</f>
        <v>-8.0673284770100578E-2</v>
      </c>
      <c r="G81" s="215">
        <f t="shared" ref="G81:G86" si="17">D81/C81</f>
        <v>0.1936470886510531</v>
      </c>
      <c r="H81" s="123"/>
    </row>
    <row r="82" spans="1:8" ht="15.75" x14ac:dyDescent="0.25">
      <c r="A82" s="130"/>
      <c r="B82" s="131">
        <f>DATE(2023,8,1)</f>
        <v>45139</v>
      </c>
      <c r="C82" s="204">
        <v>10577694.15</v>
      </c>
      <c r="D82" s="204">
        <v>1767561.15</v>
      </c>
      <c r="E82" s="204">
        <v>2099615</v>
      </c>
      <c r="F82" s="132">
        <f t="shared" si="16"/>
        <v>-0.15814987509614861</v>
      </c>
      <c r="G82" s="215">
        <f t="shared" si="17"/>
        <v>0.16710269033445252</v>
      </c>
      <c r="H82" s="123"/>
    </row>
    <row r="83" spans="1:8" ht="15.75" x14ac:dyDescent="0.25">
      <c r="A83" s="130"/>
      <c r="B83" s="131">
        <f>DATE(2023,9,1)</f>
        <v>45170</v>
      </c>
      <c r="C83" s="204">
        <v>11010233</v>
      </c>
      <c r="D83" s="204">
        <v>2123175</v>
      </c>
      <c r="E83" s="204">
        <v>1892853.5</v>
      </c>
      <c r="F83" s="132">
        <f t="shared" si="16"/>
        <v>0.12167951719454252</v>
      </c>
      <c r="G83" s="215">
        <f t="shared" si="17"/>
        <v>0.19283651853689199</v>
      </c>
      <c r="H83" s="123"/>
    </row>
    <row r="84" spans="1:8" ht="15.75" x14ac:dyDescent="0.25">
      <c r="A84" s="130"/>
      <c r="B84" s="131">
        <f>DATE(2023,10,1)</f>
        <v>45200</v>
      </c>
      <c r="C84" s="204">
        <v>10359340</v>
      </c>
      <c r="D84" s="204">
        <v>1980886.5</v>
      </c>
      <c r="E84" s="204">
        <v>1720920</v>
      </c>
      <c r="F84" s="132">
        <f t="shared" si="16"/>
        <v>0.15106251307440208</v>
      </c>
      <c r="G84" s="215">
        <f t="shared" si="17"/>
        <v>0.19121744242393821</v>
      </c>
      <c r="H84" s="123"/>
    </row>
    <row r="85" spans="1:8" ht="15.75" x14ac:dyDescent="0.25">
      <c r="A85" s="130"/>
      <c r="B85" s="131">
        <f>DATE(2023,11,1)</f>
        <v>45231</v>
      </c>
      <c r="C85" s="204">
        <v>10158371</v>
      </c>
      <c r="D85" s="204">
        <v>1968225</v>
      </c>
      <c r="E85" s="204">
        <v>1878662</v>
      </c>
      <c r="F85" s="132">
        <f t="shared" si="16"/>
        <v>4.7673823178411019E-2</v>
      </c>
      <c r="G85" s="215">
        <f t="shared" si="17"/>
        <v>0.19375399854957059</v>
      </c>
      <c r="H85" s="123"/>
    </row>
    <row r="86" spans="1:8" ht="15.75" x14ac:dyDescent="0.25">
      <c r="A86" s="130"/>
      <c r="B86" s="131">
        <f>DATE(2023,12,1)</f>
        <v>45261</v>
      </c>
      <c r="C86" s="204">
        <v>11753235</v>
      </c>
      <c r="D86" s="204">
        <v>2810336.5</v>
      </c>
      <c r="E86" s="204">
        <v>2169033.7999999998</v>
      </c>
      <c r="F86" s="132">
        <f t="shared" si="16"/>
        <v>0.29566284305943052</v>
      </c>
      <c r="G86" s="215">
        <f t="shared" si="17"/>
        <v>0.23911174242665956</v>
      </c>
      <c r="H86" s="123"/>
    </row>
    <row r="87" spans="1:8" ht="15.75" customHeight="1" thickBot="1" x14ac:dyDescent="0.3">
      <c r="A87" s="130"/>
      <c r="B87" s="131"/>
      <c r="C87" s="204"/>
      <c r="D87" s="204"/>
      <c r="E87" s="204"/>
      <c r="F87" s="132"/>
      <c r="G87" s="215"/>
      <c r="H87" s="123"/>
    </row>
    <row r="88" spans="1:8" ht="17.25" thickTop="1" thickBot="1" x14ac:dyDescent="0.3">
      <c r="A88" s="141" t="s">
        <v>14</v>
      </c>
      <c r="B88" s="142"/>
      <c r="C88" s="206">
        <f>SUM(C81:C87)</f>
        <v>64729212.149999999</v>
      </c>
      <c r="D88" s="206">
        <f>SUM(D81:D87)</f>
        <v>12755193.65</v>
      </c>
      <c r="E88" s="206">
        <f>SUM(E81:E87)</f>
        <v>12050813.800000001</v>
      </c>
      <c r="F88" s="143">
        <f>(+D88-E88)/E88</f>
        <v>5.8450811844756874E-2</v>
      </c>
      <c r="G88" s="217">
        <f>D88/C88</f>
        <v>0.19705467170590305</v>
      </c>
      <c r="H88" s="123"/>
    </row>
    <row r="89" spans="1:8" ht="15.75" customHeight="1" thickTop="1" x14ac:dyDescent="0.25">
      <c r="A89" s="138"/>
      <c r="B89" s="139"/>
      <c r="C89" s="205"/>
      <c r="D89" s="205"/>
      <c r="E89" s="205"/>
      <c r="F89" s="140"/>
      <c r="G89" s="216"/>
      <c r="H89" s="123"/>
    </row>
    <row r="90" spans="1:8" ht="15.75" x14ac:dyDescent="0.25">
      <c r="A90" s="130" t="s">
        <v>53</v>
      </c>
      <c r="B90" s="131">
        <f>DATE(2023,7,1)</f>
        <v>45108</v>
      </c>
      <c r="C90" s="204">
        <v>14493632</v>
      </c>
      <c r="D90" s="204">
        <v>2697018.32</v>
      </c>
      <c r="E90" s="204">
        <v>2740415.54</v>
      </c>
      <c r="F90" s="132">
        <f t="shared" ref="F90:F95" si="18">(+D90-E90)/E90</f>
        <v>-1.5835999820669609E-2</v>
      </c>
      <c r="G90" s="215">
        <f t="shared" ref="G90:G95" si="19">D90/C90</f>
        <v>0.18608298596238679</v>
      </c>
      <c r="H90" s="123"/>
    </row>
    <row r="91" spans="1:8" ht="15.75" x14ac:dyDescent="0.25">
      <c r="A91" s="130"/>
      <c r="B91" s="131">
        <f>DATE(2023,8,1)</f>
        <v>45139</v>
      </c>
      <c r="C91" s="204">
        <v>13342517</v>
      </c>
      <c r="D91" s="204">
        <v>2176274.1</v>
      </c>
      <c r="E91" s="204">
        <v>2942976.84</v>
      </c>
      <c r="F91" s="132">
        <f t="shared" si="18"/>
        <v>-0.26051946096864281</v>
      </c>
      <c r="G91" s="215">
        <f t="shared" si="19"/>
        <v>0.1631082126408383</v>
      </c>
      <c r="H91" s="123"/>
    </row>
    <row r="92" spans="1:8" ht="15.75" x14ac:dyDescent="0.25">
      <c r="A92" s="130"/>
      <c r="B92" s="131">
        <f>DATE(2023,9,1)</f>
        <v>45170</v>
      </c>
      <c r="C92" s="204">
        <v>12919096</v>
      </c>
      <c r="D92" s="204">
        <v>3641267.7</v>
      </c>
      <c r="E92" s="204">
        <v>2470080.11</v>
      </c>
      <c r="F92" s="132">
        <f t="shared" si="18"/>
        <v>0.47414963800506066</v>
      </c>
      <c r="G92" s="215">
        <f t="shared" si="19"/>
        <v>0.28185158621005679</v>
      </c>
      <c r="H92" s="123"/>
    </row>
    <row r="93" spans="1:8" ht="15.75" x14ac:dyDescent="0.25">
      <c r="A93" s="130"/>
      <c r="B93" s="131">
        <f>DATE(2023,10,1)</f>
        <v>45200</v>
      </c>
      <c r="C93" s="204">
        <v>12747730</v>
      </c>
      <c r="D93" s="204">
        <v>2255484.27</v>
      </c>
      <c r="E93" s="204">
        <v>3215532.42</v>
      </c>
      <c r="F93" s="132">
        <f t="shared" si="18"/>
        <v>-0.29856584372425637</v>
      </c>
      <c r="G93" s="215">
        <f t="shared" si="19"/>
        <v>0.1769322279339145</v>
      </c>
      <c r="H93" s="123"/>
    </row>
    <row r="94" spans="1:8" ht="15.75" x14ac:dyDescent="0.25">
      <c r="A94" s="130"/>
      <c r="B94" s="131">
        <f>DATE(2023,11,1)</f>
        <v>45231</v>
      </c>
      <c r="C94" s="204">
        <v>12382493</v>
      </c>
      <c r="D94" s="204">
        <v>2883631.5</v>
      </c>
      <c r="E94" s="204">
        <v>3258473.52</v>
      </c>
      <c r="F94" s="132">
        <f t="shared" si="18"/>
        <v>-0.11503607983900388</v>
      </c>
      <c r="G94" s="215">
        <f t="shared" si="19"/>
        <v>0.23287971977856156</v>
      </c>
      <c r="H94" s="123"/>
    </row>
    <row r="95" spans="1:8" ht="15.75" x14ac:dyDescent="0.25">
      <c r="A95" s="130"/>
      <c r="B95" s="131">
        <f>DATE(2023,12,1)</f>
        <v>45261</v>
      </c>
      <c r="C95" s="204">
        <v>13069344</v>
      </c>
      <c r="D95" s="204">
        <v>2283089.39</v>
      </c>
      <c r="E95" s="204">
        <v>2403855.66</v>
      </c>
      <c r="F95" s="132">
        <f t="shared" si="18"/>
        <v>-5.0238569648562013E-2</v>
      </c>
      <c r="G95" s="215">
        <f t="shared" si="19"/>
        <v>0.17469043511288709</v>
      </c>
      <c r="H95" s="123"/>
    </row>
    <row r="96" spans="1:8" ht="15.75" thickBot="1" x14ac:dyDescent="0.25">
      <c r="A96" s="133"/>
      <c r="B96" s="131"/>
      <c r="C96" s="204"/>
      <c r="D96" s="204"/>
      <c r="E96" s="204"/>
      <c r="F96" s="132"/>
      <c r="G96" s="215"/>
      <c r="H96" s="123"/>
    </row>
    <row r="97" spans="1:8" ht="17.25" thickTop="1" thickBot="1" x14ac:dyDescent="0.3">
      <c r="A97" s="141" t="s">
        <v>14</v>
      </c>
      <c r="B97" s="142"/>
      <c r="C97" s="207">
        <f>SUM(C90:C96)</f>
        <v>78954812</v>
      </c>
      <c r="D97" s="207">
        <f>SUM(D90:D96)</f>
        <v>15936765.280000001</v>
      </c>
      <c r="E97" s="207">
        <f>SUM(E90:E96)</f>
        <v>17031334.09</v>
      </c>
      <c r="F97" s="143">
        <f>(+D97-E97)/E97</f>
        <v>-6.4267943087481211E-2</v>
      </c>
      <c r="G97" s="267">
        <f>D97/C97</f>
        <v>0.20184666236682319</v>
      </c>
      <c r="H97" s="123"/>
    </row>
    <row r="98" spans="1:8" ht="15.75" customHeight="1" thickTop="1" x14ac:dyDescent="0.25">
      <c r="A98" s="138"/>
      <c r="B98" s="139"/>
      <c r="C98" s="205"/>
      <c r="D98" s="205"/>
      <c r="E98" s="205"/>
      <c r="F98" s="140"/>
      <c r="G98" s="219"/>
      <c r="H98" s="123"/>
    </row>
    <row r="99" spans="1:8" ht="15.75" x14ac:dyDescent="0.25">
      <c r="A99" s="130" t="s">
        <v>54</v>
      </c>
      <c r="B99" s="131">
        <f>DATE(2023,7,1)</f>
        <v>45108</v>
      </c>
      <c r="C99" s="204">
        <v>199161</v>
      </c>
      <c r="D99" s="204">
        <v>54168.5</v>
      </c>
      <c r="E99" s="204">
        <v>33672.5</v>
      </c>
      <c r="F99" s="132">
        <f t="shared" ref="F99:F104" si="20">(+D99-E99)/E99</f>
        <v>0.60868661370554611</v>
      </c>
      <c r="G99" s="215">
        <f>D99/C99</f>
        <v>0.27198347065941625</v>
      </c>
      <c r="H99" s="123"/>
    </row>
    <row r="100" spans="1:8" ht="15.75" x14ac:dyDescent="0.25">
      <c r="A100" s="130"/>
      <c r="B100" s="131">
        <f>DATE(2023,8,1)</f>
        <v>45139</v>
      </c>
      <c r="C100" s="204">
        <v>175878</v>
      </c>
      <c r="D100" s="204">
        <v>48279.5</v>
      </c>
      <c r="E100" s="204">
        <v>43554</v>
      </c>
      <c r="F100" s="132">
        <f t="shared" si="20"/>
        <v>0.10849749735959957</v>
      </c>
      <c r="G100" s="215">
        <f>D100/C100</f>
        <v>0.27450562321609295</v>
      </c>
      <c r="H100" s="123"/>
    </row>
    <row r="101" spans="1:8" ht="15.75" x14ac:dyDescent="0.25">
      <c r="A101" s="130"/>
      <c r="B101" s="131">
        <f>DATE(2023,9,1)</f>
        <v>45170</v>
      </c>
      <c r="C101" s="204">
        <v>172935</v>
      </c>
      <c r="D101" s="204">
        <v>44777.5</v>
      </c>
      <c r="E101" s="204">
        <v>21940.5</v>
      </c>
      <c r="F101" s="132">
        <f t="shared" si="20"/>
        <v>1.0408605091041681</v>
      </c>
      <c r="G101" s="215">
        <f>D101/C101</f>
        <v>0.25892676439124529</v>
      </c>
      <c r="H101" s="123"/>
    </row>
    <row r="102" spans="1:8" ht="15.75" x14ac:dyDescent="0.25">
      <c r="A102" s="130"/>
      <c r="B102" s="131">
        <f>DATE(2023,10,1)</f>
        <v>45200</v>
      </c>
      <c r="C102" s="204">
        <v>199343</v>
      </c>
      <c r="D102" s="204">
        <v>43819.5</v>
      </c>
      <c r="E102" s="204">
        <v>23452.5</v>
      </c>
      <c r="F102" s="132">
        <f t="shared" si="20"/>
        <v>0.86843620083146789</v>
      </c>
      <c r="G102" s="215">
        <f>D102/C102</f>
        <v>0.21981960741034298</v>
      </c>
      <c r="H102" s="123"/>
    </row>
    <row r="103" spans="1:8" ht="15.75" x14ac:dyDescent="0.25">
      <c r="A103" s="130"/>
      <c r="B103" s="131">
        <f>DATE(2023,11,1)</f>
        <v>45231</v>
      </c>
      <c r="C103" s="204">
        <v>159884</v>
      </c>
      <c r="D103" s="204">
        <v>38077.5</v>
      </c>
      <c r="E103" s="204">
        <v>27986</v>
      </c>
      <c r="F103" s="132">
        <f t="shared" si="20"/>
        <v>0.3605910097906096</v>
      </c>
      <c r="G103" s="215">
        <f>D103/C103</f>
        <v>0.23815703885316855</v>
      </c>
      <c r="H103" s="123"/>
    </row>
    <row r="104" spans="1:8" ht="15.75" x14ac:dyDescent="0.25">
      <c r="A104" s="130"/>
      <c r="B104" s="131">
        <f>DATE(2023,12,1)</f>
        <v>45261</v>
      </c>
      <c r="C104" s="204">
        <v>0</v>
      </c>
      <c r="D104" s="204">
        <v>0</v>
      </c>
      <c r="E104" s="204">
        <v>31936</v>
      </c>
      <c r="F104" s="132">
        <f t="shared" si="20"/>
        <v>-1</v>
      </c>
      <c r="G104" s="215">
        <v>0</v>
      </c>
      <c r="H104" s="123"/>
    </row>
    <row r="105" spans="1:8" ht="15.75" thickBot="1" x14ac:dyDescent="0.25">
      <c r="A105" s="133"/>
      <c r="B105" s="134"/>
      <c r="C105" s="204"/>
      <c r="D105" s="204"/>
      <c r="E105" s="204"/>
      <c r="F105" s="132"/>
      <c r="G105" s="215"/>
      <c r="H105" s="123"/>
    </row>
    <row r="106" spans="1:8" ht="17.25" thickTop="1" thickBot="1" x14ac:dyDescent="0.3">
      <c r="A106" s="144" t="s">
        <v>14</v>
      </c>
      <c r="B106" s="145"/>
      <c r="C106" s="207">
        <f>SUM(C99:C105)</f>
        <v>907201</v>
      </c>
      <c r="D106" s="207">
        <f>SUM(D99:D105)</f>
        <v>229122.5</v>
      </c>
      <c r="E106" s="207">
        <f>SUM(E99:E105)</f>
        <v>182541.5</v>
      </c>
      <c r="F106" s="143">
        <f>(+D106-E106)/E106</f>
        <v>0.25518032885672576</v>
      </c>
      <c r="G106" s="217">
        <f>D106/C106</f>
        <v>0.2525597965610708</v>
      </c>
      <c r="H106" s="123"/>
    </row>
    <row r="107" spans="1:8" ht="15.75" customHeight="1" thickTop="1" x14ac:dyDescent="0.25">
      <c r="A107" s="130"/>
      <c r="B107" s="134"/>
      <c r="C107" s="204"/>
      <c r="D107" s="204"/>
      <c r="E107" s="204"/>
      <c r="F107" s="132"/>
      <c r="G107" s="218"/>
      <c r="H107" s="123"/>
    </row>
    <row r="108" spans="1:8" ht="15.75" x14ac:dyDescent="0.25">
      <c r="A108" s="130" t="s">
        <v>37</v>
      </c>
      <c r="B108" s="131">
        <f>DATE(2023,7,1)</f>
        <v>45108</v>
      </c>
      <c r="C108" s="204">
        <v>20709684</v>
      </c>
      <c r="D108" s="204">
        <v>4690410.88</v>
      </c>
      <c r="E108" s="204">
        <v>4747644.93</v>
      </c>
      <c r="F108" s="132">
        <f t="shared" ref="F108:F113" si="21">(+D108-E108)/E108</f>
        <v>-1.2055250728280519E-2</v>
      </c>
      <c r="G108" s="215">
        <f t="shared" ref="G108:G113" si="22">D108/C108</f>
        <v>0.22648394248796844</v>
      </c>
      <c r="H108" s="123"/>
    </row>
    <row r="109" spans="1:8" ht="15.75" x14ac:dyDescent="0.25">
      <c r="A109" s="130"/>
      <c r="B109" s="131">
        <f>DATE(2023,8,1)</f>
        <v>45139</v>
      </c>
      <c r="C109" s="204">
        <v>20362139</v>
      </c>
      <c r="D109" s="204">
        <v>3109199.97</v>
      </c>
      <c r="E109" s="204">
        <v>5944421.2300000004</v>
      </c>
      <c r="F109" s="132">
        <f t="shared" si="21"/>
        <v>-0.47695497177948137</v>
      </c>
      <c r="G109" s="215">
        <f t="shared" si="22"/>
        <v>0.15269515496382774</v>
      </c>
      <c r="H109" s="123"/>
    </row>
    <row r="110" spans="1:8" ht="15.75" x14ac:dyDescent="0.25">
      <c r="A110" s="130"/>
      <c r="B110" s="131">
        <f>DATE(2023,9,1)</f>
        <v>45170</v>
      </c>
      <c r="C110" s="204">
        <v>21392075</v>
      </c>
      <c r="D110" s="204">
        <v>4835353.0999999996</v>
      </c>
      <c r="E110" s="204">
        <v>4482002.3499999996</v>
      </c>
      <c r="F110" s="132">
        <f t="shared" si="21"/>
        <v>7.8837698512139343E-2</v>
      </c>
      <c r="G110" s="215">
        <f t="shared" si="22"/>
        <v>0.22603478624677595</v>
      </c>
      <c r="H110" s="123"/>
    </row>
    <row r="111" spans="1:8" ht="15.75" x14ac:dyDescent="0.25">
      <c r="A111" s="130"/>
      <c r="B111" s="131">
        <f>DATE(2023,10,1)</f>
        <v>45200</v>
      </c>
      <c r="C111" s="204">
        <v>19934793</v>
      </c>
      <c r="D111" s="204">
        <v>4925406.22</v>
      </c>
      <c r="E111" s="204">
        <v>4856222.42</v>
      </c>
      <c r="F111" s="132">
        <f t="shared" si="21"/>
        <v>1.4246423251758681E-2</v>
      </c>
      <c r="G111" s="215">
        <f t="shared" si="22"/>
        <v>0.24707586479578694</v>
      </c>
      <c r="H111" s="123"/>
    </row>
    <row r="112" spans="1:8" ht="15.75" x14ac:dyDescent="0.25">
      <c r="A112" s="130"/>
      <c r="B112" s="131">
        <f>DATE(2023,11,1)</f>
        <v>45231</v>
      </c>
      <c r="C112" s="204">
        <v>20304922</v>
      </c>
      <c r="D112" s="204">
        <v>3628470.69</v>
      </c>
      <c r="E112" s="204">
        <v>4475648.3499999996</v>
      </c>
      <c r="F112" s="132">
        <f t="shared" si="21"/>
        <v>-0.18928601930935879</v>
      </c>
      <c r="G112" s="215">
        <f t="shared" si="22"/>
        <v>0.17869907059972945</v>
      </c>
      <c r="H112" s="123"/>
    </row>
    <row r="113" spans="1:8" ht="15.75" x14ac:dyDescent="0.25">
      <c r="A113" s="130"/>
      <c r="B113" s="131">
        <f>DATE(2023,12,1)</f>
        <v>45261</v>
      </c>
      <c r="C113" s="204">
        <v>23730013</v>
      </c>
      <c r="D113" s="204">
        <v>5043873.1500000004</v>
      </c>
      <c r="E113" s="204">
        <v>4385866.74</v>
      </c>
      <c r="F113" s="132">
        <f t="shared" si="21"/>
        <v>0.15002881961707759</v>
      </c>
      <c r="G113" s="215">
        <f t="shared" si="22"/>
        <v>0.21255248153467091</v>
      </c>
      <c r="H113" s="123"/>
    </row>
    <row r="114" spans="1:8" ht="15.75" thickBot="1" x14ac:dyDescent="0.25">
      <c r="A114" s="133"/>
      <c r="B114" s="134"/>
      <c r="C114" s="204"/>
      <c r="D114" s="204"/>
      <c r="E114" s="204"/>
      <c r="F114" s="132"/>
      <c r="G114" s="215"/>
      <c r="H114" s="123"/>
    </row>
    <row r="115" spans="1:8" ht="17.25" thickTop="1" thickBot="1" x14ac:dyDescent="0.3">
      <c r="A115" s="141" t="s">
        <v>14</v>
      </c>
      <c r="B115" s="142"/>
      <c r="C115" s="206">
        <f>SUM(C108:C114)</f>
        <v>126433626</v>
      </c>
      <c r="D115" s="207">
        <f>SUM(D108:D114)</f>
        <v>26232714.009999998</v>
      </c>
      <c r="E115" s="206">
        <f>SUM(E108:E114)</f>
        <v>28891806.020000003</v>
      </c>
      <c r="F115" s="143">
        <f>(+D115-E115)/E115</f>
        <v>-9.2036199057936391E-2</v>
      </c>
      <c r="G115" s="217">
        <f>D115/C115</f>
        <v>0.20748209823548047</v>
      </c>
      <c r="H115" s="123"/>
    </row>
    <row r="116" spans="1:8" ht="15.75" customHeight="1" thickTop="1" x14ac:dyDescent="0.25">
      <c r="A116" s="130"/>
      <c r="B116" s="134"/>
      <c r="C116" s="204"/>
      <c r="D116" s="204"/>
      <c r="E116" s="204"/>
      <c r="F116" s="132"/>
      <c r="G116" s="218"/>
      <c r="H116" s="123"/>
    </row>
    <row r="117" spans="1:8" ht="15.75" x14ac:dyDescent="0.25">
      <c r="A117" s="130" t="s">
        <v>57</v>
      </c>
      <c r="B117" s="131">
        <f>DATE(2023,7,1)</f>
        <v>45108</v>
      </c>
      <c r="C117" s="204">
        <v>667022</v>
      </c>
      <c r="D117" s="204">
        <v>167507.5</v>
      </c>
      <c r="E117" s="204">
        <v>196833</v>
      </c>
      <c r="F117" s="132">
        <f t="shared" ref="F117:F122" si="23">(+D117-E117)/E117</f>
        <v>-0.14898670446520654</v>
      </c>
      <c r="G117" s="215">
        <f t="shared" ref="G117:G122" si="24">D117/C117</f>
        <v>0.25112739909628168</v>
      </c>
      <c r="H117" s="123"/>
    </row>
    <row r="118" spans="1:8" ht="15.75" x14ac:dyDescent="0.25">
      <c r="A118" s="130"/>
      <c r="B118" s="131">
        <f>DATE(2023,8,1)</f>
        <v>45139</v>
      </c>
      <c r="C118" s="204">
        <v>610032</v>
      </c>
      <c r="D118" s="204">
        <v>211410</v>
      </c>
      <c r="E118" s="204">
        <v>151280.5</v>
      </c>
      <c r="F118" s="132">
        <f t="shared" si="23"/>
        <v>0.39747026219506149</v>
      </c>
      <c r="G118" s="215">
        <f t="shared" si="24"/>
        <v>0.34655559052639862</v>
      </c>
      <c r="H118" s="123"/>
    </row>
    <row r="119" spans="1:8" ht="15.75" x14ac:dyDescent="0.25">
      <c r="A119" s="130"/>
      <c r="B119" s="131">
        <f>DATE(2023,9,1)</f>
        <v>45170</v>
      </c>
      <c r="C119" s="204">
        <v>532466</v>
      </c>
      <c r="D119" s="204">
        <v>169350</v>
      </c>
      <c r="E119" s="204">
        <v>193974</v>
      </c>
      <c r="F119" s="132">
        <f t="shared" si="23"/>
        <v>-0.12694484827863528</v>
      </c>
      <c r="G119" s="215">
        <f t="shared" si="24"/>
        <v>0.31804847633463923</v>
      </c>
      <c r="H119" s="123"/>
    </row>
    <row r="120" spans="1:8" ht="15.75" x14ac:dyDescent="0.25">
      <c r="A120" s="130"/>
      <c r="B120" s="131">
        <f>DATE(2023,10,1)</f>
        <v>45200</v>
      </c>
      <c r="C120" s="204">
        <v>417867</v>
      </c>
      <c r="D120" s="204">
        <v>88179.5</v>
      </c>
      <c r="E120" s="204">
        <v>196489.5</v>
      </c>
      <c r="F120" s="132">
        <f t="shared" si="23"/>
        <v>-0.55122538354466777</v>
      </c>
      <c r="G120" s="215">
        <f t="shared" si="24"/>
        <v>0.21102288527210811</v>
      </c>
      <c r="H120" s="123"/>
    </row>
    <row r="121" spans="1:8" ht="15.75" x14ac:dyDescent="0.25">
      <c r="A121" s="130"/>
      <c r="B121" s="131">
        <f>DATE(2023,11,1)</f>
        <v>45231</v>
      </c>
      <c r="C121" s="204">
        <v>535756</v>
      </c>
      <c r="D121" s="204">
        <v>133089.5</v>
      </c>
      <c r="E121" s="204">
        <v>205853.5</v>
      </c>
      <c r="F121" s="132">
        <f t="shared" si="23"/>
        <v>-0.3534746798086989</v>
      </c>
      <c r="G121" s="215">
        <f t="shared" si="24"/>
        <v>0.24841439013282166</v>
      </c>
      <c r="H121" s="123"/>
    </row>
    <row r="122" spans="1:8" ht="15.75" x14ac:dyDescent="0.25">
      <c r="A122" s="130"/>
      <c r="B122" s="131">
        <f>DATE(2023,12,1)</f>
        <v>45261</v>
      </c>
      <c r="C122" s="204">
        <v>646232</v>
      </c>
      <c r="D122" s="204">
        <v>263841.5</v>
      </c>
      <c r="E122" s="204">
        <v>179648</v>
      </c>
      <c r="F122" s="132">
        <f t="shared" si="23"/>
        <v>0.46865815372283576</v>
      </c>
      <c r="G122" s="215">
        <f t="shared" si="24"/>
        <v>0.40827674890751309</v>
      </c>
      <c r="H122" s="123"/>
    </row>
    <row r="123" spans="1:8" ht="15.75" thickBot="1" x14ac:dyDescent="0.25">
      <c r="A123" s="133"/>
      <c r="B123" s="134"/>
      <c r="C123" s="204"/>
      <c r="D123" s="204"/>
      <c r="E123" s="204"/>
      <c r="F123" s="132"/>
      <c r="G123" s="215"/>
      <c r="H123" s="123"/>
    </row>
    <row r="124" spans="1:8" ht="17.25" thickTop="1" thickBot="1" x14ac:dyDescent="0.3">
      <c r="A124" s="135" t="s">
        <v>14</v>
      </c>
      <c r="B124" s="136"/>
      <c r="C124" s="201">
        <f>SUM(C117:C123)</f>
        <v>3409375</v>
      </c>
      <c r="D124" s="207">
        <f>SUM(D117:D123)</f>
        <v>1033378</v>
      </c>
      <c r="E124" s="207">
        <f>SUM(E117:E123)</f>
        <v>1124078.5</v>
      </c>
      <c r="F124" s="143">
        <f>(+D124-E124)/E124</f>
        <v>-8.0688759726300255E-2</v>
      </c>
      <c r="G124" s="217">
        <f>D124/C124</f>
        <v>0.30309895508707607</v>
      </c>
      <c r="H124" s="123"/>
    </row>
    <row r="125" spans="1:8" ht="16.5" thickTop="1" thickBot="1" x14ac:dyDescent="0.25">
      <c r="A125" s="146"/>
      <c r="B125" s="139"/>
      <c r="C125" s="205"/>
      <c r="D125" s="205"/>
      <c r="E125" s="205"/>
      <c r="F125" s="140"/>
      <c r="G125" s="216"/>
      <c r="H125" s="123"/>
    </row>
    <row r="126" spans="1:8" ht="17.25" thickTop="1" thickBot="1" x14ac:dyDescent="0.3">
      <c r="A126" s="147" t="s">
        <v>38</v>
      </c>
      <c r="B126" s="121"/>
      <c r="C126" s="201">
        <f>C124+C115+C88+C70+C52+C34+C16+C43+C106+C25+C79+C97+C61</f>
        <v>663183606.14999998</v>
      </c>
      <c r="D126" s="201">
        <f>D124+D115+D88+D70+D52+D34+D16+D43+D106+D25+D79+D97+D61</f>
        <v>132256057.94999999</v>
      </c>
      <c r="E126" s="201">
        <f>E124+E115+E88+E70+E52+E34+E16+E43+E106+E25+E79+E97+E61</f>
        <v>136193519.78</v>
      </c>
      <c r="F126" s="137">
        <f>(+D126-E126)/E126</f>
        <v>-2.89107869182057E-2</v>
      </c>
      <c r="G126" s="212">
        <f>D126/C126</f>
        <v>0.19942600619727335</v>
      </c>
      <c r="H126" s="123"/>
    </row>
    <row r="127" spans="1:8" ht="17.25" thickTop="1" thickBot="1" x14ac:dyDescent="0.3">
      <c r="A127" s="147"/>
      <c r="B127" s="121"/>
      <c r="C127" s="201"/>
      <c r="D127" s="201"/>
      <c r="E127" s="201"/>
      <c r="F127" s="137"/>
      <c r="G127" s="212"/>
      <c r="H127" s="123"/>
    </row>
    <row r="128" spans="1:8" ht="17.25" thickTop="1" thickBot="1" x14ac:dyDescent="0.3">
      <c r="A128" s="265" t="s">
        <v>39</v>
      </c>
      <c r="B128" s="266"/>
      <c r="C128" s="206">
        <f>+C14+C23+C32+C41+C50+C59+C68+C77+C86+C95+C104+C113+C122</f>
        <v>117011585</v>
      </c>
      <c r="D128" s="206">
        <f>+D14+D23+D32+D41+D50+D59+D68+D77+D86+D95+D104+D113+D122</f>
        <v>24055722.890000001</v>
      </c>
      <c r="E128" s="206">
        <f>+E14+E23+E32+E41+E50+E59+E68+E77+E86+E95+E104+E113+E122</f>
        <v>21803094.369999997</v>
      </c>
      <c r="F128" s="268">
        <f>(+D128-E128)/E128</f>
        <v>0.10331691831318729</v>
      </c>
      <c r="G128" s="217">
        <f>D128/C128</f>
        <v>0.20558411280387323</v>
      </c>
      <c r="H128" s="123"/>
    </row>
    <row r="129" spans="1:8" ht="16.5" thickTop="1" x14ac:dyDescent="0.25">
      <c r="A129" s="256"/>
      <c r="B129" s="258"/>
      <c r="C129" s="259"/>
      <c r="D129" s="259"/>
      <c r="E129" s="259"/>
      <c r="F129" s="260"/>
      <c r="G129" s="257"/>
      <c r="H129" s="257"/>
    </row>
    <row r="130" spans="1:8" ht="18.75" x14ac:dyDescent="0.3">
      <c r="A130" s="263" t="s">
        <v>40</v>
      </c>
      <c r="B130" s="117"/>
      <c r="C130" s="208"/>
      <c r="D130" s="208"/>
      <c r="E130" s="208"/>
      <c r="F130" s="148"/>
      <c r="G130" s="220"/>
    </row>
    <row r="131" spans="1:8" ht="15.75" x14ac:dyDescent="0.25">
      <c r="A131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7" man="1"/>
    <brk id="9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77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78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thickBot="1" x14ac:dyDescent="0.25">
      <c r="A16" s="167"/>
      <c r="B16" s="168"/>
      <c r="C16" s="226"/>
      <c r="D16" s="226"/>
      <c r="E16" s="226"/>
      <c r="F16" s="166"/>
      <c r="G16" s="241"/>
      <c r="H16" s="242"/>
    </row>
    <row r="17" spans="1:8" ht="17.25" thickTop="1" thickBot="1" x14ac:dyDescent="0.3">
      <c r="A17" s="169" t="s">
        <v>14</v>
      </c>
      <c r="B17" s="155"/>
      <c r="C17" s="223">
        <f>SUM(C10:C16)</f>
        <v>0</v>
      </c>
      <c r="D17" s="223">
        <f>SUM(D10:D16)</f>
        <v>0</v>
      </c>
      <c r="E17" s="223">
        <f>SUM(E10:E16)</f>
        <v>506770.29000000004</v>
      </c>
      <c r="F17" s="176">
        <f>+(D17-E17)/E17</f>
        <v>-1</v>
      </c>
      <c r="G17" s="245">
        <v>0</v>
      </c>
      <c r="H17" s="246">
        <v>0</v>
      </c>
    </row>
    <row r="18" spans="1:8" ht="15.75" thickTop="1" x14ac:dyDescent="0.2">
      <c r="A18" s="171"/>
      <c r="B18" s="172"/>
      <c r="C18" s="227"/>
      <c r="D18" s="227"/>
      <c r="E18" s="227"/>
      <c r="F18" s="173"/>
      <c r="G18" s="243"/>
      <c r="H18" s="244"/>
    </row>
    <row r="19" spans="1:8" ht="15.75" x14ac:dyDescent="0.25">
      <c r="A19" s="19" t="s">
        <v>48</v>
      </c>
      <c r="B19" s="165">
        <f>DATE(23,7,1)</f>
        <v>8583</v>
      </c>
      <c r="C19" s="226">
        <v>0</v>
      </c>
      <c r="D19" s="226">
        <v>0</v>
      </c>
      <c r="E19" s="226">
        <v>0</v>
      </c>
      <c r="F19" s="166">
        <v>0</v>
      </c>
      <c r="G19" s="241">
        <v>0</v>
      </c>
      <c r="H19" s="242">
        <v>0</v>
      </c>
    </row>
    <row r="20" spans="1:8" ht="15.75" x14ac:dyDescent="0.25">
      <c r="A20" s="19"/>
      <c r="B20" s="165">
        <f>DATE(23,8,1)</f>
        <v>8614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x14ac:dyDescent="0.25">
      <c r="A21" s="19"/>
      <c r="B21" s="165">
        <f>DATE(23,9,1)</f>
        <v>8645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x14ac:dyDescent="0.25">
      <c r="A22" s="19"/>
      <c r="B22" s="165">
        <f>DATE(23,10,1)</f>
        <v>8675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DATE(23,11,1)</f>
        <v>8706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DATE(23,12,1)</f>
        <v>8736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thickBot="1" x14ac:dyDescent="0.25">
      <c r="A25" s="167"/>
      <c r="B25" s="165"/>
      <c r="C25" s="226"/>
      <c r="D25" s="226"/>
      <c r="E25" s="226"/>
      <c r="F25" s="166"/>
      <c r="G25" s="241"/>
      <c r="H25" s="242"/>
    </row>
    <row r="26" spans="1:8" ht="17.25" thickTop="1" thickBot="1" x14ac:dyDescent="0.3">
      <c r="A26" s="169" t="s">
        <v>14</v>
      </c>
      <c r="B26" s="155"/>
      <c r="C26" s="223">
        <f>SUM(C19:C25)</f>
        <v>0</v>
      </c>
      <c r="D26" s="223">
        <f>SUM(D19:D25)</f>
        <v>0</v>
      </c>
      <c r="E26" s="223">
        <f>SUM(E19:E25)</f>
        <v>0</v>
      </c>
      <c r="F26" s="170">
        <v>0</v>
      </c>
      <c r="G26" s="236">
        <v>0</v>
      </c>
      <c r="H26" s="237">
        <v>0</v>
      </c>
    </row>
    <row r="27" spans="1:8" ht="15.75" thickTop="1" x14ac:dyDescent="0.2">
      <c r="A27" s="171"/>
      <c r="B27" s="172"/>
      <c r="C27" s="227"/>
      <c r="D27" s="227"/>
      <c r="E27" s="227"/>
      <c r="F27" s="173"/>
      <c r="G27" s="243"/>
      <c r="H27" s="244"/>
    </row>
    <row r="28" spans="1:8" ht="15.75" x14ac:dyDescent="0.25">
      <c r="A28" s="19" t="s">
        <v>62</v>
      </c>
      <c r="B28" s="165">
        <f>DATE(23,7,1)</f>
        <v>8583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DATE(23,8,1)</f>
        <v>8614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DATE(23,9,1)</f>
        <v>8645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DATE(23,10,1)</f>
        <v>8675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DATE(23,11,1)</f>
        <v>8706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DATE(23,12,1)</f>
        <v>8736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thickBot="1" x14ac:dyDescent="0.25">
      <c r="A34" s="167"/>
      <c r="B34" s="165"/>
      <c r="C34" s="226"/>
      <c r="D34" s="226"/>
      <c r="E34" s="226"/>
      <c r="F34" s="166"/>
      <c r="G34" s="241"/>
      <c r="H34" s="242"/>
    </row>
    <row r="35" spans="1:8" ht="17.25" thickTop="1" thickBot="1" x14ac:dyDescent="0.3">
      <c r="A35" s="174" t="s">
        <v>14</v>
      </c>
      <c r="B35" s="175"/>
      <c r="C35" s="228">
        <f>SUM(C28:C34)</f>
        <v>0</v>
      </c>
      <c r="D35" s="228">
        <f>SUM(D28:D34)</f>
        <v>0</v>
      </c>
      <c r="E35" s="228">
        <f>SUM(E28:E34)</f>
        <v>0</v>
      </c>
      <c r="F35" s="176">
        <v>0</v>
      </c>
      <c r="G35" s="245">
        <v>0</v>
      </c>
      <c r="H35" s="246">
        <v>0</v>
      </c>
    </row>
    <row r="36" spans="1:8" ht="15.75" thickTop="1" x14ac:dyDescent="0.2">
      <c r="A36" s="167"/>
      <c r="B36" s="168"/>
      <c r="C36" s="226"/>
      <c r="D36" s="226"/>
      <c r="E36" s="226"/>
      <c r="F36" s="166"/>
      <c r="G36" s="241"/>
      <c r="H36" s="242"/>
    </row>
    <row r="37" spans="1:8" ht="15.75" x14ac:dyDescent="0.25">
      <c r="A37" s="177" t="s">
        <v>58</v>
      </c>
      <c r="B37" s="165">
        <f>DATE(23,7,1)</f>
        <v>8583</v>
      </c>
      <c r="C37" s="226">
        <v>0</v>
      </c>
      <c r="D37" s="226">
        <v>0</v>
      </c>
      <c r="E37" s="226">
        <v>133555.04</v>
      </c>
      <c r="F37" s="166">
        <v>-1</v>
      </c>
      <c r="G37" s="241">
        <v>0</v>
      </c>
      <c r="H37" s="289">
        <v>0</v>
      </c>
    </row>
    <row r="38" spans="1:8" ht="15.75" x14ac:dyDescent="0.25">
      <c r="A38" s="177"/>
      <c r="B38" s="165">
        <f>DATE(23,8,1)</f>
        <v>8614</v>
      </c>
      <c r="C38" s="226">
        <v>0</v>
      </c>
      <c r="D38" s="226">
        <v>0</v>
      </c>
      <c r="E38" s="226">
        <v>183477.77</v>
      </c>
      <c r="F38" s="166">
        <v>-1</v>
      </c>
      <c r="G38" s="241">
        <v>0</v>
      </c>
      <c r="H38" s="289">
        <v>0</v>
      </c>
    </row>
    <row r="39" spans="1:8" ht="15.75" x14ac:dyDescent="0.25">
      <c r="A39" s="177"/>
      <c r="B39" s="165">
        <f>DATE(23,9,1)</f>
        <v>8645</v>
      </c>
      <c r="C39" s="226">
        <v>0</v>
      </c>
      <c r="D39" s="226">
        <v>0</v>
      </c>
      <c r="E39" s="226">
        <v>155342.66</v>
      </c>
      <c r="F39" s="166">
        <v>-1</v>
      </c>
      <c r="G39" s="241">
        <v>0</v>
      </c>
      <c r="H39" s="289">
        <v>0</v>
      </c>
    </row>
    <row r="40" spans="1:8" ht="15.75" x14ac:dyDescent="0.25">
      <c r="A40" s="177"/>
      <c r="B40" s="165">
        <f>DATE(23,10,1)</f>
        <v>8675</v>
      </c>
      <c r="C40" s="226">
        <v>0</v>
      </c>
      <c r="D40" s="226">
        <v>0</v>
      </c>
      <c r="E40" s="226">
        <v>95342.11</v>
      </c>
      <c r="F40" s="166">
        <v>-1</v>
      </c>
      <c r="G40" s="241">
        <v>0</v>
      </c>
      <c r="H40" s="289">
        <v>0</v>
      </c>
    </row>
    <row r="41" spans="1:8" ht="15.75" x14ac:dyDescent="0.25">
      <c r="A41" s="177"/>
      <c r="B41" s="165">
        <f>DATE(23,11,1)</f>
        <v>8706</v>
      </c>
      <c r="C41" s="226">
        <v>0</v>
      </c>
      <c r="D41" s="226">
        <v>0</v>
      </c>
      <c r="E41" s="226">
        <v>123201.53</v>
      </c>
      <c r="F41" s="166">
        <v>-1</v>
      </c>
      <c r="G41" s="241">
        <v>0</v>
      </c>
      <c r="H41" s="289">
        <v>0</v>
      </c>
    </row>
    <row r="42" spans="1:8" ht="15.75" x14ac:dyDescent="0.25">
      <c r="A42" s="177"/>
      <c r="B42" s="165">
        <f>DATE(23,12,1)</f>
        <v>8736</v>
      </c>
      <c r="C42" s="226">
        <v>0</v>
      </c>
      <c r="D42" s="226">
        <v>0</v>
      </c>
      <c r="E42" s="226">
        <v>124084.02</v>
      </c>
      <c r="F42" s="166">
        <v>-1</v>
      </c>
      <c r="G42" s="241">
        <v>0</v>
      </c>
      <c r="H42" s="289">
        <v>0</v>
      </c>
    </row>
    <row r="43" spans="1:8" ht="15.75" thickBot="1" x14ac:dyDescent="0.25">
      <c r="A43" s="167"/>
      <c r="B43" s="168"/>
      <c r="C43" s="226"/>
      <c r="D43" s="226"/>
      <c r="E43" s="226"/>
      <c r="F43" s="166"/>
      <c r="G43" s="241"/>
      <c r="H43" s="242"/>
    </row>
    <row r="44" spans="1:8" ht="17.25" thickTop="1" thickBot="1" x14ac:dyDescent="0.3">
      <c r="A44" s="174" t="s">
        <v>14</v>
      </c>
      <c r="B44" s="178"/>
      <c r="C44" s="228">
        <f>SUM(C37:C43)</f>
        <v>0</v>
      </c>
      <c r="D44" s="228">
        <f>SUM(D37:D43)</f>
        <v>0</v>
      </c>
      <c r="E44" s="228">
        <f>SUM(E37:E43)</f>
        <v>815003.13</v>
      </c>
      <c r="F44" s="176">
        <f>+(D44-E44)/E44</f>
        <v>-1</v>
      </c>
      <c r="G44" s="245">
        <v>0</v>
      </c>
      <c r="H44" s="246">
        <v>0</v>
      </c>
    </row>
    <row r="45" spans="1:8" ht="15.75" thickTop="1" x14ac:dyDescent="0.2">
      <c r="A45" s="167"/>
      <c r="B45" s="168"/>
      <c r="C45" s="226"/>
      <c r="D45" s="226"/>
      <c r="E45" s="226"/>
      <c r="F45" s="166"/>
      <c r="G45" s="241"/>
      <c r="H45" s="242"/>
    </row>
    <row r="46" spans="1:8" ht="15.75" x14ac:dyDescent="0.25">
      <c r="A46" s="164" t="s">
        <v>60</v>
      </c>
      <c r="B46" s="165">
        <f>DATE(23,7,1)</f>
        <v>8583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x14ac:dyDescent="0.25">
      <c r="A47" s="164"/>
      <c r="B47" s="165">
        <f>DATE(23,8,1)</f>
        <v>8614</v>
      </c>
      <c r="C47" s="226">
        <v>0</v>
      </c>
      <c r="D47" s="226">
        <v>0</v>
      </c>
      <c r="E47" s="226">
        <v>0</v>
      </c>
      <c r="F47" s="166">
        <v>0</v>
      </c>
      <c r="G47" s="241">
        <v>0</v>
      </c>
      <c r="H47" s="242">
        <v>0</v>
      </c>
    </row>
    <row r="48" spans="1:8" ht="15.75" x14ac:dyDescent="0.25">
      <c r="A48" s="164"/>
      <c r="B48" s="165">
        <f>DATE(23,9,1)</f>
        <v>8645</v>
      </c>
      <c r="C48" s="226">
        <v>0</v>
      </c>
      <c r="D48" s="226">
        <v>0</v>
      </c>
      <c r="E48" s="226">
        <v>0</v>
      </c>
      <c r="F48" s="166">
        <v>0</v>
      </c>
      <c r="G48" s="241">
        <v>0</v>
      </c>
      <c r="H48" s="242">
        <v>0</v>
      </c>
    </row>
    <row r="49" spans="1:8" ht="15.75" x14ac:dyDescent="0.25">
      <c r="A49" s="164"/>
      <c r="B49" s="165">
        <f>DATE(23,10,1)</f>
        <v>8675</v>
      </c>
      <c r="C49" s="226">
        <v>0</v>
      </c>
      <c r="D49" s="226">
        <v>0</v>
      </c>
      <c r="E49" s="226">
        <v>0</v>
      </c>
      <c r="F49" s="166">
        <v>0</v>
      </c>
      <c r="G49" s="241">
        <v>0</v>
      </c>
      <c r="H49" s="242">
        <v>0</v>
      </c>
    </row>
    <row r="50" spans="1:8" ht="15.75" x14ac:dyDescent="0.25">
      <c r="A50" s="164"/>
      <c r="B50" s="165">
        <f>DATE(23,11,1)</f>
        <v>8706</v>
      </c>
      <c r="C50" s="226">
        <v>0</v>
      </c>
      <c r="D50" s="226">
        <v>0</v>
      </c>
      <c r="E50" s="226">
        <v>0</v>
      </c>
      <c r="F50" s="166">
        <v>0</v>
      </c>
      <c r="G50" s="241">
        <v>0</v>
      </c>
      <c r="H50" s="242">
        <v>0</v>
      </c>
    </row>
    <row r="51" spans="1:8" ht="15.75" x14ac:dyDescent="0.25">
      <c r="A51" s="164"/>
      <c r="B51" s="165">
        <f>DATE(23,12,1)</f>
        <v>8736</v>
      </c>
      <c r="C51" s="226">
        <v>0</v>
      </c>
      <c r="D51" s="226">
        <v>0</v>
      </c>
      <c r="E51" s="226">
        <v>0</v>
      </c>
      <c r="F51" s="166">
        <v>0</v>
      </c>
      <c r="G51" s="241">
        <v>0</v>
      </c>
      <c r="H51" s="242">
        <v>0</v>
      </c>
    </row>
    <row r="52" spans="1:8" ht="15.75" thickBot="1" x14ac:dyDescent="0.25">
      <c r="A52" s="167"/>
      <c r="B52" s="165"/>
      <c r="C52" s="226"/>
      <c r="D52" s="226"/>
      <c r="E52" s="226"/>
      <c r="F52" s="166"/>
      <c r="G52" s="241"/>
      <c r="H52" s="242"/>
    </row>
    <row r="53" spans="1:8" ht="17.25" thickTop="1" thickBot="1" x14ac:dyDescent="0.3">
      <c r="A53" s="174" t="s">
        <v>14</v>
      </c>
      <c r="B53" s="175"/>
      <c r="C53" s="228">
        <f>SUM(C46:C52)</f>
        <v>0</v>
      </c>
      <c r="D53" s="230">
        <f>SUM(D46:D52)</f>
        <v>0</v>
      </c>
      <c r="E53" s="271">
        <f>SUM(E46:E52)</f>
        <v>0</v>
      </c>
      <c r="F53" s="176">
        <v>0</v>
      </c>
      <c r="G53" s="245">
        <v>0</v>
      </c>
      <c r="H53" s="246">
        <v>0</v>
      </c>
    </row>
    <row r="54" spans="1:8" ht="15.75" thickTop="1" x14ac:dyDescent="0.2">
      <c r="A54" s="167"/>
      <c r="B54" s="168"/>
      <c r="C54" s="226"/>
      <c r="D54" s="226"/>
      <c r="E54" s="226"/>
      <c r="F54" s="166"/>
      <c r="G54" s="241"/>
      <c r="H54" s="242"/>
    </row>
    <row r="55" spans="1:8" ht="15.75" x14ac:dyDescent="0.25">
      <c r="A55" s="164" t="s">
        <v>64</v>
      </c>
      <c r="B55" s="165">
        <f>DATE(23,7,1)</f>
        <v>8583</v>
      </c>
      <c r="C55" s="226">
        <v>0</v>
      </c>
      <c r="D55" s="226">
        <v>0</v>
      </c>
      <c r="E55" s="226">
        <v>0</v>
      </c>
      <c r="F55" s="166">
        <v>0</v>
      </c>
      <c r="G55" s="241">
        <v>0</v>
      </c>
      <c r="H55" s="242">
        <v>0</v>
      </c>
    </row>
    <row r="56" spans="1:8" ht="15.75" x14ac:dyDescent="0.25">
      <c r="A56" s="164"/>
      <c r="B56" s="165">
        <f>DATE(23,8,1)</f>
        <v>8614</v>
      </c>
      <c r="C56" s="226">
        <v>0</v>
      </c>
      <c r="D56" s="226">
        <v>0</v>
      </c>
      <c r="E56" s="226">
        <v>0</v>
      </c>
      <c r="F56" s="166">
        <v>0</v>
      </c>
      <c r="G56" s="241">
        <v>0</v>
      </c>
      <c r="H56" s="242">
        <v>0</v>
      </c>
    </row>
    <row r="57" spans="1:8" ht="15.75" x14ac:dyDescent="0.25">
      <c r="A57" s="164"/>
      <c r="B57" s="165">
        <f>DATE(23,9,1)</f>
        <v>8645</v>
      </c>
      <c r="C57" s="226">
        <v>0</v>
      </c>
      <c r="D57" s="226">
        <v>0</v>
      </c>
      <c r="E57" s="226">
        <v>0</v>
      </c>
      <c r="F57" s="166">
        <v>0</v>
      </c>
      <c r="G57" s="241">
        <v>0</v>
      </c>
      <c r="H57" s="242">
        <v>0</v>
      </c>
    </row>
    <row r="58" spans="1:8" ht="15.75" x14ac:dyDescent="0.25">
      <c r="A58" s="164"/>
      <c r="B58" s="165">
        <f>DATE(23,10,1)</f>
        <v>8675</v>
      </c>
      <c r="C58" s="226">
        <v>0</v>
      </c>
      <c r="D58" s="226">
        <v>0</v>
      </c>
      <c r="E58" s="226">
        <v>0</v>
      </c>
      <c r="F58" s="166">
        <v>0</v>
      </c>
      <c r="G58" s="241">
        <v>0</v>
      </c>
      <c r="H58" s="242">
        <v>0</v>
      </c>
    </row>
    <row r="59" spans="1:8" ht="15.75" x14ac:dyDescent="0.25">
      <c r="A59" s="164"/>
      <c r="B59" s="165">
        <f>DATE(23,11,1)</f>
        <v>8706</v>
      </c>
      <c r="C59" s="226">
        <v>0</v>
      </c>
      <c r="D59" s="226">
        <v>0</v>
      </c>
      <c r="E59" s="226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64"/>
      <c r="B60" s="165">
        <f>DATE(23,12,1)</f>
        <v>8736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thickBot="1" x14ac:dyDescent="0.25">
      <c r="A61" s="167"/>
      <c r="B61" s="165"/>
      <c r="C61" s="226"/>
      <c r="D61" s="226"/>
      <c r="E61" s="226"/>
      <c r="F61" s="166"/>
      <c r="G61" s="241"/>
      <c r="H61" s="242"/>
    </row>
    <row r="62" spans="1:8" ht="17.25" thickTop="1" thickBot="1" x14ac:dyDescent="0.3">
      <c r="A62" s="174" t="s">
        <v>14</v>
      </c>
      <c r="B62" s="175"/>
      <c r="C62" s="228">
        <f>SUM(C55:C61)</f>
        <v>0</v>
      </c>
      <c r="D62" s="230">
        <f>SUM(D55:D61)</f>
        <v>0</v>
      </c>
      <c r="E62" s="271">
        <f>SUM(E55:E61)</f>
        <v>0</v>
      </c>
      <c r="F62" s="176">
        <v>0</v>
      </c>
      <c r="G62" s="245">
        <v>0</v>
      </c>
      <c r="H62" s="246">
        <v>0</v>
      </c>
    </row>
    <row r="63" spans="1:8" ht="15.75" thickTop="1" x14ac:dyDescent="0.2">
      <c r="A63" s="167"/>
      <c r="B63" s="168"/>
      <c r="C63" s="226"/>
      <c r="D63" s="226"/>
      <c r="E63" s="226"/>
      <c r="F63" s="166"/>
      <c r="G63" s="241"/>
      <c r="H63" s="242"/>
    </row>
    <row r="64" spans="1:8" ht="15.75" x14ac:dyDescent="0.25">
      <c r="A64" s="164" t="s">
        <v>67</v>
      </c>
      <c r="B64" s="165">
        <f>DATE(23,7,1)</f>
        <v>8583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DATE(23,8,1)</f>
        <v>8614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DATE(23,9,1)</f>
        <v>8645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x14ac:dyDescent="0.25">
      <c r="A67" s="164"/>
      <c r="B67" s="165">
        <f>DATE(23,10,1)</f>
        <v>8675</v>
      </c>
      <c r="C67" s="226">
        <v>0</v>
      </c>
      <c r="D67" s="226">
        <v>0</v>
      </c>
      <c r="E67" s="226">
        <v>0</v>
      </c>
      <c r="F67" s="166">
        <v>0</v>
      </c>
      <c r="G67" s="241">
        <v>0</v>
      </c>
      <c r="H67" s="242">
        <v>0</v>
      </c>
    </row>
    <row r="68" spans="1:8" ht="15.75" x14ac:dyDescent="0.25">
      <c r="A68" s="164"/>
      <c r="B68" s="165">
        <f>DATE(23,11,1)</f>
        <v>8706</v>
      </c>
      <c r="C68" s="226">
        <v>0</v>
      </c>
      <c r="D68" s="226">
        <v>0</v>
      </c>
      <c r="E68" s="226">
        <v>0</v>
      </c>
      <c r="F68" s="166">
        <v>0</v>
      </c>
      <c r="G68" s="241">
        <v>0</v>
      </c>
      <c r="H68" s="242">
        <v>0</v>
      </c>
    </row>
    <row r="69" spans="1:8" ht="15.75" x14ac:dyDescent="0.25">
      <c r="A69" s="164"/>
      <c r="B69" s="165">
        <f>DATE(23,12,1)</f>
        <v>8736</v>
      </c>
      <c r="C69" s="226">
        <v>0</v>
      </c>
      <c r="D69" s="226">
        <v>0</v>
      </c>
      <c r="E69" s="226">
        <v>0</v>
      </c>
      <c r="F69" s="166">
        <v>0</v>
      </c>
      <c r="G69" s="241">
        <v>0</v>
      </c>
      <c r="H69" s="242">
        <v>0</v>
      </c>
    </row>
    <row r="70" spans="1:8" ht="15.75" thickBot="1" x14ac:dyDescent="0.25">
      <c r="A70" s="167"/>
      <c r="B70" s="165"/>
      <c r="C70" s="226"/>
      <c r="D70" s="226"/>
      <c r="E70" s="226"/>
      <c r="F70" s="166"/>
      <c r="G70" s="241"/>
      <c r="H70" s="242"/>
    </row>
    <row r="71" spans="1:8" ht="17.25" thickTop="1" thickBot="1" x14ac:dyDescent="0.3">
      <c r="A71" s="174" t="s">
        <v>14</v>
      </c>
      <c r="B71" s="175"/>
      <c r="C71" s="228">
        <f>SUM(C64:C70)</f>
        <v>0</v>
      </c>
      <c r="D71" s="230">
        <f>SUM(D64:D70)</f>
        <v>0</v>
      </c>
      <c r="E71" s="271">
        <f>SUM(E64:E70)</f>
        <v>0</v>
      </c>
      <c r="F71" s="176">
        <v>0</v>
      </c>
      <c r="G71" s="245">
        <v>0</v>
      </c>
      <c r="H71" s="246">
        <v>0</v>
      </c>
    </row>
    <row r="72" spans="1:8" ht="15.75" thickTop="1" x14ac:dyDescent="0.2">
      <c r="A72" s="167"/>
      <c r="B72" s="168"/>
      <c r="C72" s="226"/>
      <c r="D72" s="226"/>
      <c r="E72" s="226"/>
      <c r="F72" s="166"/>
      <c r="G72" s="241"/>
      <c r="H72" s="242"/>
    </row>
    <row r="73" spans="1:8" ht="15.75" x14ac:dyDescent="0.25">
      <c r="A73" s="164" t="s">
        <v>69</v>
      </c>
      <c r="B73" s="165">
        <f>DATE(23,7,1)</f>
        <v>8583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DATE(23,8,1)</f>
        <v>8614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DATE(23,9,1)</f>
        <v>8645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DATE(23,10,1)</f>
        <v>8675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DATE(23,11,1)</f>
        <v>8706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DATE(23,12,1)</f>
        <v>8736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5.75" thickBot="1" x14ac:dyDescent="0.25">
      <c r="A79" s="167"/>
      <c r="B79" s="165"/>
      <c r="C79" s="226"/>
      <c r="D79" s="226"/>
      <c r="E79" s="226"/>
      <c r="F79" s="166"/>
      <c r="G79" s="241"/>
      <c r="H79" s="242"/>
    </row>
    <row r="80" spans="1:8" ht="17.25" thickTop="1" thickBot="1" x14ac:dyDescent="0.3">
      <c r="A80" s="174" t="s">
        <v>14</v>
      </c>
      <c r="B80" s="175"/>
      <c r="C80" s="228">
        <f>SUM(C73:C79)</f>
        <v>0</v>
      </c>
      <c r="D80" s="230">
        <f>SUM(D73:D79)</f>
        <v>0</v>
      </c>
      <c r="E80" s="271">
        <f>SUM(E73:E79)</f>
        <v>0</v>
      </c>
      <c r="F80" s="176">
        <v>0</v>
      </c>
      <c r="G80" s="249">
        <v>0</v>
      </c>
      <c r="H80" s="270">
        <v>0</v>
      </c>
    </row>
    <row r="81" spans="1:8" ht="15.75" thickTop="1" x14ac:dyDescent="0.2">
      <c r="A81" s="167"/>
      <c r="B81" s="179"/>
      <c r="C81" s="229"/>
      <c r="D81" s="229"/>
      <c r="E81" s="229"/>
      <c r="F81" s="180"/>
      <c r="G81" s="247"/>
      <c r="H81" s="248"/>
    </row>
    <row r="82" spans="1:8" ht="15.75" x14ac:dyDescent="0.25">
      <c r="A82" s="164" t="s">
        <v>16</v>
      </c>
      <c r="B82" s="165">
        <f>DATE(23,7,1)</f>
        <v>8583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DATE(23,8,1)</f>
        <v>8614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DATE(23,9,1)</f>
        <v>8645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x14ac:dyDescent="0.25">
      <c r="A85" s="164"/>
      <c r="B85" s="165">
        <f>DATE(23,10,1)</f>
        <v>8675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DATE(23,11,1)</f>
        <v>8706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x14ac:dyDescent="0.25">
      <c r="A87" s="164"/>
      <c r="B87" s="165">
        <f>DATE(23,12,1)</f>
        <v>8736</v>
      </c>
      <c r="C87" s="226">
        <v>0</v>
      </c>
      <c r="D87" s="226">
        <v>0</v>
      </c>
      <c r="E87" s="226">
        <v>0</v>
      </c>
      <c r="F87" s="166">
        <v>0</v>
      </c>
      <c r="G87" s="241">
        <v>0</v>
      </c>
      <c r="H87" s="242">
        <v>0</v>
      </c>
    </row>
    <row r="88" spans="1:8" ht="16.5" thickBot="1" x14ac:dyDescent="0.3">
      <c r="A88" s="164"/>
      <c r="B88" s="165"/>
      <c r="C88" s="226"/>
      <c r="D88" s="226"/>
      <c r="E88" s="226"/>
      <c r="F88" s="166"/>
      <c r="G88" s="241"/>
      <c r="H88" s="242"/>
    </row>
    <row r="89" spans="1:8" ht="17.25" thickTop="1" thickBot="1" x14ac:dyDescent="0.3">
      <c r="A89" s="174" t="s">
        <v>14</v>
      </c>
      <c r="B89" s="181"/>
      <c r="C89" s="228">
        <f>SUM(C82:C88)</f>
        <v>0</v>
      </c>
      <c r="D89" s="228">
        <f>SUM(D82:D88)</f>
        <v>0</v>
      </c>
      <c r="E89" s="228">
        <f>SUM(E82:E88)</f>
        <v>0</v>
      </c>
      <c r="F89" s="176">
        <v>0</v>
      </c>
      <c r="G89" s="245">
        <v>0</v>
      </c>
      <c r="H89" s="246">
        <v>0</v>
      </c>
    </row>
    <row r="90" spans="1:8" ht="15.75" thickTop="1" x14ac:dyDescent="0.2">
      <c r="A90" s="171"/>
      <c r="B90" s="172"/>
      <c r="C90" s="227"/>
      <c r="D90" s="227"/>
      <c r="E90" s="227"/>
      <c r="F90" s="173"/>
      <c r="G90" s="243"/>
      <c r="H90" s="244"/>
    </row>
    <row r="91" spans="1:8" ht="15.75" x14ac:dyDescent="0.25">
      <c r="A91" s="164" t="s">
        <v>53</v>
      </c>
      <c r="B91" s="165">
        <f>DATE(23,7,1)</f>
        <v>8583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DATE(23,8,1)</f>
        <v>8614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DATE(23,9,1)</f>
        <v>8645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DATE(23,10,1)</f>
        <v>8675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DATE(23,11,1)</f>
        <v>8706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DATE(23,12,1)</f>
        <v>8736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5.75" thickBot="1" x14ac:dyDescent="0.25">
      <c r="A97" s="167"/>
      <c r="B97" s="168"/>
      <c r="C97" s="226"/>
      <c r="D97" s="226"/>
      <c r="E97" s="226"/>
      <c r="F97" s="166"/>
      <c r="G97" s="241"/>
      <c r="H97" s="242"/>
    </row>
    <row r="98" spans="1:8" ht="17.25" thickTop="1" thickBot="1" x14ac:dyDescent="0.3">
      <c r="A98" s="174" t="s">
        <v>14</v>
      </c>
      <c r="B98" s="175"/>
      <c r="C98" s="228">
        <f>SUM(C91:C97)</f>
        <v>0</v>
      </c>
      <c r="D98" s="228">
        <f>SUM(D91:D97)</f>
        <v>0</v>
      </c>
      <c r="E98" s="228">
        <f>SUM(E91:E97)</f>
        <v>0</v>
      </c>
      <c r="F98" s="176">
        <v>0</v>
      </c>
      <c r="G98" s="245">
        <v>0</v>
      </c>
      <c r="H98" s="246">
        <v>0</v>
      </c>
    </row>
    <row r="99" spans="1:8" ht="15.75" thickTop="1" x14ac:dyDescent="0.2">
      <c r="A99" s="167"/>
      <c r="B99" s="168"/>
      <c r="C99" s="226"/>
      <c r="D99" s="226"/>
      <c r="E99" s="226"/>
      <c r="F99" s="166"/>
      <c r="G99" s="241"/>
      <c r="H99" s="242"/>
    </row>
    <row r="100" spans="1:8" ht="15.75" x14ac:dyDescent="0.25">
      <c r="A100" s="164" t="s">
        <v>54</v>
      </c>
      <c r="B100" s="165">
        <f>DATE(23,7,1)</f>
        <v>8583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DATE(23,8,1)</f>
        <v>8614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DATE(23,9,1)</f>
        <v>8645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DATE(23,10,1)</f>
        <v>8675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DATE(23,11,1)</f>
        <v>8706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DATE(23,12,1)</f>
        <v>8736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5.75" thickBot="1" x14ac:dyDescent="0.25">
      <c r="A106" s="167"/>
      <c r="B106" s="168"/>
      <c r="C106" s="226"/>
      <c r="D106" s="226"/>
      <c r="E106" s="226"/>
      <c r="F106" s="166"/>
      <c r="G106" s="241"/>
      <c r="H106" s="242"/>
    </row>
    <row r="107" spans="1:8" ht="17.25" thickTop="1" thickBot="1" x14ac:dyDescent="0.3">
      <c r="A107" s="182" t="s">
        <v>14</v>
      </c>
      <c r="B107" s="183"/>
      <c r="C107" s="230">
        <f>SUM(C100:C106)</f>
        <v>0</v>
      </c>
      <c r="D107" s="230">
        <f>SUM(D100:D106)</f>
        <v>0</v>
      </c>
      <c r="E107" s="230">
        <f>SUM(E100:E106)</f>
        <v>0</v>
      </c>
      <c r="F107" s="176">
        <v>0</v>
      </c>
      <c r="G107" s="245">
        <v>0</v>
      </c>
      <c r="H107" s="246">
        <v>0</v>
      </c>
    </row>
    <row r="108" spans="1:8" ht="15.75" thickTop="1" x14ac:dyDescent="0.2">
      <c r="A108" s="167"/>
      <c r="B108" s="168"/>
      <c r="C108" s="226"/>
      <c r="D108" s="226"/>
      <c r="E108" s="226"/>
      <c r="F108" s="166"/>
      <c r="G108" s="241"/>
      <c r="H108" s="242"/>
    </row>
    <row r="109" spans="1:8" ht="15.75" x14ac:dyDescent="0.25">
      <c r="A109" s="164" t="s">
        <v>37</v>
      </c>
      <c r="B109" s="165">
        <f>DATE(23,7,1)</f>
        <v>8583</v>
      </c>
      <c r="C109" s="226">
        <v>3921585</v>
      </c>
      <c r="D109" s="226">
        <v>179389.2</v>
      </c>
      <c r="E109" s="226">
        <v>215844.68</v>
      </c>
      <c r="F109" s="166">
        <f t="shared" ref="F109:F114" si="0">+(D109-E109)/E109</f>
        <v>-0.16889681969460624</v>
      </c>
      <c r="G109" s="241">
        <f>+D109/C109</f>
        <v>4.5744055018570304E-2</v>
      </c>
      <c r="H109" s="289">
        <f>1-G109</f>
        <v>0.95425594498142974</v>
      </c>
    </row>
    <row r="110" spans="1:8" ht="15.75" x14ac:dyDescent="0.25">
      <c r="A110" s="164"/>
      <c r="B110" s="165">
        <f>DATE(23,8,1)</f>
        <v>8614</v>
      </c>
      <c r="C110" s="226">
        <v>4810863</v>
      </c>
      <c r="D110" s="226">
        <v>198288.36</v>
      </c>
      <c r="E110" s="226">
        <v>222475.66</v>
      </c>
      <c r="F110" s="166">
        <f t="shared" si="0"/>
        <v>-0.10871885940241741</v>
      </c>
      <c r="G110" s="241">
        <f>+D110/C110</f>
        <v>4.1216796238013845E-2</v>
      </c>
      <c r="H110" s="289">
        <f>1-G110</f>
        <v>0.95878320376198611</v>
      </c>
    </row>
    <row r="111" spans="1:8" ht="15.75" x14ac:dyDescent="0.25">
      <c r="A111" s="164"/>
      <c r="B111" s="165">
        <f>DATE(23,9,1)</f>
        <v>8645</v>
      </c>
      <c r="C111" s="226">
        <v>4650603.5</v>
      </c>
      <c r="D111" s="226">
        <v>223122.42</v>
      </c>
      <c r="E111" s="226">
        <v>213180.35</v>
      </c>
      <c r="F111" s="166">
        <f t="shared" si="0"/>
        <v>4.6636896880974284E-2</v>
      </c>
      <c r="G111" s="241">
        <f>+D111/C111</f>
        <v>4.797708942506064E-2</v>
      </c>
      <c r="H111" s="289">
        <f>1-G111</f>
        <v>0.95202291057493937</v>
      </c>
    </row>
    <row r="112" spans="1:8" ht="15.75" x14ac:dyDescent="0.25">
      <c r="A112" s="164"/>
      <c r="B112" s="165">
        <f>DATE(23,10,1)</f>
        <v>8675</v>
      </c>
      <c r="C112" s="226">
        <v>5353656.5</v>
      </c>
      <c r="D112" s="226">
        <v>233641.67</v>
      </c>
      <c r="E112" s="226">
        <v>197241.83</v>
      </c>
      <c r="F112" s="166">
        <f t="shared" si="0"/>
        <v>0.18454422167954956</v>
      </c>
      <c r="G112" s="241">
        <f>+D112/C112</f>
        <v>4.3641513048138222E-2</v>
      </c>
      <c r="H112" s="289">
        <f>1-G112</f>
        <v>0.95635848695186176</v>
      </c>
    </row>
    <row r="113" spans="1:8" ht="15.75" x14ac:dyDescent="0.25">
      <c r="A113" s="164"/>
      <c r="B113" s="165">
        <f>DATE(23,11,1)</f>
        <v>8706</v>
      </c>
      <c r="C113" s="226">
        <v>945680</v>
      </c>
      <c r="D113" s="226">
        <v>43064.43</v>
      </c>
      <c r="E113" s="226">
        <v>191836.78</v>
      </c>
      <c r="F113" s="166">
        <f t="shared" si="0"/>
        <v>-0.77551525833575818</v>
      </c>
      <c r="G113" s="241">
        <f>+D113/C113</f>
        <v>4.5538057270958464E-2</v>
      </c>
      <c r="H113" s="289">
        <f>1-G113</f>
        <v>0.9544619427290415</v>
      </c>
    </row>
    <row r="114" spans="1:8" ht="15.75" x14ac:dyDescent="0.25">
      <c r="A114" s="164"/>
      <c r="B114" s="165">
        <f>DATE(23,12,1)</f>
        <v>8736</v>
      </c>
      <c r="C114" s="226">
        <v>0</v>
      </c>
      <c r="D114" s="226">
        <v>0</v>
      </c>
      <c r="E114" s="226">
        <v>198418.76</v>
      </c>
      <c r="F114" s="166">
        <f t="shared" si="0"/>
        <v>-1</v>
      </c>
      <c r="G114" s="241">
        <v>0</v>
      </c>
      <c r="H114" s="289">
        <v>0</v>
      </c>
    </row>
    <row r="115" spans="1:8" ht="15.75" thickBot="1" x14ac:dyDescent="0.25">
      <c r="A115" s="167"/>
      <c r="B115" s="168"/>
      <c r="C115" s="226"/>
      <c r="D115" s="226"/>
      <c r="E115" s="226"/>
      <c r="F115" s="166"/>
      <c r="G115" s="241"/>
      <c r="H115" s="242"/>
    </row>
    <row r="116" spans="1:8" ht="17.25" thickTop="1" thickBot="1" x14ac:dyDescent="0.3">
      <c r="A116" s="174" t="s">
        <v>14</v>
      </c>
      <c r="B116" s="175"/>
      <c r="C116" s="228">
        <f>SUM(C109:C115)</f>
        <v>19682388</v>
      </c>
      <c r="D116" s="228">
        <f>SUM(D109:D115)</f>
        <v>877506.08000000007</v>
      </c>
      <c r="E116" s="228">
        <f>SUM(E109:E115)</f>
        <v>1238998.06</v>
      </c>
      <c r="F116" s="176">
        <f>+(D116-E116)/E116</f>
        <v>-0.29176153835139979</v>
      </c>
      <c r="G116" s="245">
        <f>+D116/C116</f>
        <v>4.4583313772698724E-2</v>
      </c>
      <c r="H116" s="246">
        <f>1-G116</f>
        <v>0.95541668622730125</v>
      </c>
    </row>
    <row r="117" spans="1:8" ht="15.75" thickTop="1" x14ac:dyDescent="0.2">
      <c r="A117" s="167"/>
      <c r="B117" s="168"/>
      <c r="C117" s="226"/>
      <c r="D117" s="226"/>
      <c r="E117" s="226"/>
      <c r="F117" s="166"/>
      <c r="G117" s="241"/>
      <c r="H117" s="242"/>
    </row>
    <row r="118" spans="1:8" ht="15.75" x14ac:dyDescent="0.25">
      <c r="A118" s="164" t="s">
        <v>57</v>
      </c>
      <c r="B118" s="165">
        <f>DATE(23,7,1)</f>
        <v>8583</v>
      </c>
      <c r="C118" s="226">
        <v>0</v>
      </c>
      <c r="D118" s="226">
        <v>0</v>
      </c>
      <c r="E118" s="226">
        <v>0</v>
      </c>
      <c r="F118" s="166">
        <v>0</v>
      </c>
      <c r="G118" s="241">
        <v>0</v>
      </c>
      <c r="H118" s="242">
        <v>0</v>
      </c>
    </row>
    <row r="119" spans="1:8" ht="15.75" x14ac:dyDescent="0.25">
      <c r="A119" s="164"/>
      <c r="B119" s="165">
        <f>DATE(23,8,1)</f>
        <v>8614</v>
      </c>
      <c r="C119" s="226">
        <v>0</v>
      </c>
      <c r="D119" s="226">
        <v>0</v>
      </c>
      <c r="E119" s="226">
        <v>0</v>
      </c>
      <c r="F119" s="166">
        <v>0</v>
      </c>
      <c r="G119" s="241">
        <v>0</v>
      </c>
      <c r="H119" s="242">
        <v>0</v>
      </c>
    </row>
    <row r="120" spans="1:8" ht="15.75" x14ac:dyDescent="0.25">
      <c r="A120" s="164"/>
      <c r="B120" s="165">
        <f>DATE(23,9,1)</f>
        <v>8645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DATE(23,10,1)</f>
        <v>8675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DATE(23,11,1)</f>
        <v>8706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DATE(23,12,1)</f>
        <v>8736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thickBot="1" x14ac:dyDescent="0.25">
      <c r="A124" s="167"/>
      <c r="B124" s="168"/>
      <c r="C124" s="226"/>
      <c r="D124" s="226"/>
      <c r="E124" s="226"/>
      <c r="F124" s="166"/>
      <c r="G124" s="241"/>
      <c r="H124" s="242"/>
    </row>
    <row r="125" spans="1:8" ht="17.25" thickTop="1" thickBot="1" x14ac:dyDescent="0.3">
      <c r="A125" s="169" t="s">
        <v>14</v>
      </c>
      <c r="B125" s="155"/>
      <c r="C125" s="223">
        <f>SUM(C118:C124)</f>
        <v>0</v>
      </c>
      <c r="D125" s="223">
        <f>SUM(D118:D124)</f>
        <v>0</v>
      </c>
      <c r="E125" s="223">
        <f>SUM(E118:E124)</f>
        <v>0</v>
      </c>
      <c r="F125" s="176">
        <v>0</v>
      </c>
      <c r="G125" s="245">
        <v>0</v>
      </c>
      <c r="H125" s="246">
        <v>0</v>
      </c>
    </row>
    <row r="126" spans="1:8" ht="16.5" thickTop="1" thickBot="1" x14ac:dyDescent="0.25">
      <c r="A126" s="171"/>
      <c r="B126" s="172"/>
      <c r="C126" s="227"/>
      <c r="D126" s="227"/>
      <c r="E126" s="227"/>
      <c r="F126" s="173"/>
      <c r="G126" s="243"/>
      <c r="H126" s="244"/>
    </row>
    <row r="127" spans="1:8" ht="17.25" thickTop="1" thickBot="1" x14ac:dyDescent="0.3">
      <c r="A127" s="184" t="s">
        <v>38</v>
      </c>
      <c r="B127" s="155"/>
      <c r="C127" s="223">
        <f>C125+C116+C89+C71+C53+C35+C17+C44+C107+C26+C80+C98+C62</f>
        <v>19682388</v>
      </c>
      <c r="D127" s="223">
        <f>D125+D116+D89+D71+D53+D35+D17+D44+D107+D26+D80+D98+D62</f>
        <v>877506.08000000007</v>
      </c>
      <c r="E127" s="223">
        <f>E125+E116+E89+E71+E53+E35+E17+E44+E107+E26+E80+E98+E62</f>
        <v>2560771.48</v>
      </c>
      <c r="F127" s="176">
        <f>+(D127-E127)/E127</f>
        <v>-0.65732745508396551</v>
      </c>
      <c r="G127" s="236">
        <f>D127/C127</f>
        <v>4.4583313772698724E-2</v>
      </c>
      <c r="H127" s="237">
        <f>1-G127</f>
        <v>0.95541668622730125</v>
      </c>
    </row>
    <row r="128" spans="1:8" ht="17.25" thickTop="1" thickBot="1" x14ac:dyDescent="0.3">
      <c r="A128" s="184"/>
      <c r="B128" s="155"/>
      <c r="C128" s="223"/>
      <c r="D128" s="223"/>
      <c r="E128" s="223"/>
      <c r="F128" s="170"/>
      <c r="G128" s="236"/>
      <c r="H128" s="237"/>
    </row>
    <row r="129" spans="1:8" ht="17.25" thickTop="1" thickBot="1" x14ac:dyDescent="0.3">
      <c r="A129" s="184" t="s">
        <v>39</v>
      </c>
      <c r="B129" s="155"/>
      <c r="C129" s="223">
        <f>+C15+C24+C33+C42+C51+C60+C69+C78+C87+C96+C105+C114+C123</f>
        <v>0</v>
      </c>
      <c r="D129" s="223">
        <f>+D15+D24+D33+D42+D51+D60+D69+D78+D87+D96+D105+D114+D123</f>
        <v>0</v>
      </c>
      <c r="E129" s="223">
        <f>+E15+E24+E33+E42+E51+E60+E69+E78+E87+E96+E105+E114+E123</f>
        <v>322502.78000000003</v>
      </c>
      <c r="F129" s="176">
        <f>+(D129-E129)/E129</f>
        <v>-1</v>
      </c>
      <c r="G129" s="236">
        <v>0</v>
      </c>
      <c r="H129" s="246">
        <v>0</v>
      </c>
    </row>
    <row r="130" spans="1:8" ht="16.5" thickTop="1" x14ac:dyDescent="0.25">
      <c r="A130" s="185"/>
      <c r="B130" s="186"/>
      <c r="C130" s="231"/>
      <c r="D130" s="231"/>
      <c r="E130" s="231"/>
      <c r="F130" s="187"/>
      <c r="G130" s="250"/>
      <c r="H130" s="250"/>
    </row>
    <row r="131" spans="1:8" ht="18.75" x14ac:dyDescent="0.3">
      <c r="A131" s="188" t="s">
        <v>49</v>
      </c>
      <c r="B131" s="189"/>
      <c r="C131" s="232"/>
      <c r="D131" s="232"/>
      <c r="E131" s="232"/>
      <c r="F131" s="190"/>
      <c r="G131" s="251"/>
      <c r="H131" s="251"/>
    </row>
    <row r="132" spans="1:8" ht="15.75" x14ac:dyDescent="0.25">
      <c r="A132" s="191"/>
      <c r="B132" s="189"/>
      <c r="C132" s="232"/>
      <c r="D132" s="232"/>
      <c r="E132" s="232"/>
      <c r="F132" s="190"/>
      <c r="G132" s="257"/>
      <c r="H132" s="257"/>
    </row>
  </sheetData>
  <printOptions horizontalCentered="1"/>
  <pageMargins left="0.7" right="0.45" top="0.25" bottom="0.25" header="0.3" footer="0.3"/>
  <pageSetup scale="65" orientation="landscape" r:id="rId1"/>
  <rowBreaks count="2" manualBreakCount="2">
    <brk id="53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33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79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78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5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thickBot="1" x14ac:dyDescent="0.25">
      <c r="A16" s="167"/>
      <c r="B16" s="168"/>
      <c r="C16" s="226"/>
      <c r="D16" s="226"/>
      <c r="E16" s="226"/>
      <c r="F16" s="166"/>
      <c r="G16" s="241"/>
      <c r="H16" s="242"/>
      <c r="I16" s="157"/>
    </row>
    <row r="17" spans="1:9" ht="17.25" thickTop="1" thickBot="1" x14ac:dyDescent="0.3">
      <c r="A17" s="169" t="s">
        <v>14</v>
      </c>
      <c r="B17" s="155"/>
      <c r="C17" s="223">
        <f>SUM(C10:C16)</f>
        <v>726478320.63</v>
      </c>
      <c r="D17" s="223">
        <f>SUM(D10:D16)</f>
        <v>66662756.289999999</v>
      </c>
      <c r="E17" s="223">
        <f>SUM(E10:E16)</f>
        <v>70021256.230000004</v>
      </c>
      <c r="F17" s="170">
        <f>(+D17-E17)/E17</f>
        <v>-4.7964005800871144E-2</v>
      </c>
      <c r="G17" s="236">
        <f>D17/C17</f>
        <v>9.1761521847190483E-2</v>
      </c>
      <c r="H17" s="237">
        <f>1-G17</f>
        <v>0.90823847815280956</v>
      </c>
      <c r="I17" s="157"/>
    </row>
    <row r="18" spans="1:9" ht="15.75" thickTop="1" x14ac:dyDescent="0.2">
      <c r="A18" s="171"/>
      <c r="B18" s="172"/>
      <c r="C18" s="227"/>
      <c r="D18" s="227"/>
      <c r="E18" s="227"/>
      <c r="F18" s="173"/>
      <c r="G18" s="243"/>
      <c r="H18" s="244"/>
      <c r="I18" s="157"/>
    </row>
    <row r="19" spans="1:9" ht="15.75" x14ac:dyDescent="0.25">
      <c r="A19" s="19" t="s">
        <v>48</v>
      </c>
      <c r="B19" s="165">
        <f>DATE(23,7,1)</f>
        <v>8583</v>
      </c>
      <c r="C19" s="226">
        <v>75800127.310000002</v>
      </c>
      <c r="D19" s="226">
        <v>7575374.3200000003</v>
      </c>
      <c r="E19" s="226">
        <v>7757914.71</v>
      </c>
      <c r="F19" s="166">
        <f t="shared" ref="F19:F24" si="3">(+D19-E19)/E19</f>
        <v>-2.3529569068954054E-2</v>
      </c>
      <c r="G19" s="241">
        <f t="shared" ref="G19:G24" si="4">D19/C19</f>
        <v>9.993880734552027E-2</v>
      </c>
      <c r="H19" s="242">
        <f t="shared" ref="H19:H24" si="5">1-G19</f>
        <v>0.9000611926544797</v>
      </c>
      <c r="I19" s="157"/>
    </row>
    <row r="20" spans="1:9" ht="15.75" x14ac:dyDescent="0.25">
      <c r="A20" s="19"/>
      <c r="B20" s="165">
        <f>DATE(23,8,1)</f>
        <v>8614</v>
      </c>
      <c r="C20" s="226">
        <v>70452827.459999993</v>
      </c>
      <c r="D20" s="226">
        <v>7089689.0300000003</v>
      </c>
      <c r="E20" s="226">
        <v>6870200.0300000003</v>
      </c>
      <c r="F20" s="166">
        <f t="shared" si="3"/>
        <v>3.1947978085290187E-2</v>
      </c>
      <c r="G20" s="241">
        <f t="shared" si="4"/>
        <v>0.1006302981101108</v>
      </c>
      <c r="H20" s="242">
        <f t="shared" si="5"/>
        <v>0.89936970188988918</v>
      </c>
      <c r="I20" s="157"/>
    </row>
    <row r="21" spans="1:9" ht="15.75" x14ac:dyDescent="0.25">
      <c r="A21" s="19"/>
      <c r="B21" s="165">
        <f>DATE(23,9,1)</f>
        <v>8645</v>
      </c>
      <c r="C21" s="226">
        <v>66505879.869999997</v>
      </c>
      <c r="D21" s="226">
        <v>6608716.9299999997</v>
      </c>
      <c r="E21" s="226">
        <v>7013550.54</v>
      </c>
      <c r="F21" s="166">
        <f t="shared" si="3"/>
        <v>-5.7721635809300141E-2</v>
      </c>
      <c r="G21" s="241">
        <f t="shared" si="4"/>
        <v>9.9370415712387444E-2</v>
      </c>
      <c r="H21" s="242">
        <f t="shared" si="5"/>
        <v>0.90062958428761253</v>
      </c>
      <c r="I21" s="157"/>
    </row>
    <row r="22" spans="1:9" ht="15.75" x14ac:dyDescent="0.25">
      <c r="A22" s="19"/>
      <c r="B22" s="165">
        <f>DATE(23,10,1)</f>
        <v>8675</v>
      </c>
      <c r="C22" s="226">
        <v>63554221.140000001</v>
      </c>
      <c r="D22" s="226">
        <v>6073572.6299999999</v>
      </c>
      <c r="E22" s="226">
        <v>6793373.3399999999</v>
      </c>
      <c r="F22" s="166">
        <f t="shared" si="3"/>
        <v>-0.10595630093840831</v>
      </c>
      <c r="G22" s="241">
        <f t="shared" si="4"/>
        <v>9.5565212208656769E-2</v>
      </c>
      <c r="H22" s="242">
        <f t="shared" si="5"/>
        <v>0.90443478779134323</v>
      </c>
      <c r="I22" s="157"/>
    </row>
    <row r="23" spans="1:9" ht="15.75" x14ac:dyDescent="0.25">
      <c r="A23" s="19"/>
      <c r="B23" s="165">
        <f>DATE(23,11,1)</f>
        <v>8706</v>
      </c>
      <c r="C23" s="226">
        <v>62962072.119999997</v>
      </c>
      <c r="D23" s="226">
        <v>6219601.8899999997</v>
      </c>
      <c r="E23" s="226">
        <v>6317939.5599999996</v>
      </c>
      <c r="F23" s="166">
        <f t="shared" si="3"/>
        <v>-1.5564832342270766E-2</v>
      </c>
      <c r="G23" s="241">
        <f t="shared" si="4"/>
        <v>9.8783310024263535E-2</v>
      </c>
      <c r="H23" s="242">
        <f t="shared" si="5"/>
        <v>0.90121668997573645</v>
      </c>
      <c r="I23" s="157"/>
    </row>
    <row r="24" spans="1:9" ht="15.75" x14ac:dyDescent="0.25">
      <c r="A24" s="19"/>
      <c r="B24" s="165">
        <f>DATE(23,12,1)</f>
        <v>8736</v>
      </c>
      <c r="C24" s="226">
        <v>71324672.930000007</v>
      </c>
      <c r="D24" s="226">
        <v>7129561.0199999996</v>
      </c>
      <c r="E24" s="226">
        <v>6662914.5199999996</v>
      </c>
      <c r="F24" s="166">
        <f t="shared" si="3"/>
        <v>7.003639302279388E-2</v>
      </c>
      <c r="G24" s="241">
        <f t="shared" si="4"/>
        <v>9.9959252908136662E-2</v>
      </c>
      <c r="H24" s="242">
        <f t="shared" si="5"/>
        <v>0.90004074709186332</v>
      </c>
      <c r="I24" s="157"/>
    </row>
    <row r="25" spans="1:9" ht="15.75" thickBot="1" x14ac:dyDescent="0.25">
      <c r="A25" s="167"/>
      <c r="B25" s="165"/>
      <c r="C25" s="226"/>
      <c r="D25" s="226"/>
      <c r="E25" s="226"/>
      <c r="F25" s="166"/>
      <c r="G25" s="241"/>
      <c r="H25" s="242"/>
      <c r="I25" s="157"/>
    </row>
    <row r="26" spans="1:9" ht="17.25" thickTop="1" thickBot="1" x14ac:dyDescent="0.3">
      <c r="A26" s="169" t="s">
        <v>14</v>
      </c>
      <c r="B26" s="155"/>
      <c r="C26" s="223">
        <f>SUM(C19:C25)</f>
        <v>410599800.82999998</v>
      </c>
      <c r="D26" s="223">
        <f>SUM(D19:D25)</f>
        <v>40696515.819999993</v>
      </c>
      <c r="E26" s="223">
        <f>SUM(E19:E25)</f>
        <v>41415892.700000003</v>
      </c>
      <c r="F26" s="170">
        <f>(+D26-E26)/E26</f>
        <v>-1.7369585275171677E-2</v>
      </c>
      <c r="G26" s="236">
        <f>D26/C26</f>
        <v>9.9114796786882786E-2</v>
      </c>
      <c r="H26" s="237">
        <f>1-G26</f>
        <v>0.90088520321311716</v>
      </c>
      <c r="I26" s="157"/>
    </row>
    <row r="27" spans="1:9" ht="15.75" thickTop="1" x14ac:dyDescent="0.2">
      <c r="A27" s="171"/>
      <c r="B27" s="172"/>
      <c r="C27" s="227"/>
      <c r="D27" s="227"/>
      <c r="E27" s="227"/>
      <c r="F27" s="173"/>
      <c r="G27" s="243"/>
      <c r="H27" s="244"/>
      <c r="I27" s="157"/>
    </row>
    <row r="28" spans="1:9" ht="15.75" x14ac:dyDescent="0.25">
      <c r="A28" s="19" t="s">
        <v>62</v>
      </c>
      <c r="B28" s="165">
        <f>DATE(23,7,1)</f>
        <v>8583</v>
      </c>
      <c r="C28" s="226">
        <v>37126873.899999999</v>
      </c>
      <c r="D28" s="226">
        <v>3728602.99</v>
      </c>
      <c r="E28" s="226">
        <v>3537425.2</v>
      </c>
      <c r="F28" s="166">
        <f t="shared" ref="F28:F33" si="6">(+D28-E28)/E28</f>
        <v>5.4044334280199065E-2</v>
      </c>
      <c r="G28" s="241">
        <f t="shared" ref="G28:G33" si="7">D28/C28</f>
        <v>0.10042868139242933</v>
      </c>
      <c r="H28" s="242">
        <f t="shared" ref="H28:H33" si="8">1-G28</f>
        <v>0.89957131860757067</v>
      </c>
      <c r="I28" s="157"/>
    </row>
    <row r="29" spans="1:9" ht="15.75" x14ac:dyDescent="0.25">
      <c r="A29" s="19"/>
      <c r="B29" s="165">
        <f>DATE(23,8,1)</f>
        <v>8614</v>
      </c>
      <c r="C29" s="226">
        <v>33173547.440000001</v>
      </c>
      <c r="D29" s="226">
        <v>3492885.71</v>
      </c>
      <c r="E29" s="226">
        <v>3224518.01</v>
      </c>
      <c r="F29" s="166">
        <f t="shared" si="6"/>
        <v>8.3227229361947402E-2</v>
      </c>
      <c r="G29" s="241">
        <f t="shared" si="7"/>
        <v>0.10529129320032708</v>
      </c>
      <c r="H29" s="242">
        <f t="shared" si="8"/>
        <v>0.89470870679967296</v>
      </c>
      <c r="I29" s="157"/>
    </row>
    <row r="30" spans="1:9" ht="15.75" x14ac:dyDescent="0.25">
      <c r="A30" s="19"/>
      <c r="B30" s="165">
        <f>DATE(23,9,1)</f>
        <v>8645</v>
      </c>
      <c r="C30" s="226">
        <v>34343922.799999997</v>
      </c>
      <c r="D30" s="226">
        <v>3669671.06</v>
      </c>
      <c r="E30" s="226">
        <v>3285954.25</v>
      </c>
      <c r="F30" s="166">
        <f t="shared" si="6"/>
        <v>0.11677484858469958</v>
      </c>
      <c r="G30" s="241">
        <f t="shared" si="7"/>
        <v>0.10685066704144817</v>
      </c>
      <c r="H30" s="242">
        <f t="shared" si="8"/>
        <v>0.89314933295855181</v>
      </c>
      <c r="I30" s="157"/>
    </row>
    <row r="31" spans="1:9" ht="15.75" x14ac:dyDescent="0.25">
      <c r="A31" s="19"/>
      <c r="B31" s="165">
        <f>DATE(23,10,1)</f>
        <v>8675</v>
      </c>
      <c r="C31" s="226">
        <v>31007658.719999999</v>
      </c>
      <c r="D31" s="226">
        <v>3409284.9</v>
      </c>
      <c r="E31" s="226">
        <v>3155435.74</v>
      </c>
      <c r="F31" s="166">
        <f t="shared" si="6"/>
        <v>8.0448210933935754E-2</v>
      </c>
      <c r="G31" s="241">
        <f t="shared" si="7"/>
        <v>0.10994976856479025</v>
      </c>
      <c r="H31" s="242">
        <f t="shared" si="8"/>
        <v>0.89005023143520978</v>
      </c>
      <c r="I31" s="157"/>
    </row>
    <row r="32" spans="1:9" ht="15.75" x14ac:dyDescent="0.25">
      <c r="A32" s="19"/>
      <c r="B32" s="165">
        <f>DATE(23,11,1)</f>
        <v>8706</v>
      </c>
      <c r="C32" s="226">
        <v>31665455.82</v>
      </c>
      <c r="D32" s="226">
        <v>3279489.54</v>
      </c>
      <c r="E32" s="226">
        <v>2805588.39</v>
      </c>
      <c r="F32" s="166">
        <f t="shared" si="6"/>
        <v>0.16891328453209056</v>
      </c>
      <c r="G32" s="241">
        <f t="shared" si="7"/>
        <v>0.10356678768946267</v>
      </c>
      <c r="H32" s="242">
        <f t="shared" si="8"/>
        <v>0.8964332123105373</v>
      </c>
      <c r="I32" s="157"/>
    </row>
    <row r="33" spans="1:9" ht="15.75" x14ac:dyDescent="0.25">
      <c r="A33" s="19"/>
      <c r="B33" s="165">
        <f>DATE(23,12,1)</f>
        <v>8736</v>
      </c>
      <c r="C33" s="226">
        <v>34846745.240000002</v>
      </c>
      <c r="D33" s="226">
        <v>3745372.22</v>
      </c>
      <c r="E33" s="226">
        <v>2840105.54</v>
      </c>
      <c r="F33" s="166">
        <f t="shared" si="6"/>
        <v>0.31874402808284374</v>
      </c>
      <c r="G33" s="241">
        <f t="shared" si="7"/>
        <v>0.10748126386566369</v>
      </c>
      <c r="H33" s="242">
        <f t="shared" si="8"/>
        <v>0.8925187361343363</v>
      </c>
      <c r="I33" s="157"/>
    </row>
    <row r="34" spans="1:9" ht="15.75" thickBot="1" x14ac:dyDescent="0.25">
      <c r="A34" s="167"/>
      <c r="B34" s="165"/>
      <c r="C34" s="226"/>
      <c r="D34" s="226"/>
      <c r="E34" s="226"/>
      <c r="F34" s="166"/>
      <c r="G34" s="241"/>
      <c r="H34" s="242"/>
      <c r="I34" s="157"/>
    </row>
    <row r="35" spans="1:9" ht="17.25" thickTop="1" thickBot="1" x14ac:dyDescent="0.3">
      <c r="A35" s="174" t="s">
        <v>14</v>
      </c>
      <c r="B35" s="175"/>
      <c r="C35" s="228">
        <f>SUM(C28:C34)</f>
        <v>202164203.92000002</v>
      </c>
      <c r="D35" s="228">
        <f>SUM(D28:D34)</f>
        <v>21325306.419999998</v>
      </c>
      <c r="E35" s="228">
        <f>SUM(E28:E34)</f>
        <v>18849027.130000003</v>
      </c>
      <c r="F35" s="176">
        <f>(+D35-E35)/E35</f>
        <v>0.13137438197320878</v>
      </c>
      <c r="G35" s="245">
        <f>D35/C35</f>
        <v>0.10548507602482783</v>
      </c>
      <c r="H35" s="246">
        <f>1-G35</f>
        <v>0.89451492397517218</v>
      </c>
      <c r="I35" s="157"/>
    </row>
    <row r="36" spans="1:9" ht="15.75" thickTop="1" x14ac:dyDescent="0.2">
      <c r="A36" s="167"/>
      <c r="B36" s="168"/>
      <c r="C36" s="226"/>
      <c r="D36" s="226"/>
      <c r="E36" s="226"/>
      <c r="F36" s="166"/>
      <c r="G36" s="241"/>
      <c r="H36" s="242"/>
      <c r="I36" s="157"/>
    </row>
    <row r="37" spans="1:9" ht="15.75" x14ac:dyDescent="0.25">
      <c r="A37" s="177" t="s">
        <v>58</v>
      </c>
      <c r="B37" s="165">
        <f>DATE(23,7,1)</f>
        <v>8583</v>
      </c>
      <c r="C37" s="226">
        <v>203652069.36000001</v>
      </c>
      <c r="D37" s="226">
        <v>18456668.579999998</v>
      </c>
      <c r="E37" s="226">
        <v>17880290.199999999</v>
      </c>
      <c r="F37" s="166">
        <f t="shared" ref="F37:F42" si="9">(+D37-E37)/E37</f>
        <v>3.2235404098754444E-2</v>
      </c>
      <c r="G37" s="241">
        <f t="shared" ref="G37:G42" si="10">D37/C37</f>
        <v>9.0628436224597153E-2</v>
      </c>
      <c r="H37" s="242">
        <f t="shared" ref="H37:H42" si="11">1-G37</f>
        <v>0.90937156377540285</v>
      </c>
      <c r="I37" s="157"/>
    </row>
    <row r="38" spans="1:9" ht="15.75" x14ac:dyDescent="0.25">
      <c r="A38" s="177"/>
      <c r="B38" s="165">
        <f>DATE(23,8,1)</f>
        <v>8614</v>
      </c>
      <c r="C38" s="226">
        <v>191968973.33000001</v>
      </c>
      <c r="D38" s="226">
        <v>17397451.300000001</v>
      </c>
      <c r="E38" s="226">
        <v>17060867.379999999</v>
      </c>
      <c r="F38" s="166">
        <f t="shared" si="9"/>
        <v>1.9728417817406526E-2</v>
      </c>
      <c r="G38" s="241">
        <f t="shared" si="10"/>
        <v>9.0626370492138314E-2</v>
      </c>
      <c r="H38" s="242">
        <f t="shared" si="11"/>
        <v>0.90937362950786171</v>
      </c>
      <c r="I38" s="157"/>
    </row>
    <row r="39" spans="1:9" ht="15.75" x14ac:dyDescent="0.25">
      <c r="A39" s="177"/>
      <c r="B39" s="165">
        <f>DATE(23,9,1)</f>
        <v>8645</v>
      </c>
      <c r="C39" s="226">
        <v>188961524.24000001</v>
      </c>
      <c r="D39" s="226">
        <v>17402399.579999998</v>
      </c>
      <c r="E39" s="226">
        <v>17061917.539999999</v>
      </c>
      <c r="F39" s="166">
        <f t="shared" si="9"/>
        <v>1.9955672579109133E-2</v>
      </c>
      <c r="G39" s="241">
        <f t="shared" si="10"/>
        <v>9.2094936522089083E-2</v>
      </c>
      <c r="H39" s="242">
        <f t="shared" si="11"/>
        <v>0.90790506347791089</v>
      </c>
      <c r="I39" s="157"/>
    </row>
    <row r="40" spans="1:9" ht="15.75" x14ac:dyDescent="0.25">
      <c r="A40" s="177"/>
      <c r="B40" s="165">
        <f>DATE(23,10,1)</f>
        <v>8675</v>
      </c>
      <c r="C40" s="226">
        <v>184357310.63</v>
      </c>
      <c r="D40" s="226">
        <v>16475993.380000001</v>
      </c>
      <c r="E40" s="226">
        <v>16341780.85</v>
      </c>
      <c r="F40" s="166">
        <f t="shared" si="9"/>
        <v>8.2128460314042934E-3</v>
      </c>
      <c r="G40" s="241">
        <f t="shared" si="10"/>
        <v>8.9369894384426454E-2</v>
      </c>
      <c r="H40" s="242">
        <f t="shared" si="11"/>
        <v>0.91063010561557356</v>
      </c>
      <c r="I40" s="157"/>
    </row>
    <row r="41" spans="1:9" ht="15.75" x14ac:dyDescent="0.25">
      <c r="A41" s="177"/>
      <c r="B41" s="165">
        <f>DATE(23,11,1)</f>
        <v>8706</v>
      </c>
      <c r="C41" s="226">
        <v>183237380.37</v>
      </c>
      <c r="D41" s="226">
        <v>16419604.9</v>
      </c>
      <c r="E41" s="226">
        <v>14923708.42</v>
      </c>
      <c r="F41" s="166">
        <f t="shared" si="9"/>
        <v>0.10023624409568842</v>
      </c>
      <c r="G41" s="241">
        <f t="shared" si="10"/>
        <v>8.9608380488985923E-2</v>
      </c>
      <c r="H41" s="242">
        <f t="shared" si="11"/>
        <v>0.91039161951101411</v>
      </c>
      <c r="I41" s="157"/>
    </row>
    <row r="42" spans="1:9" ht="15.75" x14ac:dyDescent="0.25">
      <c r="A42" s="177"/>
      <c r="B42" s="165">
        <f>DATE(23,12,1)</f>
        <v>8736</v>
      </c>
      <c r="C42" s="226">
        <v>251745355.72</v>
      </c>
      <c r="D42" s="226">
        <v>18063260.059999999</v>
      </c>
      <c r="E42" s="226">
        <v>16991042.620000001</v>
      </c>
      <c r="F42" s="166">
        <f t="shared" si="9"/>
        <v>6.3104864367646299E-2</v>
      </c>
      <c r="G42" s="241">
        <f t="shared" si="10"/>
        <v>7.1752108428528819E-2</v>
      </c>
      <c r="H42" s="242">
        <f t="shared" si="11"/>
        <v>0.92824789157147114</v>
      </c>
      <c r="I42" s="157"/>
    </row>
    <row r="43" spans="1:9" ht="15.75" thickBot="1" x14ac:dyDescent="0.25">
      <c r="A43" s="167"/>
      <c r="B43" s="168"/>
      <c r="C43" s="226"/>
      <c r="D43" s="226"/>
      <c r="E43" s="226"/>
      <c r="F43" s="166"/>
      <c r="G43" s="241"/>
      <c r="H43" s="242"/>
      <c r="I43" s="157"/>
    </row>
    <row r="44" spans="1:9" ht="17.25" thickTop="1" thickBot="1" x14ac:dyDescent="0.3">
      <c r="A44" s="174" t="s">
        <v>14</v>
      </c>
      <c r="B44" s="178"/>
      <c r="C44" s="228">
        <f>SUM(C37:C43)</f>
        <v>1203922613.6500001</v>
      </c>
      <c r="D44" s="228">
        <f>SUM(D37:D43)</f>
        <v>104215377.8</v>
      </c>
      <c r="E44" s="228">
        <f>SUM(E37:E43)</f>
        <v>100259607.01000001</v>
      </c>
      <c r="F44" s="176">
        <f>(+D44-E44)/E44</f>
        <v>3.9455279229305563E-2</v>
      </c>
      <c r="G44" s="245">
        <f>D44/C44</f>
        <v>8.6563186552368471E-2</v>
      </c>
      <c r="H44" s="246">
        <f>1-G44</f>
        <v>0.9134368134476315</v>
      </c>
      <c r="I44" s="157"/>
    </row>
    <row r="45" spans="1:9" ht="15.75" thickTop="1" x14ac:dyDescent="0.2">
      <c r="A45" s="167"/>
      <c r="B45" s="168"/>
      <c r="C45" s="226"/>
      <c r="D45" s="226"/>
      <c r="E45" s="226"/>
      <c r="F45" s="166"/>
      <c r="G45" s="241"/>
      <c r="H45" s="242"/>
      <c r="I45" s="157"/>
    </row>
    <row r="46" spans="1:9" ht="15.75" x14ac:dyDescent="0.25">
      <c r="A46" s="164" t="s">
        <v>60</v>
      </c>
      <c r="B46" s="165">
        <f>DATE(23,7,1)</f>
        <v>8583</v>
      </c>
      <c r="C46" s="226">
        <v>121881486.05</v>
      </c>
      <c r="D46" s="226">
        <v>12067335.59</v>
      </c>
      <c r="E46" s="226">
        <v>11877741.560000001</v>
      </c>
      <c r="F46" s="166">
        <f t="shared" ref="F46:F51" si="12">(+D46-E46)/E46</f>
        <v>1.5962127904725964E-2</v>
      </c>
      <c r="G46" s="241">
        <f t="shared" ref="G46:G51" si="13">D46/C46</f>
        <v>9.9008766475406795E-2</v>
      </c>
      <c r="H46" s="242">
        <f t="shared" ref="H46:H51" si="14">1-G46</f>
        <v>0.9009912335245932</v>
      </c>
      <c r="I46" s="157"/>
    </row>
    <row r="47" spans="1:9" ht="15.75" x14ac:dyDescent="0.25">
      <c r="A47" s="164"/>
      <c r="B47" s="165">
        <f>DATE(23,8,1)</f>
        <v>8614</v>
      </c>
      <c r="C47" s="226">
        <v>115554383.93000001</v>
      </c>
      <c r="D47" s="226">
        <v>10973674.99</v>
      </c>
      <c r="E47" s="226">
        <v>11399779.33</v>
      </c>
      <c r="F47" s="166">
        <f t="shared" si="12"/>
        <v>-3.7378297216565493E-2</v>
      </c>
      <c r="G47" s="241">
        <f t="shared" si="13"/>
        <v>9.4965457966939462E-2</v>
      </c>
      <c r="H47" s="242">
        <f t="shared" si="14"/>
        <v>0.90503454203306055</v>
      </c>
      <c r="I47" s="157"/>
    </row>
    <row r="48" spans="1:9" ht="15.75" x14ac:dyDescent="0.25">
      <c r="A48" s="164"/>
      <c r="B48" s="165">
        <f>DATE(23,9,1)</f>
        <v>8645</v>
      </c>
      <c r="C48" s="226">
        <v>112575369.23999999</v>
      </c>
      <c r="D48" s="226">
        <v>10801103.67</v>
      </c>
      <c r="E48" s="226">
        <v>10069352.810000001</v>
      </c>
      <c r="F48" s="166">
        <f t="shared" si="12"/>
        <v>7.2671091559458362E-2</v>
      </c>
      <c r="G48" s="241">
        <f t="shared" si="13"/>
        <v>9.5945531806101145E-2</v>
      </c>
      <c r="H48" s="242">
        <f t="shared" si="14"/>
        <v>0.9040544681938989</v>
      </c>
      <c r="I48" s="157"/>
    </row>
    <row r="49" spans="1:9" ht="15.75" x14ac:dyDescent="0.25">
      <c r="A49" s="164"/>
      <c r="B49" s="165">
        <f>DATE(23,10,1)</f>
        <v>8675</v>
      </c>
      <c r="C49" s="226">
        <v>105123042.13</v>
      </c>
      <c r="D49" s="226">
        <v>10564246.92</v>
      </c>
      <c r="E49" s="226">
        <v>10695374.6</v>
      </c>
      <c r="F49" s="166">
        <f t="shared" si="12"/>
        <v>-1.2260223218362048E-2</v>
      </c>
      <c r="G49" s="241">
        <f t="shared" si="13"/>
        <v>0.10049411343077158</v>
      </c>
      <c r="H49" s="242">
        <f t="shared" si="14"/>
        <v>0.89950588656922847</v>
      </c>
      <c r="I49" s="157"/>
    </row>
    <row r="50" spans="1:9" ht="15.75" x14ac:dyDescent="0.25">
      <c r="A50" s="164"/>
      <c r="B50" s="165">
        <f>DATE(23,11,1)</f>
        <v>8706</v>
      </c>
      <c r="C50" s="226">
        <v>100178994.58</v>
      </c>
      <c r="D50" s="226">
        <v>9910289.5700000003</v>
      </c>
      <c r="E50" s="226">
        <v>10611649.119999999</v>
      </c>
      <c r="F50" s="166">
        <f t="shared" si="12"/>
        <v>-6.6093360425773198E-2</v>
      </c>
      <c r="G50" s="241">
        <f t="shared" si="13"/>
        <v>9.8925823837111224E-2</v>
      </c>
      <c r="H50" s="242">
        <f t="shared" si="14"/>
        <v>0.90107417616288876</v>
      </c>
      <c r="I50" s="157"/>
    </row>
    <row r="51" spans="1:9" ht="15.75" x14ac:dyDescent="0.25">
      <c r="A51" s="164"/>
      <c r="B51" s="165">
        <f>DATE(23,12,1)</f>
        <v>8736</v>
      </c>
      <c r="C51" s="226">
        <v>122205739.61</v>
      </c>
      <c r="D51" s="226">
        <v>11817185.1</v>
      </c>
      <c r="E51" s="226">
        <v>11067872.5</v>
      </c>
      <c r="F51" s="166">
        <f t="shared" si="12"/>
        <v>6.7701593056840842E-2</v>
      </c>
      <c r="G51" s="241">
        <f t="shared" si="13"/>
        <v>9.6699100530896906E-2</v>
      </c>
      <c r="H51" s="242">
        <f t="shared" si="14"/>
        <v>0.90330089946910308</v>
      </c>
      <c r="I51" s="157"/>
    </row>
    <row r="52" spans="1:9" ht="15.75" thickBot="1" x14ac:dyDescent="0.25">
      <c r="A52" s="167"/>
      <c r="B52" s="165"/>
      <c r="C52" s="226"/>
      <c r="D52" s="226"/>
      <c r="E52" s="226"/>
      <c r="F52" s="166"/>
      <c r="G52" s="241"/>
      <c r="H52" s="242"/>
      <c r="I52" s="157"/>
    </row>
    <row r="53" spans="1:9" ht="17.25" thickTop="1" thickBot="1" x14ac:dyDescent="0.3">
      <c r="A53" s="174" t="s">
        <v>14</v>
      </c>
      <c r="B53" s="175"/>
      <c r="C53" s="228">
        <f>SUM(C46:C52)</f>
        <v>677519015.54000008</v>
      </c>
      <c r="D53" s="230">
        <f>SUM(D46:D52)</f>
        <v>66133835.840000004</v>
      </c>
      <c r="E53" s="271">
        <f>SUM(E46:E52)</f>
        <v>65721769.920000002</v>
      </c>
      <c r="F53" s="272">
        <f>(+D53-E53)/E53</f>
        <v>6.2698542735776918E-3</v>
      </c>
      <c r="G53" s="249">
        <f>D53/C53</f>
        <v>9.761177815398972E-2</v>
      </c>
      <c r="H53" s="270">
        <f>1-G53</f>
        <v>0.90238822184601031</v>
      </c>
      <c r="I53" s="157"/>
    </row>
    <row r="54" spans="1:9" ht="15.75" thickTop="1" x14ac:dyDescent="0.2">
      <c r="A54" s="167"/>
      <c r="B54" s="168"/>
      <c r="C54" s="226"/>
      <c r="D54" s="226"/>
      <c r="E54" s="226"/>
      <c r="F54" s="166"/>
      <c r="G54" s="241"/>
      <c r="H54" s="242"/>
      <c r="I54" s="157"/>
    </row>
    <row r="55" spans="1:9" ht="15.75" x14ac:dyDescent="0.25">
      <c r="A55" s="164" t="s">
        <v>64</v>
      </c>
      <c r="B55" s="165">
        <f>DATE(23,7,1)</f>
        <v>8583</v>
      </c>
      <c r="C55" s="226">
        <v>53239780.990000002</v>
      </c>
      <c r="D55" s="226">
        <v>5575819.8300000001</v>
      </c>
      <c r="E55" s="226">
        <v>5559220.0999999996</v>
      </c>
      <c r="F55" s="166">
        <f t="shared" ref="F55:F60" si="15">(+D55-E55)/E55</f>
        <v>2.9859817926619686E-3</v>
      </c>
      <c r="G55" s="241">
        <f t="shared" ref="G55:G60" si="16">D55/C55</f>
        <v>0.10473032995848167</v>
      </c>
      <c r="H55" s="242">
        <f t="shared" ref="H55:H60" si="17">1-G55</f>
        <v>0.89526967004151836</v>
      </c>
      <c r="I55" s="157"/>
    </row>
    <row r="56" spans="1:9" ht="15.75" x14ac:dyDescent="0.25">
      <c r="A56" s="164"/>
      <c r="B56" s="165">
        <f>DATE(23,8,1)</f>
        <v>8614</v>
      </c>
      <c r="C56" s="226">
        <v>49967048.579999998</v>
      </c>
      <c r="D56" s="226">
        <v>5122977.68</v>
      </c>
      <c r="E56" s="226">
        <v>4834999.09</v>
      </c>
      <c r="F56" s="166">
        <f t="shared" si="15"/>
        <v>5.9561250093223876E-2</v>
      </c>
      <c r="G56" s="241">
        <f t="shared" si="16"/>
        <v>0.10252712188509254</v>
      </c>
      <c r="H56" s="242">
        <f t="shared" si="17"/>
        <v>0.8974728781149075</v>
      </c>
      <c r="I56" s="157"/>
    </row>
    <row r="57" spans="1:9" ht="15.75" x14ac:dyDescent="0.25">
      <c r="A57" s="164"/>
      <c r="B57" s="165">
        <f>DATE(23,9,1)</f>
        <v>8645</v>
      </c>
      <c r="C57" s="226">
        <v>48479872.609999999</v>
      </c>
      <c r="D57" s="226">
        <v>4693957.13</v>
      </c>
      <c r="E57" s="226">
        <v>4841899.8</v>
      </c>
      <c r="F57" s="166">
        <f t="shared" si="15"/>
        <v>-3.0554674014526266E-2</v>
      </c>
      <c r="G57" s="241">
        <f t="shared" si="16"/>
        <v>9.6822802480544715E-2</v>
      </c>
      <c r="H57" s="242">
        <f t="shared" si="17"/>
        <v>0.90317719751945524</v>
      </c>
      <c r="I57" s="157"/>
    </row>
    <row r="58" spans="1:9" ht="15.75" x14ac:dyDescent="0.25">
      <c r="A58" s="164"/>
      <c r="B58" s="165">
        <f>DATE(23,10,1)</f>
        <v>8675</v>
      </c>
      <c r="C58" s="226">
        <v>45241468.390000001</v>
      </c>
      <c r="D58" s="226">
        <v>4687600.6900000004</v>
      </c>
      <c r="E58" s="226">
        <v>4853868.22</v>
      </c>
      <c r="F58" s="166">
        <f t="shared" si="15"/>
        <v>-3.4254644432847689E-2</v>
      </c>
      <c r="G58" s="241">
        <f t="shared" si="16"/>
        <v>0.10361292099520204</v>
      </c>
      <c r="H58" s="242">
        <f t="shared" si="17"/>
        <v>0.89638707900479797</v>
      </c>
      <c r="I58" s="157"/>
    </row>
    <row r="59" spans="1:9" ht="15.75" x14ac:dyDescent="0.25">
      <c r="A59" s="164"/>
      <c r="B59" s="165">
        <f>DATE(23,11,1)</f>
        <v>8706</v>
      </c>
      <c r="C59" s="226">
        <v>44523750.759999998</v>
      </c>
      <c r="D59" s="226">
        <v>4597031.58</v>
      </c>
      <c r="E59" s="226">
        <v>4436643.53</v>
      </c>
      <c r="F59" s="166">
        <f t="shared" si="15"/>
        <v>3.6150763277571642E-2</v>
      </c>
      <c r="G59" s="241">
        <f t="shared" si="16"/>
        <v>0.10324897389664572</v>
      </c>
      <c r="H59" s="242">
        <f t="shared" si="17"/>
        <v>0.89675102610335422</v>
      </c>
      <c r="I59" s="157"/>
    </row>
    <row r="60" spans="1:9" ht="15.75" x14ac:dyDescent="0.25">
      <c r="A60" s="164"/>
      <c r="B60" s="165">
        <f>DATE(23,12,1)</f>
        <v>8736</v>
      </c>
      <c r="C60" s="226">
        <v>51918260.539999999</v>
      </c>
      <c r="D60" s="226">
        <v>5308528.92</v>
      </c>
      <c r="E60" s="226">
        <v>4878718.8099999996</v>
      </c>
      <c r="F60" s="166">
        <f t="shared" si="15"/>
        <v>8.809897162324884E-2</v>
      </c>
      <c r="G60" s="241">
        <f t="shared" si="16"/>
        <v>0.10224781926024057</v>
      </c>
      <c r="H60" s="242">
        <f t="shared" si="17"/>
        <v>0.89775218073975949</v>
      </c>
      <c r="I60" s="157"/>
    </row>
    <row r="61" spans="1:9" ht="15.75" thickBot="1" x14ac:dyDescent="0.25">
      <c r="A61" s="167"/>
      <c r="B61" s="165"/>
      <c r="C61" s="226"/>
      <c r="D61" s="226"/>
      <c r="E61" s="226"/>
      <c r="F61" s="166"/>
      <c r="G61" s="241"/>
      <c r="H61" s="242"/>
      <c r="I61" s="157"/>
    </row>
    <row r="62" spans="1:9" ht="17.25" thickTop="1" thickBot="1" x14ac:dyDescent="0.3">
      <c r="A62" s="174" t="s">
        <v>14</v>
      </c>
      <c r="B62" s="175"/>
      <c r="C62" s="228">
        <f>SUM(C55:C61)</f>
        <v>293370181.87</v>
      </c>
      <c r="D62" s="230">
        <f>SUM(D55:D61)</f>
        <v>29985915.830000006</v>
      </c>
      <c r="E62" s="271">
        <f>SUM(E55:E61)</f>
        <v>29405349.549999997</v>
      </c>
      <c r="F62" s="272">
        <f>(+D62-E62)/E62</f>
        <v>1.9743559892489312E-2</v>
      </c>
      <c r="G62" s="249">
        <f>D62/C62</f>
        <v>0.1022118732001453</v>
      </c>
      <c r="H62" s="270">
        <f>1-G62</f>
        <v>0.89778812679985465</v>
      </c>
      <c r="I62" s="157"/>
    </row>
    <row r="63" spans="1:9" ht="15.75" thickTop="1" x14ac:dyDescent="0.2">
      <c r="A63" s="167"/>
      <c r="B63" s="168"/>
      <c r="C63" s="226"/>
      <c r="D63" s="226"/>
      <c r="E63" s="226"/>
      <c r="F63" s="166"/>
      <c r="G63" s="241"/>
      <c r="H63" s="242"/>
      <c r="I63" s="157"/>
    </row>
    <row r="64" spans="1:9" ht="15.75" x14ac:dyDescent="0.25">
      <c r="A64" s="290" t="s">
        <v>67</v>
      </c>
      <c r="B64" s="165">
        <f>DATE(23,7,1)</f>
        <v>8583</v>
      </c>
      <c r="C64" s="226">
        <v>89298695.370000005</v>
      </c>
      <c r="D64" s="226">
        <v>9977929.8800000008</v>
      </c>
      <c r="E64" s="226">
        <v>9654928.8200000003</v>
      </c>
      <c r="F64" s="166">
        <f t="shared" ref="F64:F69" si="18">(+D64-E64)/E64</f>
        <v>3.3454525250451353E-2</v>
      </c>
      <c r="G64" s="241">
        <f t="shared" ref="G64:G69" si="19">D64/C64</f>
        <v>0.11173656948354586</v>
      </c>
      <c r="H64" s="242">
        <f t="shared" ref="H64:H69" si="20">1-G64</f>
        <v>0.88826343051645418</v>
      </c>
      <c r="I64" s="157"/>
    </row>
    <row r="65" spans="1:9" ht="15.75" x14ac:dyDescent="0.25">
      <c r="A65" s="290"/>
      <c r="B65" s="165">
        <f>DATE(23,8,1)</f>
        <v>8614</v>
      </c>
      <c r="C65" s="226">
        <v>89627706.310000002</v>
      </c>
      <c r="D65" s="226">
        <v>9956028.8800000008</v>
      </c>
      <c r="E65" s="226">
        <v>9270730.9700000007</v>
      </c>
      <c r="F65" s="166">
        <f t="shared" si="18"/>
        <v>7.3920590751432425E-2</v>
      </c>
      <c r="G65" s="241">
        <f t="shared" si="19"/>
        <v>0.11108204471466186</v>
      </c>
      <c r="H65" s="242">
        <f t="shared" si="20"/>
        <v>0.88891795528533812</v>
      </c>
      <c r="I65" s="157"/>
    </row>
    <row r="66" spans="1:9" ht="15.75" x14ac:dyDescent="0.25">
      <c r="A66" s="290"/>
      <c r="B66" s="165">
        <f>DATE(23,9,1)</f>
        <v>8645</v>
      </c>
      <c r="C66" s="226">
        <v>95507709.879999995</v>
      </c>
      <c r="D66" s="226">
        <v>10479555.779999999</v>
      </c>
      <c r="E66" s="226">
        <v>9440089.3000000007</v>
      </c>
      <c r="F66" s="166">
        <f t="shared" si="18"/>
        <v>0.11011193294537992</v>
      </c>
      <c r="G66" s="241">
        <f t="shared" si="19"/>
        <v>0.10972471011153932</v>
      </c>
      <c r="H66" s="242">
        <f t="shared" si="20"/>
        <v>0.89027528988846072</v>
      </c>
      <c r="I66" s="157"/>
    </row>
    <row r="67" spans="1:9" ht="15.75" x14ac:dyDescent="0.25">
      <c r="A67" s="290"/>
      <c r="B67" s="165">
        <f>DATE(23,10,1)</f>
        <v>8675</v>
      </c>
      <c r="C67" s="226">
        <v>94703586.390000001</v>
      </c>
      <c r="D67" s="226">
        <v>10708668.119999999</v>
      </c>
      <c r="E67" s="226">
        <v>9283650.1199999992</v>
      </c>
      <c r="F67" s="166">
        <f t="shared" si="18"/>
        <v>0.15349759863634327</v>
      </c>
      <c r="G67" s="241">
        <f t="shared" si="19"/>
        <v>0.1130756344949863</v>
      </c>
      <c r="H67" s="242">
        <f t="shared" si="20"/>
        <v>0.88692436550501375</v>
      </c>
      <c r="I67" s="157"/>
    </row>
    <row r="68" spans="1:9" ht="15.75" x14ac:dyDescent="0.25">
      <c r="A68" s="290"/>
      <c r="B68" s="165">
        <f>DATE(23,11,1)</f>
        <v>8706</v>
      </c>
      <c r="C68" s="226">
        <v>94033257.400000006</v>
      </c>
      <c r="D68" s="226">
        <v>10522780.289999999</v>
      </c>
      <c r="E68" s="226">
        <v>9336104.8499999996</v>
      </c>
      <c r="F68" s="166">
        <f t="shared" si="18"/>
        <v>0.12710605322732632</v>
      </c>
      <c r="G68" s="241">
        <f t="shared" si="19"/>
        <v>0.11190487898593204</v>
      </c>
      <c r="H68" s="242">
        <f t="shared" si="20"/>
        <v>0.88809512101406796</v>
      </c>
      <c r="I68" s="157"/>
    </row>
    <row r="69" spans="1:9" ht="15.75" x14ac:dyDescent="0.25">
      <c r="A69" s="290"/>
      <c r="B69" s="165">
        <f>DATE(23,12,1)</f>
        <v>8736</v>
      </c>
      <c r="C69" s="226">
        <v>96743255.180000007</v>
      </c>
      <c r="D69" s="226">
        <v>10765230.130000001</v>
      </c>
      <c r="E69" s="226">
        <v>9794618.4299999997</v>
      </c>
      <c r="F69" s="166">
        <f t="shared" si="18"/>
        <v>9.9096427996327896E-2</v>
      </c>
      <c r="G69" s="241">
        <f t="shared" si="19"/>
        <v>0.11127628597952662</v>
      </c>
      <c r="H69" s="242">
        <f t="shared" si="20"/>
        <v>0.88872371402047334</v>
      </c>
      <c r="I69" s="157"/>
    </row>
    <row r="70" spans="1:9" ht="15.75" thickBot="1" x14ac:dyDescent="0.25">
      <c r="A70" s="167"/>
      <c r="B70" s="165"/>
      <c r="C70" s="226"/>
      <c r="D70" s="226"/>
      <c r="E70" s="226"/>
      <c r="F70" s="166"/>
      <c r="G70" s="241"/>
      <c r="H70" s="242"/>
      <c r="I70" s="157"/>
    </row>
    <row r="71" spans="1:9" ht="17.25" thickTop="1" thickBot="1" x14ac:dyDescent="0.3">
      <c r="A71" s="174" t="s">
        <v>14</v>
      </c>
      <c r="B71" s="175"/>
      <c r="C71" s="228">
        <f>SUM(C64:C70)</f>
        <v>559914210.52999997</v>
      </c>
      <c r="D71" s="230">
        <f>SUM(D64:D70)</f>
        <v>62410193.079999998</v>
      </c>
      <c r="E71" s="271">
        <f>SUM(E64:E70)</f>
        <v>56780122.490000002</v>
      </c>
      <c r="F71" s="272">
        <f>(+D71-E71)/E71</f>
        <v>9.9155661226189726E-2</v>
      </c>
      <c r="G71" s="249">
        <f>D71/C71</f>
        <v>0.11146384911524956</v>
      </c>
      <c r="H71" s="270">
        <f>1-G71</f>
        <v>0.88853615088475046</v>
      </c>
      <c r="I71" s="157"/>
    </row>
    <row r="72" spans="1:9" ht="15.75" thickTop="1" x14ac:dyDescent="0.2">
      <c r="A72" s="167"/>
      <c r="B72" s="168"/>
      <c r="C72" s="226"/>
      <c r="D72" s="226"/>
      <c r="E72" s="226"/>
      <c r="F72" s="166"/>
      <c r="G72" s="241"/>
      <c r="H72" s="242"/>
      <c r="I72" s="157"/>
    </row>
    <row r="73" spans="1:9" ht="15.75" x14ac:dyDescent="0.25">
      <c r="A73" s="164" t="s">
        <v>69</v>
      </c>
      <c r="B73" s="165">
        <f>DATE(23,7,1)</f>
        <v>8583</v>
      </c>
      <c r="C73" s="226">
        <v>121213119.26000001</v>
      </c>
      <c r="D73" s="226">
        <v>12329543.52</v>
      </c>
      <c r="E73" s="226">
        <v>11762621.74</v>
      </c>
      <c r="F73" s="166">
        <f t="shared" ref="F73:F78" si="21">(+D73-E73)/E73</f>
        <v>4.8196889480184822E-2</v>
      </c>
      <c r="G73" s="241">
        <f t="shared" ref="G73:G78" si="22">D73/C73</f>
        <v>0.10171789650552054</v>
      </c>
      <c r="H73" s="242">
        <f t="shared" ref="H73:H78" si="23">1-G73</f>
        <v>0.89828210349447946</v>
      </c>
      <c r="I73" s="157"/>
    </row>
    <row r="74" spans="1:9" ht="15.75" x14ac:dyDescent="0.25">
      <c r="A74" s="164"/>
      <c r="B74" s="165">
        <f>DATE(23,8,1)</f>
        <v>8614</v>
      </c>
      <c r="C74" s="226">
        <v>112407031.68000001</v>
      </c>
      <c r="D74" s="226">
        <v>11665095.210000001</v>
      </c>
      <c r="E74" s="226">
        <v>12540537.029999999</v>
      </c>
      <c r="F74" s="166">
        <f t="shared" si="21"/>
        <v>-6.9808957774753169E-2</v>
      </c>
      <c r="G74" s="241">
        <f t="shared" si="22"/>
        <v>0.10377549371829477</v>
      </c>
      <c r="H74" s="242">
        <f t="shared" si="23"/>
        <v>0.89622450628170525</v>
      </c>
      <c r="I74" s="157"/>
    </row>
    <row r="75" spans="1:9" ht="15.75" x14ac:dyDescent="0.25">
      <c r="A75" s="164"/>
      <c r="B75" s="165">
        <f>DATE(23,9,1)</f>
        <v>8645</v>
      </c>
      <c r="C75" s="226">
        <v>114671749.77</v>
      </c>
      <c r="D75" s="226">
        <v>12009719.560000001</v>
      </c>
      <c r="E75" s="226">
        <v>12203478.51</v>
      </c>
      <c r="F75" s="166">
        <f t="shared" si="21"/>
        <v>-1.58773541364641E-2</v>
      </c>
      <c r="G75" s="241">
        <f t="shared" si="22"/>
        <v>0.10473128372147626</v>
      </c>
      <c r="H75" s="242">
        <f t="shared" si="23"/>
        <v>0.89526871627852378</v>
      </c>
      <c r="I75" s="157"/>
    </row>
    <row r="76" spans="1:9" ht="15.75" x14ac:dyDescent="0.25">
      <c r="A76" s="164"/>
      <c r="B76" s="165">
        <f>DATE(23,10,1)</f>
        <v>8675</v>
      </c>
      <c r="C76" s="226">
        <v>104976582.06999999</v>
      </c>
      <c r="D76" s="226">
        <v>10536048.18</v>
      </c>
      <c r="E76" s="226">
        <v>11570843.18</v>
      </c>
      <c r="F76" s="166">
        <f t="shared" si="21"/>
        <v>-8.9431252666929667E-2</v>
      </c>
      <c r="G76" s="241">
        <f t="shared" si="22"/>
        <v>0.10036570035185945</v>
      </c>
      <c r="H76" s="242">
        <f t="shared" si="23"/>
        <v>0.89963429964814057</v>
      </c>
      <c r="I76" s="157"/>
    </row>
    <row r="77" spans="1:9" ht="15.75" x14ac:dyDescent="0.25">
      <c r="A77" s="164"/>
      <c r="B77" s="165">
        <f>DATE(23,11,1)</f>
        <v>8706</v>
      </c>
      <c r="C77" s="226">
        <v>104619738.67</v>
      </c>
      <c r="D77" s="226">
        <v>10666938.560000001</v>
      </c>
      <c r="E77" s="226">
        <v>10635557.710000001</v>
      </c>
      <c r="F77" s="166">
        <f t="shared" si="21"/>
        <v>2.9505598912310943E-3</v>
      </c>
      <c r="G77" s="241">
        <f t="shared" si="22"/>
        <v>0.10195913979145481</v>
      </c>
      <c r="H77" s="242">
        <f t="shared" si="23"/>
        <v>0.89804086020854523</v>
      </c>
      <c r="I77" s="157"/>
    </row>
    <row r="78" spans="1:9" ht="15.75" x14ac:dyDescent="0.25">
      <c r="A78" s="164"/>
      <c r="B78" s="165">
        <f>DATE(23,12,1)</f>
        <v>8736</v>
      </c>
      <c r="C78" s="226">
        <v>121790851.01000001</v>
      </c>
      <c r="D78" s="226">
        <v>12581706.52</v>
      </c>
      <c r="E78" s="226">
        <v>11765807.74</v>
      </c>
      <c r="F78" s="166">
        <f t="shared" si="21"/>
        <v>6.9344901602140185E-2</v>
      </c>
      <c r="G78" s="241">
        <f t="shared" si="22"/>
        <v>0.10330584289099795</v>
      </c>
      <c r="H78" s="242">
        <f t="shared" si="23"/>
        <v>0.89669415710900202</v>
      </c>
      <c r="I78" s="157"/>
    </row>
    <row r="79" spans="1:9" ht="15.75" thickBot="1" x14ac:dyDescent="0.25">
      <c r="A79" s="167"/>
      <c r="B79" s="165"/>
      <c r="C79" s="226"/>
      <c r="D79" s="226"/>
      <c r="E79" s="226"/>
      <c r="F79" s="166"/>
      <c r="G79" s="241"/>
      <c r="H79" s="242"/>
      <c r="I79" s="157"/>
    </row>
    <row r="80" spans="1:9" ht="17.25" thickTop="1" thickBot="1" x14ac:dyDescent="0.3">
      <c r="A80" s="174" t="s">
        <v>14</v>
      </c>
      <c r="B80" s="175"/>
      <c r="C80" s="228">
        <f>SUM(C73:C79)</f>
        <v>679679072.45999992</v>
      </c>
      <c r="D80" s="230">
        <f>SUM(D73:D79)</f>
        <v>69789051.549999997</v>
      </c>
      <c r="E80" s="271">
        <f>SUM(E73:E79)</f>
        <v>70478845.909999996</v>
      </c>
      <c r="F80" s="176">
        <f>(+D80-E80)/E80</f>
        <v>-9.7872539070922408E-3</v>
      </c>
      <c r="G80" s="249">
        <f>D80/C80</f>
        <v>0.10267941794560283</v>
      </c>
      <c r="H80" s="270">
        <f>1-G80</f>
        <v>0.89732058205439713</v>
      </c>
      <c r="I80" s="157"/>
    </row>
    <row r="81" spans="1:9" ht="15.75" thickTop="1" x14ac:dyDescent="0.2">
      <c r="A81" s="167"/>
      <c r="B81" s="179"/>
      <c r="C81" s="229"/>
      <c r="D81" s="229"/>
      <c r="E81" s="229"/>
      <c r="F81" s="180"/>
      <c r="G81" s="247"/>
      <c r="H81" s="248"/>
      <c r="I81" s="157"/>
    </row>
    <row r="82" spans="1:9" ht="15.75" x14ac:dyDescent="0.25">
      <c r="A82" s="164" t="s">
        <v>16</v>
      </c>
      <c r="B82" s="165">
        <f>DATE(23,7,1)</f>
        <v>8583</v>
      </c>
      <c r="C82" s="226">
        <v>160295640.59</v>
      </c>
      <c r="D82" s="226">
        <v>15534932.51</v>
      </c>
      <c r="E82" s="226">
        <v>15914314.48</v>
      </c>
      <c r="F82" s="166">
        <f t="shared" ref="F82:F87" si="24">(+D82-E82)/E82</f>
        <v>-2.383903940548501E-2</v>
      </c>
      <c r="G82" s="241">
        <f t="shared" ref="G82:G87" si="25">D82/C82</f>
        <v>9.691425451634611E-2</v>
      </c>
      <c r="H82" s="242">
        <f t="shared" ref="H82:H87" si="26">1-G82</f>
        <v>0.90308574548365383</v>
      </c>
      <c r="I82" s="157"/>
    </row>
    <row r="83" spans="1:9" ht="15.75" x14ac:dyDescent="0.25">
      <c r="A83" s="164"/>
      <c r="B83" s="165">
        <f>DATE(23,8,1)</f>
        <v>8614</v>
      </c>
      <c r="C83" s="226">
        <v>149700012.46000001</v>
      </c>
      <c r="D83" s="226">
        <v>14573354.48</v>
      </c>
      <c r="E83" s="226">
        <v>14340389.18</v>
      </c>
      <c r="F83" s="166">
        <f t="shared" si="24"/>
        <v>1.6245395928648064E-2</v>
      </c>
      <c r="G83" s="241">
        <f t="shared" si="25"/>
        <v>9.7350389225211428E-2</v>
      </c>
      <c r="H83" s="242">
        <f t="shared" si="26"/>
        <v>0.90264961077478856</v>
      </c>
      <c r="I83" s="157"/>
    </row>
    <row r="84" spans="1:9" ht="15.75" x14ac:dyDescent="0.25">
      <c r="A84" s="164"/>
      <c r="B84" s="165">
        <f>DATE(23,9,1)</f>
        <v>8645</v>
      </c>
      <c r="C84" s="226">
        <v>152315348.52000001</v>
      </c>
      <c r="D84" s="226">
        <v>14733622.32</v>
      </c>
      <c r="E84" s="226">
        <v>15068846.289999999</v>
      </c>
      <c r="F84" s="166">
        <f t="shared" si="24"/>
        <v>-2.2246160293138063E-2</v>
      </c>
      <c r="G84" s="241">
        <f t="shared" si="25"/>
        <v>9.6731041639348508E-2</v>
      </c>
      <c r="H84" s="242">
        <f t="shared" si="26"/>
        <v>0.90326895836065146</v>
      </c>
      <c r="I84" s="157"/>
    </row>
    <row r="85" spans="1:9" ht="15.75" x14ac:dyDescent="0.25">
      <c r="A85" s="164"/>
      <c r="B85" s="165">
        <f>DATE(23,10,1)</f>
        <v>8675</v>
      </c>
      <c r="C85" s="226">
        <v>141638869.83000001</v>
      </c>
      <c r="D85" s="226">
        <v>13951699.710000001</v>
      </c>
      <c r="E85" s="226">
        <v>14552868.960000001</v>
      </c>
      <c r="F85" s="166">
        <f t="shared" si="24"/>
        <v>-4.1309328878887941E-2</v>
      </c>
      <c r="G85" s="241">
        <f t="shared" si="25"/>
        <v>9.8501913540720312E-2</v>
      </c>
      <c r="H85" s="242">
        <f t="shared" si="26"/>
        <v>0.90149808645927965</v>
      </c>
      <c r="I85" s="157"/>
    </row>
    <row r="86" spans="1:9" ht="15.75" x14ac:dyDescent="0.25">
      <c r="A86" s="164"/>
      <c r="B86" s="165">
        <f>DATE(23,11,1)</f>
        <v>8706</v>
      </c>
      <c r="C86" s="226">
        <v>135854742.69</v>
      </c>
      <c r="D86" s="226">
        <v>12735247.210000001</v>
      </c>
      <c r="E86" s="226">
        <v>13319735.5</v>
      </c>
      <c r="F86" s="166">
        <f t="shared" si="24"/>
        <v>-4.3881373620369493E-2</v>
      </c>
      <c r="G86" s="241">
        <f t="shared" si="25"/>
        <v>9.374164609814109E-2</v>
      </c>
      <c r="H86" s="242">
        <f t="shared" si="26"/>
        <v>0.90625835390185894</v>
      </c>
      <c r="I86" s="157"/>
    </row>
    <row r="87" spans="1:9" ht="15.75" x14ac:dyDescent="0.25">
      <c r="A87" s="164"/>
      <c r="B87" s="165">
        <f>DATE(23,12,1)</f>
        <v>8736</v>
      </c>
      <c r="C87" s="226">
        <v>163571833.31</v>
      </c>
      <c r="D87" s="226">
        <v>15817366.869999999</v>
      </c>
      <c r="E87" s="226">
        <v>14436386.73</v>
      </c>
      <c r="F87" s="166">
        <f t="shared" si="24"/>
        <v>9.5659680349945764E-2</v>
      </c>
      <c r="G87" s="241">
        <f t="shared" si="25"/>
        <v>9.6699820194733985E-2</v>
      </c>
      <c r="H87" s="242">
        <f t="shared" si="26"/>
        <v>0.903300179805266</v>
      </c>
      <c r="I87" s="157"/>
    </row>
    <row r="88" spans="1:9" ht="15.75" customHeight="1" thickBot="1" x14ac:dyDescent="0.3">
      <c r="A88" s="164"/>
      <c r="B88" s="165"/>
      <c r="C88" s="226"/>
      <c r="D88" s="226"/>
      <c r="E88" s="226"/>
      <c r="F88" s="166"/>
      <c r="G88" s="241"/>
      <c r="H88" s="242"/>
      <c r="I88" s="157"/>
    </row>
    <row r="89" spans="1:9" ht="17.25" thickTop="1" thickBot="1" x14ac:dyDescent="0.3">
      <c r="A89" s="174" t="s">
        <v>14</v>
      </c>
      <c r="B89" s="181"/>
      <c r="C89" s="228">
        <f>SUM(C82:C88)</f>
        <v>903376447.4000001</v>
      </c>
      <c r="D89" s="228">
        <f>SUM(D82:D88)</f>
        <v>87346223.100000009</v>
      </c>
      <c r="E89" s="228">
        <f>SUM(E82:E88)</f>
        <v>87632541.140000001</v>
      </c>
      <c r="F89" s="176">
        <f>(+D89-E89)/E89</f>
        <v>-3.2672570745446677E-3</v>
      </c>
      <c r="G89" s="245">
        <f>D89/C89</f>
        <v>9.6688621173809011E-2</v>
      </c>
      <c r="H89" s="246">
        <f>1-G89</f>
        <v>0.90331137882619095</v>
      </c>
      <c r="I89" s="157"/>
    </row>
    <row r="90" spans="1:9" ht="15.75" thickTop="1" x14ac:dyDescent="0.2">
      <c r="A90" s="171"/>
      <c r="B90" s="172"/>
      <c r="C90" s="227"/>
      <c r="D90" s="227"/>
      <c r="E90" s="227"/>
      <c r="F90" s="173"/>
      <c r="G90" s="243"/>
      <c r="H90" s="244"/>
      <c r="I90" s="157"/>
    </row>
    <row r="91" spans="1:9" ht="15.75" x14ac:dyDescent="0.25">
      <c r="A91" s="164" t="s">
        <v>53</v>
      </c>
      <c r="B91" s="165">
        <f>DATE(23,7,1)</f>
        <v>8583</v>
      </c>
      <c r="C91" s="226">
        <v>214046132.72999999</v>
      </c>
      <c r="D91" s="226">
        <v>19538214.289999999</v>
      </c>
      <c r="E91" s="226">
        <v>19656587.449999999</v>
      </c>
      <c r="F91" s="166">
        <f t="shared" ref="F91:F96" si="27">(+D91-E91)/E91</f>
        <v>-6.022060558634767E-3</v>
      </c>
      <c r="G91" s="241">
        <f t="shared" ref="G91:G96" si="28">D91/C91</f>
        <v>9.1280389142305629E-2</v>
      </c>
      <c r="H91" s="242">
        <f t="shared" ref="H91:H96" si="29">1-G91</f>
        <v>0.90871961085769437</v>
      </c>
      <c r="I91" s="157"/>
    </row>
    <row r="92" spans="1:9" ht="15.75" x14ac:dyDescent="0.25">
      <c r="A92" s="164"/>
      <c r="B92" s="165">
        <f>DATE(23,8,1)</f>
        <v>8614</v>
      </c>
      <c r="C92" s="226">
        <v>203623905.31</v>
      </c>
      <c r="D92" s="226">
        <v>18436883.300000001</v>
      </c>
      <c r="E92" s="226">
        <v>17776767.91</v>
      </c>
      <c r="F92" s="166">
        <f t="shared" si="27"/>
        <v>3.7133600063972518E-2</v>
      </c>
      <c r="G92" s="241">
        <f t="shared" si="28"/>
        <v>9.0543805610306019E-2</v>
      </c>
      <c r="H92" s="242">
        <f t="shared" si="29"/>
        <v>0.90945619438969394</v>
      </c>
      <c r="I92" s="157"/>
    </row>
    <row r="93" spans="1:9" ht="15.75" x14ac:dyDescent="0.25">
      <c r="A93" s="164"/>
      <c r="B93" s="165">
        <f>DATE(23,9,1)</f>
        <v>8645</v>
      </c>
      <c r="C93" s="226">
        <v>197195020.69</v>
      </c>
      <c r="D93" s="226">
        <v>17898589.149999999</v>
      </c>
      <c r="E93" s="226">
        <v>17845168.100000001</v>
      </c>
      <c r="F93" s="166">
        <f t="shared" si="27"/>
        <v>2.9935862582318299E-3</v>
      </c>
      <c r="G93" s="241">
        <f t="shared" si="28"/>
        <v>9.0765928507583554E-2</v>
      </c>
      <c r="H93" s="242">
        <f t="shared" si="29"/>
        <v>0.90923407149241642</v>
      </c>
      <c r="I93" s="157"/>
    </row>
    <row r="94" spans="1:9" ht="15.75" x14ac:dyDescent="0.25">
      <c r="A94" s="164"/>
      <c r="B94" s="165">
        <f>DATE(23,10,1)</f>
        <v>8675</v>
      </c>
      <c r="C94" s="226">
        <v>192922839.52000001</v>
      </c>
      <c r="D94" s="226">
        <v>17533849.43</v>
      </c>
      <c r="E94" s="226">
        <v>17788599.370000001</v>
      </c>
      <c r="F94" s="166">
        <f t="shared" si="27"/>
        <v>-1.4320966743993926E-2</v>
      </c>
      <c r="G94" s="241">
        <f t="shared" si="28"/>
        <v>9.0885296285421371E-2</v>
      </c>
      <c r="H94" s="242">
        <f t="shared" si="29"/>
        <v>0.90911470371457859</v>
      </c>
      <c r="I94" s="157"/>
    </row>
    <row r="95" spans="1:9" ht="15.75" x14ac:dyDescent="0.25">
      <c r="A95" s="164"/>
      <c r="B95" s="165">
        <f>DATE(23,11,1)</f>
        <v>8706</v>
      </c>
      <c r="C95" s="226">
        <v>193570145.53</v>
      </c>
      <c r="D95" s="226">
        <v>17317167.579999998</v>
      </c>
      <c r="E95" s="226">
        <v>17618885.149999999</v>
      </c>
      <c r="F95" s="166">
        <f t="shared" si="27"/>
        <v>-1.7124668640001908E-2</v>
      </c>
      <c r="G95" s="241">
        <f t="shared" si="28"/>
        <v>8.9461975309183914E-2</v>
      </c>
      <c r="H95" s="242">
        <f t="shared" si="29"/>
        <v>0.91053802469081613</v>
      </c>
      <c r="I95" s="157"/>
    </row>
    <row r="96" spans="1:9" ht="15.75" x14ac:dyDescent="0.25">
      <c r="A96" s="164"/>
      <c r="B96" s="165">
        <f>DATE(23,12,1)</f>
        <v>8736</v>
      </c>
      <c r="C96" s="226">
        <v>208744378.69</v>
      </c>
      <c r="D96" s="226">
        <v>19257637.91</v>
      </c>
      <c r="E96" s="226">
        <v>18411025.469999999</v>
      </c>
      <c r="F96" s="166">
        <f t="shared" si="27"/>
        <v>4.5983991569590793E-2</v>
      </c>
      <c r="G96" s="241">
        <f t="shared" si="28"/>
        <v>9.225464192546684E-2</v>
      </c>
      <c r="H96" s="242">
        <f t="shared" si="29"/>
        <v>0.90774535807453316</v>
      </c>
      <c r="I96" s="157"/>
    </row>
    <row r="97" spans="1:9" ht="15.75" thickBot="1" x14ac:dyDescent="0.25">
      <c r="A97" s="167"/>
      <c r="B97" s="168"/>
      <c r="C97" s="226"/>
      <c r="D97" s="226"/>
      <c r="E97" s="226"/>
      <c r="F97" s="166"/>
      <c r="G97" s="241"/>
      <c r="H97" s="242"/>
      <c r="I97" s="157"/>
    </row>
    <row r="98" spans="1:9" ht="17.25" thickTop="1" thickBot="1" x14ac:dyDescent="0.3">
      <c r="A98" s="174" t="s">
        <v>14</v>
      </c>
      <c r="B98" s="175"/>
      <c r="C98" s="228">
        <f>SUM(C91:C97)</f>
        <v>1210102422.47</v>
      </c>
      <c r="D98" s="228">
        <f>SUM(D91:D97)</f>
        <v>109982341.66</v>
      </c>
      <c r="E98" s="228">
        <f>SUM(E91:E97)</f>
        <v>109097033.44999999</v>
      </c>
      <c r="F98" s="176">
        <f>(+D98-E98)/E98</f>
        <v>8.1148696898871407E-3</v>
      </c>
      <c r="G98" s="249">
        <f>D98/C98</f>
        <v>9.0886803974418617E-2</v>
      </c>
      <c r="H98" s="270">
        <f>1-G98</f>
        <v>0.90911319602558138</v>
      </c>
      <c r="I98" s="157"/>
    </row>
    <row r="99" spans="1:9" ht="15.75" thickTop="1" x14ac:dyDescent="0.2">
      <c r="A99" s="167"/>
      <c r="B99" s="168"/>
      <c r="C99" s="226"/>
      <c r="D99" s="226"/>
      <c r="E99" s="226"/>
      <c r="F99" s="166"/>
      <c r="G99" s="241"/>
      <c r="H99" s="242"/>
      <c r="I99" s="157"/>
    </row>
    <row r="100" spans="1:9" ht="15.75" x14ac:dyDescent="0.25">
      <c r="A100" s="164" t="s">
        <v>54</v>
      </c>
      <c r="B100" s="165">
        <f>DATE(23,7,1)</f>
        <v>8583</v>
      </c>
      <c r="C100" s="226">
        <v>28158647.050000001</v>
      </c>
      <c r="D100" s="226">
        <v>3124210.48</v>
      </c>
      <c r="E100" s="226">
        <v>3220140.18</v>
      </c>
      <c r="F100" s="166">
        <f t="shared" ref="F100:F105" si="30">(+D100-E100)/E100</f>
        <v>-2.9790535392158046E-2</v>
      </c>
      <c r="G100" s="241">
        <f t="shared" ref="G100:G105" si="31">D100/C100</f>
        <v>0.11095030505025631</v>
      </c>
      <c r="H100" s="242">
        <f t="shared" ref="H100:H105" si="32">1-G100</f>
        <v>0.88904969494974373</v>
      </c>
      <c r="I100" s="157"/>
    </row>
    <row r="101" spans="1:9" ht="15.75" x14ac:dyDescent="0.25">
      <c r="A101" s="164"/>
      <c r="B101" s="165">
        <f>DATE(23,8,1)</f>
        <v>8614</v>
      </c>
      <c r="C101" s="226">
        <v>24636212.309999999</v>
      </c>
      <c r="D101" s="226">
        <v>2824739.23</v>
      </c>
      <c r="E101" s="226">
        <v>2910388.06</v>
      </c>
      <c r="F101" s="166">
        <f t="shared" si="30"/>
        <v>-2.94286632003294E-2</v>
      </c>
      <c r="G101" s="241">
        <f t="shared" si="31"/>
        <v>0.11465801619404863</v>
      </c>
      <c r="H101" s="242">
        <f t="shared" si="32"/>
        <v>0.88534198380595142</v>
      </c>
      <c r="I101" s="157"/>
    </row>
    <row r="102" spans="1:9" ht="15.75" x14ac:dyDescent="0.25">
      <c r="A102" s="164"/>
      <c r="B102" s="165">
        <f>DATE(23,9,1)</f>
        <v>8645</v>
      </c>
      <c r="C102" s="226">
        <v>25252043.170000002</v>
      </c>
      <c r="D102" s="226">
        <v>2831375.91</v>
      </c>
      <c r="E102" s="226">
        <v>3079109.35</v>
      </c>
      <c r="F102" s="166">
        <f t="shared" si="30"/>
        <v>-8.045620075168812E-2</v>
      </c>
      <c r="G102" s="241">
        <f t="shared" si="31"/>
        <v>0.11212462654759511</v>
      </c>
      <c r="H102" s="242">
        <f t="shared" si="32"/>
        <v>0.88787537345240486</v>
      </c>
      <c r="I102" s="157"/>
    </row>
    <row r="103" spans="1:9" ht="15.75" x14ac:dyDescent="0.25">
      <c r="A103" s="164"/>
      <c r="B103" s="165">
        <f>DATE(23,10,1)</f>
        <v>8675</v>
      </c>
      <c r="C103" s="226">
        <v>25583626.219999999</v>
      </c>
      <c r="D103" s="226">
        <v>3046238.53</v>
      </c>
      <c r="E103" s="226">
        <v>3026739.97</v>
      </c>
      <c r="F103" s="166">
        <f t="shared" si="30"/>
        <v>6.4420994843503486E-3</v>
      </c>
      <c r="G103" s="241">
        <f t="shared" si="31"/>
        <v>0.11906984974704653</v>
      </c>
      <c r="H103" s="242">
        <f t="shared" si="32"/>
        <v>0.88093015025295351</v>
      </c>
      <c r="I103" s="157"/>
    </row>
    <row r="104" spans="1:9" ht="15.75" x14ac:dyDescent="0.25">
      <c r="A104" s="164"/>
      <c r="B104" s="165">
        <f>DATE(23,11,1)</f>
        <v>8706</v>
      </c>
      <c r="C104" s="226">
        <v>26619923.899999999</v>
      </c>
      <c r="D104" s="226">
        <v>2721817.54</v>
      </c>
      <c r="E104" s="226">
        <v>2771028.1</v>
      </c>
      <c r="F104" s="166">
        <f t="shared" si="30"/>
        <v>-1.7758953797689766E-2</v>
      </c>
      <c r="G104" s="241">
        <f t="shared" si="31"/>
        <v>0.10224738245776879</v>
      </c>
      <c r="H104" s="242">
        <f t="shared" si="32"/>
        <v>0.89775261754223123</v>
      </c>
      <c r="I104" s="157"/>
    </row>
    <row r="105" spans="1:9" ht="15.75" x14ac:dyDescent="0.25">
      <c r="A105" s="164"/>
      <c r="B105" s="165">
        <f>DATE(23,12,1)</f>
        <v>8736</v>
      </c>
      <c r="C105" s="226">
        <v>28602763.739999998</v>
      </c>
      <c r="D105" s="226">
        <v>3202742.31</v>
      </c>
      <c r="E105" s="226">
        <v>3065877.72</v>
      </c>
      <c r="F105" s="166">
        <f t="shared" si="30"/>
        <v>4.4641242247587046E-2</v>
      </c>
      <c r="G105" s="241">
        <f t="shared" si="31"/>
        <v>0.11197317640746279</v>
      </c>
      <c r="H105" s="242">
        <f t="shared" si="32"/>
        <v>0.88802682359253726</v>
      </c>
      <c r="I105" s="157"/>
    </row>
    <row r="106" spans="1:9" ht="15.75" thickBot="1" x14ac:dyDescent="0.25">
      <c r="A106" s="167"/>
      <c r="B106" s="168"/>
      <c r="C106" s="226"/>
      <c r="D106" s="226"/>
      <c r="E106" s="226"/>
      <c r="F106" s="166"/>
      <c r="G106" s="241"/>
      <c r="H106" s="242"/>
      <c r="I106" s="157"/>
    </row>
    <row r="107" spans="1:9" ht="17.25" thickTop="1" thickBot="1" x14ac:dyDescent="0.3">
      <c r="A107" s="182" t="s">
        <v>14</v>
      </c>
      <c r="B107" s="183"/>
      <c r="C107" s="230">
        <f>SUM(C100:C106)</f>
        <v>158853216.39000002</v>
      </c>
      <c r="D107" s="230">
        <f>SUM(D100:D106)</f>
        <v>17751124</v>
      </c>
      <c r="E107" s="230">
        <f>SUM(E100:E106)</f>
        <v>18073283.379999999</v>
      </c>
      <c r="F107" s="176">
        <f>(+D107-E107)/E107</f>
        <v>-1.7825171731468695E-2</v>
      </c>
      <c r="G107" s="249">
        <f>D107/C107</f>
        <v>0.11174544905920741</v>
      </c>
      <c r="H107" s="246">
        <f>1-G107</f>
        <v>0.88825455094079264</v>
      </c>
      <c r="I107" s="157"/>
    </row>
    <row r="108" spans="1:9" ht="15.75" thickTop="1" x14ac:dyDescent="0.2">
      <c r="A108" s="167"/>
      <c r="B108" s="168"/>
      <c r="C108" s="226"/>
      <c r="D108" s="226"/>
      <c r="E108" s="226"/>
      <c r="F108" s="166"/>
      <c r="G108" s="241"/>
      <c r="H108" s="242"/>
      <c r="I108" s="157"/>
    </row>
    <row r="109" spans="1:9" ht="15.75" x14ac:dyDescent="0.25">
      <c r="A109" s="164" t="s">
        <v>37</v>
      </c>
      <c r="B109" s="165">
        <f>DATE(23,7,1)</f>
        <v>8583</v>
      </c>
      <c r="C109" s="226">
        <v>221709382.90000001</v>
      </c>
      <c r="D109" s="226">
        <v>20800777.710000001</v>
      </c>
      <c r="E109" s="226">
        <v>21735779.219999999</v>
      </c>
      <c r="F109" s="166">
        <f t="shared" ref="F109:F114" si="33">(+D109-E109)/E109</f>
        <v>-4.3016700737356771E-2</v>
      </c>
      <c r="G109" s="241">
        <f t="shared" ref="G109:G114" si="34">D109/C109</f>
        <v>9.3820015363905468E-2</v>
      </c>
      <c r="H109" s="242">
        <f t="shared" ref="H109:H114" si="35">1-G109</f>
        <v>0.9061799846360945</v>
      </c>
      <c r="I109" s="157"/>
    </row>
    <row r="110" spans="1:9" ht="15.75" x14ac:dyDescent="0.25">
      <c r="A110" s="164"/>
      <c r="B110" s="165">
        <f>DATE(23,8,1)</f>
        <v>8614</v>
      </c>
      <c r="C110" s="226">
        <v>209669300.15000001</v>
      </c>
      <c r="D110" s="226">
        <v>20038616.34</v>
      </c>
      <c r="E110" s="226">
        <v>20453352.670000002</v>
      </c>
      <c r="F110" s="166">
        <f t="shared" si="33"/>
        <v>-2.0277180797274245E-2</v>
      </c>
      <c r="G110" s="241">
        <f t="shared" si="34"/>
        <v>9.5572486413910501E-2</v>
      </c>
      <c r="H110" s="242">
        <f t="shared" si="35"/>
        <v>0.90442751358608953</v>
      </c>
      <c r="I110" s="157"/>
    </row>
    <row r="111" spans="1:9" ht="15.75" x14ac:dyDescent="0.25">
      <c r="A111" s="164"/>
      <c r="B111" s="165">
        <f>DATE(23,9,1)</f>
        <v>8645</v>
      </c>
      <c r="C111" s="226">
        <v>204140702.06999999</v>
      </c>
      <c r="D111" s="226">
        <v>19545369.489999998</v>
      </c>
      <c r="E111" s="226">
        <v>19785542.02</v>
      </c>
      <c r="F111" s="166">
        <f t="shared" si="33"/>
        <v>-1.2138789513940301E-2</v>
      </c>
      <c r="G111" s="241">
        <f t="shared" si="34"/>
        <v>9.574459817081396E-2</v>
      </c>
      <c r="H111" s="242">
        <f t="shared" si="35"/>
        <v>0.90425540182918607</v>
      </c>
      <c r="I111" s="157"/>
    </row>
    <row r="112" spans="1:9" ht="15.75" x14ac:dyDescent="0.25">
      <c r="A112" s="164"/>
      <c r="B112" s="165">
        <f>DATE(23,10,1)</f>
        <v>8675</v>
      </c>
      <c r="C112" s="226">
        <v>199447600.25999999</v>
      </c>
      <c r="D112" s="226">
        <v>18492281.440000001</v>
      </c>
      <c r="E112" s="226">
        <v>19416414.079999998</v>
      </c>
      <c r="F112" s="166">
        <f t="shared" si="33"/>
        <v>-4.7595433234600491E-2</v>
      </c>
      <c r="G112" s="241">
        <f t="shared" si="34"/>
        <v>9.2717492794565856E-2</v>
      </c>
      <c r="H112" s="242">
        <f t="shared" si="35"/>
        <v>0.90728250720543413</v>
      </c>
      <c r="I112" s="157"/>
    </row>
    <row r="113" spans="1:9" ht="15.75" x14ac:dyDescent="0.25">
      <c r="A113" s="164"/>
      <c r="B113" s="165">
        <f>DATE(23,11,1)</f>
        <v>8706</v>
      </c>
      <c r="C113" s="226">
        <v>202111138.21000001</v>
      </c>
      <c r="D113" s="226">
        <v>18402679.75</v>
      </c>
      <c r="E113" s="226">
        <v>19493781.030000001</v>
      </c>
      <c r="F113" s="166">
        <f t="shared" si="33"/>
        <v>-5.5971762395445414E-2</v>
      </c>
      <c r="G113" s="241">
        <f t="shared" si="34"/>
        <v>9.105227902323236E-2</v>
      </c>
      <c r="H113" s="242">
        <f t="shared" si="35"/>
        <v>0.90894772097676768</v>
      </c>
      <c r="I113" s="157"/>
    </row>
    <row r="114" spans="1:9" ht="15.75" x14ac:dyDescent="0.25">
      <c r="A114" s="164"/>
      <c r="B114" s="165">
        <f>DATE(23,12,1)</f>
        <v>8736</v>
      </c>
      <c r="C114" s="226">
        <v>234556705.40000001</v>
      </c>
      <c r="D114" s="226">
        <v>21581873.52</v>
      </c>
      <c r="E114" s="226">
        <v>20690373.02</v>
      </c>
      <c r="F114" s="166">
        <f t="shared" si="33"/>
        <v>4.3087695864073891E-2</v>
      </c>
      <c r="G114" s="241">
        <f t="shared" si="34"/>
        <v>9.2011326144760888E-2</v>
      </c>
      <c r="H114" s="242">
        <f t="shared" si="35"/>
        <v>0.90798867385523907</v>
      </c>
      <c r="I114" s="157"/>
    </row>
    <row r="115" spans="1:9" ht="15.75" thickBot="1" x14ac:dyDescent="0.25">
      <c r="A115" s="167"/>
      <c r="B115" s="168"/>
      <c r="C115" s="226"/>
      <c r="D115" s="226"/>
      <c r="E115" s="226"/>
      <c r="F115" s="166"/>
      <c r="G115" s="241"/>
      <c r="H115" s="242"/>
      <c r="I115" s="157"/>
    </row>
    <row r="116" spans="1:9" ht="17.25" thickTop="1" thickBot="1" x14ac:dyDescent="0.3">
      <c r="A116" s="174" t="s">
        <v>14</v>
      </c>
      <c r="B116" s="175"/>
      <c r="C116" s="228">
        <f>SUM(C109:C115)</f>
        <v>1271634828.99</v>
      </c>
      <c r="D116" s="228">
        <f>SUM(D109:D115)</f>
        <v>118861598.24999999</v>
      </c>
      <c r="E116" s="228">
        <f>SUM(E109:E115)</f>
        <v>121575242.03999999</v>
      </c>
      <c r="F116" s="176">
        <f>(+D116-E116)/E116</f>
        <v>-2.2320694118850112E-2</v>
      </c>
      <c r="G116" s="245">
        <f>D116/C116</f>
        <v>9.3471486892511571E-2</v>
      </c>
      <c r="H116" s="246">
        <f>1-G116</f>
        <v>0.90652851310748839</v>
      </c>
      <c r="I116" s="157"/>
    </row>
    <row r="117" spans="1:9" ht="15.75" thickTop="1" x14ac:dyDescent="0.2">
      <c r="A117" s="167"/>
      <c r="B117" s="168"/>
      <c r="C117" s="226"/>
      <c r="D117" s="226"/>
      <c r="E117" s="226"/>
      <c r="F117" s="166"/>
      <c r="G117" s="241"/>
      <c r="H117" s="242"/>
      <c r="I117" s="157"/>
    </row>
    <row r="118" spans="1:9" ht="15.75" x14ac:dyDescent="0.25">
      <c r="A118" s="164" t="s">
        <v>57</v>
      </c>
      <c r="B118" s="165">
        <f>DATE(23,7,1)</f>
        <v>8583</v>
      </c>
      <c r="C118" s="226">
        <v>33435275.829999998</v>
      </c>
      <c r="D118" s="226">
        <v>3743935.17</v>
      </c>
      <c r="E118" s="226">
        <v>3941098.7</v>
      </c>
      <c r="F118" s="166">
        <f t="shared" ref="F118:F123" si="36">(+D118-E118)/E118</f>
        <v>-5.0027554498952347E-2</v>
      </c>
      <c r="G118" s="241">
        <f t="shared" ref="G118:G123" si="37">D118/C118</f>
        <v>0.11197560292416467</v>
      </c>
      <c r="H118" s="242">
        <f t="shared" ref="H118:H123" si="38">1-G118</f>
        <v>0.88802439707583536</v>
      </c>
      <c r="I118" s="157"/>
    </row>
    <row r="119" spans="1:9" ht="15.75" x14ac:dyDescent="0.25">
      <c r="A119" s="164"/>
      <c r="B119" s="165">
        <f>DATE(23,8,1)</f>
        <v>8614</v>
      </c>
      <c r="C119" s="226">
        <v>32794629.890000001</v>
      </c>
      <c r="D119" s="226">
        <v>3650833.47</v>
      </c>
      <c r="E119" s="226">
        <v>3508347.49</v>
      </c>
      <c r="F119" s="166">
        <f t="shared" si="36"/>
        <v>4.0613417116216154E-2</v>
      </c>
      <c r="G119" s="241">
        <f t="shared" si="37"/>
        <v>0.11132412478035746</v>
      </c>
      <c r="H119" s="242">
        <f t="shared" si="38"/>
        <v>0.88867587521964253</v>
      </c>
      <c r="I119" s="157"/>
    </row>
    <row r="120" spans="1:9" ht="15.75" x14ac:dyDescent="0.25">
      <c r="A120" s="164"/>
      <c r="B120" s="165">
        <f>DATE(23,9,1)</f>
        <v>8645</v>
      </c>
      <c r="C120" s="226">
        <v>29987636.98</v>
      </c>
      <c r="D120" s="226">
        <v>3571965.85</v>
      </c>
      <c r="E120" s="226">
        <v>3766686.61</v>
      </c>
      <c r="F120" s="166">
        <f t="shared" si="36"/>
        <v>-5.16955032794724E-2</v>
      </c>
      <c r="G120" s="241">
        <f t="shared" si="37"/>
        <v>0.1191146155458095</v>
      </c>
      <c r="H120" s="242">
        <f t="shared" si="38"/>
        <v>0.88088538445419051</v>
      </c>
      <c r="I120" s="157"/>
    </row>
    <row r="121" spans="1:9" ht="15.75" x14ac:dyDescent="0.25">
      <c r="A121" s="164"/>
      <c r="B121" s="165">
        <f>DATE(23,10,1)</f>
        <v>8675</v>
      </c>
      <c r="C121" s="226">
        <v>30636225.07</v>
      </c>
      <c r="D121" s="226">
        <v>3454191.96</v>
      </c>
      <c r="E121" s="226">
        <v>3644045.37</v>
      </c>
      <c r="F121" s="166">
        <f t="shared" si="36"/>
        <v>-5.209962849611835E-2</v>
      </c>
      <c r="G121" s="241">
        <f t="shared" si="37"/>
        <v>0.11274861547424975</v>
      </c>
      <c r="H121" s="242">
        <f t="shared" si="38"/>
        <v>0.88725138452575025</v>
      </c>
      <c r="I121" s="157"/>
    </row>
    <row r="122" spans="1:9" ht="15.75" x14ac:dyDescent="0.25">
      <c r="A122" s="164"/>
      <c r="B122" s="165">
        <f>DATE(23,11,1)</f>
        <v>8706</v>
      </c>
      <c r="C122" s="226">
        <v>32172056.850000001</v>
      </c>
      <c r="D122" s="226">
        <v>3511199.02</v>
      </c>
      <c r="E122" s="226">
        <v>3367619.94</v>
      </c>
      <c r="F122" s="166">
        <f t="shared" si="36"/>
        <v>4.2635179313019529E-2</v>
      </c>
      <c r="G122" s="241">
        <f t="shared" si="37"/>
        <v>0.10913815788560624</v>
      </c>
      <c r="H122" s="242">
        <f t="shared" si="38"/>
        <v>0.89086184211439379</v>
      </c>
      <c r="I122" s="157"/>
    </row>
    <row r="123" spans="1:9" ht="15.75" x14ac:dyDescent="0.25">
      <c r="A123" s="164"/>
      <c r="B123" s="165">
        <f>DATE(23,12,1)</f>
        <v>8736</v>
      </c>
      <c r="C123" s="226">
        <v>38178845.460000001</v>
      </c>
      <c r="D123" s="226">
        <v>4306408.66</v>
      </c>
      <c r="E123" s="226">
        <v>3754875.29</v>
      </c>
      <c r="F123" s="166">
        <f t="shared" si="36"/>
        <v>0.14688460398907152</v>
      </c>
      <c r="G123" s="241">
        <f t="shared" si="37"/>
        <v>0.1127956754090908</v>
      </c>
      <c r="H123" s="242">
        <f t="shared" si="38"/>
        <v>0.88720432459090914</v>
      </c>
      <c r="I123" s="157"/>
    </row>
    <row r="124" spans="1:9" ht="15.75" thickBot="1" x14ac:dyDescent="0.25">
      <c r="A124" s="167"/>
      <c r="B124" s="168"/>
      <c r="C124" s="226"/>
      <c r="D124" s="226"/>
      <c r="E124" s="226"/>
      <c r="F124" s="166"/>
      <c r="G124" s="241"/>
      <c r="H124" s="242"/>
      <c r="I124" s="157"/>
    </row>
    <row r="125" spans="1:9" ht="17.25" thickTop="1" thickBot="1" x14ac:dyDescent="0.3">
      <c r="A125" s="169" t="s">
        <v>14</v>
      </c>
      <c r="B125" s="155"/>
      <c r="C125" s="223">
        <f>SUM(C118:C124)</f>
        <v>197204670.08000001</v>
      </c>
      <c r="D125" s="223">
        <f>SUM(D118:D124)</f>
        <v>22238534.129999999</v>
      </c>
      <c r="E125" s="223">
        <f>SUM(E118:E124)</f>
        <v>21982673.400000002</v>
      </c>
      <c r="F125" s="176">
        <f>(+D125-E125)/E125</f>
        <v>1.163919989822515E-2</v>
      </c>
      <c r="G125" s="245">
        <f>D125/C125</f>
        <v>0.11276880066267443</v>
      </c>
      <c r="H125" s="246">
        <f>1-G125</f>
        <v>0.88723119933732553</v>
      </c>
      <c r="I125" s="157"/>
    </row>
    <row r="126" spans="1:9" ht="16.5" thickTop="1" thickBot="1" x14ac:dyDescent="0.25">
      <c r="A126" s="171"/>
      <c r="B126" s="172"/>
      <c r="C126" s="227"/>
      <c r="D126" s="227"/>
      <c r="E126" s="227"/>
      <c r="F126" s="173"/>
      <c r="G126" s="243"/>
      <c r="H126" s="244"/>
      <c r="I126" s="157"/>
    </row>
    <row r="127" spans="1:9" ht="17.25" thickTop="1" thickBot="1" x14ac:dyDescent="0.3">
      <c r="A127" s="184" t="s">
        <v>38</v>
      </c>
      <c r="B127" s="155"/>
      <c r="C127" s="223">
        <f>C125+C116+C89+C71+C53+C35+C17+C44+C107+C26+C80+C98+C62</f>
        <v>8494819004.7600002</v>
      </c>
      <c r="D127" s="223">
        <f>D125+D116+D89+D71+D53+D35+D17+D44+D107+D26+D80+D98+D62</f>
        <v>817398773.76999998</v>
      </c>
      <c r="E127" s="223">
        <f>E125+E116+E89+E71+E53+E35+E17+E44+E107+E26+E80+E98+E62</f>
        <v>811292644.3499999</v>
      </c>
      <c r="F127" s="170">
        <f>(+D127-E127)/E127</f>
        <v>7.5264202905380093E-3</v>
      </c>
      <c r="G127" s="236">
        <f>D127/C127</f>
        <v>9.6223212444194212E-2</v>
      </c>
      <c r="H127" s="237">
        <f>1-G127</f>
        <v>0.90377678755580582</v>
      </c>
      <c r="I127" s="157"/>
    </row>
    <row r="128" spans="1:9" ht="17.25" thickTop="1" thickBot="1" x14ac:dyDescent="0.3">
      <c r="A128" s="184"/>
      <c r="B128" s="155"/>
      <c r="C128" s="223"/>
      <c r="D128" s="223"/>
      <c r="E128" s="223"/>
      <c r="F128" s="170"/>
      <c r="G128" s="236"/>
      <c r="H128" s="237"/>
      <c r="I128" s="157"/>
    </row>
    <row r="129" spans="1:9" ht="17.25" thickTop="1" thickBot="1" x14ac:dyDescent="0.3">
      <c r="A129" s="184" t="s">
        <v>39</v>
      </c>
      <c r="B129" s="155"/>
      <c r="C129" s="223">
        <f>+C15+C24+C33+C42+C51+C60+C69+C87+C78+C96+C105+C114+C123</f>
        <v>1553277945.3100002</v>
      </c>
      <c r="D129" s="223">
        <f>+D15+D24+D33+D42+D51+D60+D69+D87+D78+D96+D105+D114+D123</f>
        <v>144997203.22999999</v>
      </c>
      <c r="E129" s="223">
        <f>+E15+E24+E33+E42+E51+E60+E69+E87+E78+E96+E105+E114+E123</f>
        <v>135559695.10999998</v>
      </c>
      <c r="F129" s="170">
        <f>(+D129-E129)/E129</f>
        <v>6.9618835542097773E-2</v>
      </c>
      <c r="G129" s="236">
        <f>D129/C129</f>
        <v>9.3349167589617532E-2</v>
      </c>
      <c r="H129" s="246">
        <f>1-G129</f>
        <v>0.90665083241038247</v>
      </c>
      <c r="I129" s="157"/>
    </row>
    <row r="130" spans="1:9" ht="16.5" thickTop="1" x14ac:dyDescent="0.25">
      <c r="A130" s="185"/>
      <c r="B130" s="186"/>
      <c r="C130" s="231"/>
      <c r="D130" s="231"/>
      <c r="E130" s="231"/>
      <c r="F130" s="187"/>
      <c r="G130" s="250"/>
      <c r="H130" s="250"/>
      <c r="I130" s="151"/>
    </row>
    <row r="131" spans="1:9" ht="16.5" customHeight="1" x14ac:dyDescent="0.3">
      <c r="A131" s="188" t="s">
        <v>49</v>
      </c>
      <c r="B131" s="189"/>
      <c r="C131" s="232"/>
      <c r="D131" s="232"/>
      <c r="E131" s="232"/>
      <c r="F131" s="190"/>
      <c r="G131" s="251"/>
      <c r="H131" s="251"/>
      <c r="I131" s="151"/>
    </row>
    <row r="132" spans="1:9" ht="15.75" x14ac:dyDescent="0.25">
      <c r="A132" s="191"/>
      <c r="B132" s="189"/>
      <c r="C132" s="232"/>
      <c r="D132" s="232"/>
      <c r="E132" s="232"/>
      <c r="F132" s="190"/>
      <c r="G132" s="257"/>
      <c r="H132" s="257"/>
      <c r="I132" s="151"/>
    </row>
    <row r="133" spans="1:9" ht="15.75" x14ac:dyDescent="0.25">
      <c r="A133" s="72"/>
      <c r="I133" s="151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2" manualBreakCount="2">
    <brk id="53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2024-01-08T16:46:10Z</cp:lastPrinted>
  <dcterms:created xsi:type="dcterms:W3CDTF">2003-09-09T14:41:43Z</dcterms:created>
  <dcterms:modified xsi:type="dcterms:W3CDTF">2024-01-09T19:27:07Z</dcterms:modified>
</cp:coreProperties>
</file>