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Oct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STATS'!$A$1:$M$91</definedName>
    <definedName name="_xlnm.Print_Area" localSheetId="4">'SLOT STATS'!$A$1:$I$92</definedName>
    <definedName name="_xlnm.Print_Area" localSheetId="2">'TABLE STATS'!$A$1:$H$91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 fullCalcOnLoad="1"/>
</workbook>
</file>

<file path=xl/calcChain.xml><?xml version="1.0" encoding="utf-8"?>
<calcChain xmlns="http://schemas.openxmlformats.org/spreadsheetml/2006/main">
  <c r="F47" i="1" l="1"/>
  <c r="H47" i="1"/>
  <c r="G83" i="1"/>
  <c r="G77" i="1"/>
  <c r="G71" i="1"/>
  <c r="G65" i="1"/>
  <c r="G67" i="1"/>
  <c r="G59" i="1"/>
  <c r="G53" i="1"/>
  <c r="G47" i="1"/>
  <c r="G41" i="1"/>
  <c r="G43" i="1"/>
  <c r="G35" i="1"/>
  <c r="H35" i="1"/>
  <c r="G29" i="1"/>
  <c r="H29" i="1"/>
  <c r="G23" i="1"/>
  <c r="G25" i="1"/>
  <c r="G17" i="1"/>
  <c r="G11" i="1"/>
  <c r="G13" i="1"/>
  <c r="F83" i="1"/>
  <c r="F77" i="1"/>
  <c r="F79" i="1"/>
  <c r="F71" i="1"/>
  <c r="F65" i="1"/>
  <c r="F59" i="1"/>
  <c r="F53" i="1"/>
  <c r="F55" i="1"/>
  <c r="F41" i="1"/>
  <c r="F35" i="1"/>
  <c r="F29" i="1"/>
  <c r="F23" i="1"/>
  <c r="H23" i="1"/>
  <c r="F17" i="1"/>
  <c r="J17" i="1"/>
  <c r="F11" i="1"/>
  <c r="E90" i="4"/>
  <c r="D90" i="4"/>
  <c r="C90" i="4"/>
  <c r="G84" i="4"/>
  <c r="H84" i="4"/>
  <c r="F84" i="4"/>
  <c r="G78" i="4"/>
  <c r="H78" i="4"/>
  <c r="F78" i="4"/>
  <c r="G72" i="4"/>
  <c r="H72" i="4"/>
  <c r="F72" i="4"/>
  <c r="G66" i="4"/>
  <c r="H66" i="4"/>
  <c r="F66" i="4"/>
  <c r="G60" i="4"/>
  <c r="H60" i="4"/>
  <c r="F60" i="4"/>
  <c r="G54" i="4"/>
  <c r="H54" i="4"/>
  <c r="F54" i="4"/>
  <c r="G48" i="4"/>
  <c r="H48" i="4"/>
  <c r="F48" i="4"/>
  <c r="G42" i="4"/>
  <c r="H42" i="4"/>
  <c r="F42" i="4"/>
  <c r="G36" i="4"/>
  <c r="H36" i="4"/>
  <c r="F36" i="4"/>
  <c r="G30" i="4"/>
  <c r="H30" i="4"/>
  <c r="F30" i="4"/>
  <c r="G24" i="4"/>
  <c r="H24" i="4"/>
  <c r="F24" i="4"/>
  <c r="G18" i="4"/>
  <c r="H18" i="4"/>
  <c r="F18" i="4"/>
  <c r="G12" i="4"/>
  <c r="H12" i="4"/>
  <c r="F12" i="4"/>
  <c r="B84" i="4"/>
  <c r="B78" i="4"/>
  <c r="B72" i="4"/>
  <c r="B66" i="4"/>
  <c r="B60" i="4"/>
  <c r="B54" i="4"/>
  <c r="B48" i="4"/>
  <c r="B42" i="4"/>
  <c r="B36" i="4"/>
  <c r="B30" i="4"/>
  <c r="B24" i="4"/>
  <c r="B18" i="4"/>
  <c r="B12" i="4"/>
  <c r="E90" i="5"/>
  <c r="D90" i="5"/>
  <c r="C90" i="5"/>
  <c r="G78" i="5"/>
  <c r="H78" i="5"/>
  <c r="F78" i="5"/>
  <c r="B84" i="5"/>
  <c r="B78" i="5"/>
  <c r="B72" i="5"/>
  <c r="B66" i="5"/>
  <c r="B60" i="5"/>
  <c r="B54" i="5"/>
  <c r="B48" i="5"/>
  <c r="B42" i="5"/>
  <c r="B36" i="5"/>
  <c r="B30" i="5"/>
  <c r="B24" i="5"/>
  <c r="B18" i="5"/>
  <c r="B12" i="5"/>
  <c r="E89" i="3"/>
  <c r="D89" i="3"/>
  <c r="C89" i="3"/>
  <c r="G83" i="3"/>
  <c r="F83" i="3"/>
  <c r="G77" i="3"/>
  <c r="F77" i="3"/>
  <c r="G71" i="3"/>
  <c r="F71" i="3"/>
  <c r="G65" i="3"/>
  <c r="F65" i="3"/>
  <c r="G59" i="3"/>
  <c r="F59" i="3"/>
  <c r="G53" i="3"/>
  <c r="F53" i="3"/>
  <c r="G47" i="3"/>
  <c r="F47" i="3"/>
  <c r="G41" i="3"/>
  <c r="F41" i="3"/>
  <c r="G35" i="3"/>
  <c r="F35" i="3"/>
  <c r="G29" i="3"/>
  <c r="F29" i="3"/>
  <c r="G23" i="3"/>
  <c r="F23" i="3"/>
  <c r="G17" i="3"/>
  <c r="F17" i="3"/>
  <c r="B83" i="3"/>
  <c r="B77" i="3"/>
  <c r="B71" i="3"/>
  <c r="B65" i="3"/>
  <c r="B59" i="3"/>
  <c r="B53" i="3"/>
  <c r="B47" i="3"/>
  <c r="B41" i="3"/>
  <c r="B35" i="3"/>
  <c r="B29" i="3"/>
  <c r="B23" i="3"/>
  <c r="B17" i="3"/>
  <c r="G11" i="3"/>
  <c r="F11" i="3"/>
  <c r="B11" i="3"/>
  <c r="N33" i="2"/>
  <c r="M33" i="2"/>
  <c r="L33" i="2"/>
  <c r="K33" i="2"/>
  <c r="J33" i="2"/>
  <c r="I33" i="2"/>
  <c r="H33" i="2"/>
  <c r="G33" i="2"/>
  <c r="F33" i="2"/>
  <c r="E33" i="2"/>
  <c r="D33" i="2"/>
  <c r="D44" i="2"/>
  <c r="C33" i="2"/>
  <c r="B33" i="2"/>
  <c r="A33" i="2"/>
  <c r="M44" i="2"/>
  <c r="N12" i="2"/>
  <c r="M12" i="2"/>
  <c r="L12" i="2"/>
  <c r="K12" i="2"/>
  <c r="J12" i="2"/>
  <c r="I12" i="2"/>
  <c r="H12" i="2"/>
  <c r="H23" i="2"/>
  <c r="G12" i="2"/>
  <c r="F12" i="2"/>
  <c r="E12" i="2"/>
  <c r="D12" i="2"/>
  <c r="C12" i="2"/>
  <c r="B12" i="2"/>
  <c r="A12" i="2"/>
  <c r="L89" i="1"/>
  <c r="K89" i="1"/>
  <c r="D89" i="1"/>
  <c r="C89" i="1"/>
  <c r="M83" i="1"/>
  <c r="J83" i="1"/>
  <c r="I83" i="1"/>
  <c r="E83" i="1"/>
  <c r="M77" i="1"/>
  <c r="J77" i="1"/>
  <c r="I77" i="1"/>
  <c r="E77" i="1"/>
  <c r="M71" i="1"/>
  <c r="J71" i="1"/>
  <c r="I71" i="1"/>
  <c r="E71" i="1"/>
  <c r="M65" i="1"/>
  <c r="J65" i="1"/>
  <c r="I65" i="1"/>
  <c r="E65" i="1"/>
  <c r="M59" i="1"/>
  <c r="J59" i="1"/>
  <c r="I59" i="1"/>
  <c r="H59" i="1"/>
  <c r="E59" i="1"/>
  <c r="M53" i="1"/>
  <c r="J53" i="1"/>
  <c r="I53" i="1"/>
  <c r="E53" i="1"/>
  <c r="M47" i="1"/>
  <c r="I47" i="1"/>
  <c r="E47" i="1"/>
  <c r="M41" i="1"/>
  <c r="J41" i="1"/>
  <c r="I41" i="1"/>
  <c r="E41" i="1"/>
  <c r="M35" i="1"/>
  <c r="J35" i="1"/>
  <c r="I35" i="1"/>
  <c r="E35" i="1"/>
  <c r="M29" i="1"/>
  <c r="J29" i="1"/>
  <c r="I29" i="1"/>
  <c r="E29" i="1"/>
  <c r="M23" i="1"/>
  <c r="J23" i="1"/>
  <c r="I23" i="1"/>
  <c r="E23" i="1"/>
  <c r="M17" i="1"/>
  <c r="I17" i="1"/>
  <c r="E17" i="1"/>
  <c r="M11" i="1"/>
  <c r="I11" i="1"/>
  <c r="E11" i="1"/>
  <c r="B83" i="1"/>
  <c r="B77" i="1"/>
  <c r="B71" i="1"/>
  <c r="B65" i="1"/>
  <c r="B59" i="1"/>
  <c r="B53" i="1"/>
  <c r="B47" i="1"/>
  <c r="B41" i="1"/>
  <c r="B35" i="1"/>
  <c r="B29" i="1"/>
  <c r="B23" i="1"/>
  <c r="B17" i="1"/>
  <c r="B11" i="1"/>
  <c r="G83" i="4"/>
  <c r="H83" i="4"/>
  <c r="F83" i="4"/>
  <c r="G77" i="4"/>
  <c r="H77" i="4"/>
  <c r="F77" i="4"/>
  <c r="G71" i="4"/>
  <c r="H71" i="4"/>
  <c r="F71" i="4"/>
  <c r="G65" i="4"/>
  <c r="H65" i="4"/>
  <c r="F65" i="4"/>
  <c r="G59" i="4"/>
  <c r="H59" i="4"/>
  <c r="F59" i="4"/>
  <c r="G53" i="4"/>
  <c r="H53" i="4"/>
  <c r="F53" i="4"/>
  <c r="G47" i="4"/>
  <c r="H47" i="4"/>
  <c r="F47" i="4"/>
  <c r="G41" i="4"/>
  <c r="H41" i="4"/>
  <c r="F41" i="4"/>
  <c r="G35" i="4"/>
  <c r="H35" i="4"/>
  <c r="F35" i="4"/>
  <c r="G29" i="4"/>
  <c r="H29" i="4"/>
  <c r="F29" i="4"/>
  <c r="G23" i="4"/>
  <c r="H23" i="4"/>
  <c r="F23" i="4"/>
  <c r="H17" i="4"/>
  <c r="G17" i="4"/>
  <c r="F17" i="4"/>
  <c r="G11" i="4"/>
  <c r="H11" i="4"/>
  <c r="F11" i="4"/>
  <c r="B83" i="4"/>
  <c r="B77" i="4"/>
  <c r="B71" i="4"/>
  <c r="B65" i="4"/>
  <c r="B59" i="4"/>
  <c r="B53" i="4"/>
  <c r="B47" i="4"/>
  <c r="B41" i="4"/>
  <c r="B35" i="4"/>
  <c r="B29" i="4"/>
  <c r="B23" i="4"/>
  <c r="B17" i="4"/>
  <c r="B11" i="4"/>
  <c r="G77" i="5"/>
  <c r="H77" i="5"/>
  <c r="F77" i="5"/>
  <c r="B83" i="5"/>
  <c r="B77" i="5"/>
  <c r="B71" i="5"/>
  <c r="B65" i="5"/>
  <c r="B59" i="5"/>
  <c r="B53" i="5"/>
  <c r="B47" i="5"/>
  <c r="B41" i="5"/>
  <c r="B35" i="5"/>
  <c r="B29" i="5"/>
  <c r="B23" i="5"/>
  <c r="B17" i="5"/>
  <c r="B11" i="5"/>
  <c r="G82" i="3"/>
  <c r="F82" i="3"/>
  <c r="G76" i="3"/>
  <c r="F76" i="3"/>
  <c r="G70" i="3"/>
  <c r="F70" i="3"/>
  <c r="G64" i="3"/>
  <c r="F64" i="3"/>
  <c r="G58" i="3"/>
  <c r="F58" i="3"/>
  <c r="G52" i="3"/>
  <c r="F52" i="3"/>
  <c r="G46" i="3"/>
  <c r="F46" i="3"/>
  <c r="G40" i="3"/>
  <c r="F40" i="3"/>
  <c r="G34" i="3"/>
  <c r="F34" i="3"/>
  <c r="G28" i="3"/>
  <c r="F28" i="3"/>
  <c r="G22" i="3"/>
  <c r="F22" i="3"/>
  <c r="G16" i="3"/>
  <c r="F16" i="3"/>
  <c r="G10" i="3"/>
  <c r="F10" i="3"/>
  <c r="B82" i="3"/>
  <c r="B76" i="3"/>
  <c r="B70" i="3"/>
  <c r="B64" i="3"/>
  <c r="B58" i="3"/>
  <c r="B52" i="3"/>
  <c r="B46" i="3"/>
  <c r="B40" i="3"/>
  <c r="B34" i="3"/>
  <c r="B28" i="3"/>
  <c r="B22" i="3"/>
  <c r="B16" i="3"/>
  <c r="B10" i="3"/>
  <c r="N32" i="2"/>
  <c r="M32" i="2"/>
  <c r="L32" i="2"/>
  <c r="K32" i="2"/>
  <c r="J32" i="2"/>
  <c r="I32" i="2"/>
  <c r="H32" i="2"/>
  <c r="O32" i="2"/>
  <c r="G32" i="2"/>
  <c r="F32" i="2"/>
  <c r="E32" i="2"/>
  <c r="D32" i="2"/>
  <c r="C32" i="2"/>
  <c r="B32" i="2"/>
  <c r="A32" i="2"/>
  <c r="N11" i="2"/>
  <c r="M11" i="2"/>
  <c r="L11" i="2"/>
  <c r="K11" i="2"/>
  <c r="J11" i="2"/>
  <c r="I11" i="2"/>
  <c r="H11" i="2"/>
  <c r="G11" i="2"/>
  <c r="F11" i="2"/>
  <c r="E11" i="2"/>
  <c r="D11" i="2"/>
  <c r="C11" i="2"/>
  <c r="O11" i="2"/>
  <c r="B11" i="2"/>
  <c r="A11" i="2"/>
  <c r="G51" i="1"/>
  <c r="M82" i="1"/>
  <c r="J82" i="1"/>
  <c r="I82" i="1"/>
  <c r="H82" i="1"/>
  <c r="E82" i="1"/>
  <c r="G82" i="1"/>
  <c r="F82" i="1"/>
  <c r="M76" i="1"/>
  <c r="J76" i="1"/>
  <c r="I76" i="1"/>
  <c r="H76" i="1"/>
  <c r="E76" i="1"/>
  <c r="G76" i="1"/>
  <c r="G79" i="1"/>
  <c r="F76" i="1"/>
  <c r="M70" i="1"/>
  <c r="J70" i="1"/>
  <c r="I70" i="1"/>
  <c r="H70" i="1"/>
  <c r="E70" i="1"/>
  <c r="G70" i="1"/>
  <c r="F70" i="1"/>
  <c r="M64" i="1"/>
  <c r="J64" i="1"/>
  <c r="I64" i="1"/>
  <c r="H64" i="1"/>
  <c r="E64" i="1"/>
  <c r="G64" i="1"/>
  <c r="F64" i="1"/>
  <c r="M58" i="1"/>
  <c r="J58" i="1"/>
  <c r="I58" i="1"/>
  <c r="H58" i="1"/>
  <c r="E58" i="1"/>
  <c r="G58" i="1"/>
  <c r="F58" i="1"/>
  <c r="M52" i="1"/>
  <c r="J52" i="1"/>
  <c r="I52" i="1"/>
  <c r="H52" i="1"/>
  <c r="E52" i="1"/>
  <c r="G52" i="1"/>
  <c r="F52" i="1"/>
  <c r="M46" i="1"/>
  <c r="J46" i="1"/>
  <c r="I46" i="1"/>
  <c r="H46" i="1"/>
  <c r="E46" i="1"/>
  <c r="G46" i="1"/>
  <c r="F46" i="1"/>
  <c r="M40" i="1"/>
  <c r="J40" i="1"/>
  <c r="I40" i="1"/>
  <c r="H40" i="1"/>
  <c r="E40" i="1"/>
  <c r="G40" i="1"/>
  <c r="F40" i="1"/>
  <c r="F43" i="1"/>
  <c r="M34" i="1"/>
  <c r="J34" i="1"/>
  <c r="I34" i="1"/>
  <c r="H34" i="1"/>
  <c r="E34" i="1"/>
  <c r="G34" i="1"/>
  <c r="F34" i="1"/>
  <c r="M28" i="1"/>
  <c r="J28" i="1"/>
  <c r="I28" i="1"/>
  <c r="H28" i="1"/>
  <c r="E28" i="1"/>
  <c r="G28" i="1"/>
  <c r="F28" i="1"/>
  <c r="M22" i="1"/>
  <c r="J22" i="1"/>
  <c r="I22" i="1"/>
  <c r="H22" i="1"/>
  <c r="E22" i="1"/>
  <c r="G22" i="1"/>
  <c r="F22" i="1"/>
  <c r="M16" i="1"/>
  <c r="I16" i="1"/>
  <c r="E16" i="1"/>
  <c r="G16" i="1"/>
  <c r="F16" i="1"/>
  <c r="H16" i="1"/>
  <c r="M10" i="1"/>
  <c r="J10" i="1"/>
  <c r="I10" i="1"/>
  <c r="H10" i="1"/>
  <c r="E10" i="1"/>
  <c r="G10" i="1"/>
  <c r="F10" i="1"/>
  <c r="B82" i="1"/>
  <c r="B76" i="1"/>
  <c r="B70" i="1"/>
  <c r="B64" i="1"/>
  <c r="B58" i="1"/>
  <c r="B52" i="1"/>
  <c r="B46" i="1"/>
  <c r="B40" i="1"/>
  <c r="B34" i="1"/>
  <c r="B28" i="1"/>
  <c r="B22" i="1"/>
  <c r="B16" i="1"/>
  <c r="B10" i="1"/>
  <c r="B82" i="4"/>
  <c r="B76" i="4"/>
  <c r="B70" i="4"/>
  <c r="B64" i="4"/>
  <c r="B58" i="4"/>
  <c r="B52" i="4"/>
  <c r="B46" i="4"/>
  <c r="B40" i="4"/>
  <c r="B34" i="4"/>
  <c r="B28" i="4"/>
  <c r="B22" i="4"/>
  <c r="B16" i="4"/>
  <c r="B10" i="4"/>
  <c r="B82" i="5"/>
  <c r="B76" i="5"/>
  <c r="B70" i="5"/>
  <c r="B64" i="5"/>
  <c r="B58" i="5"/>
  <c r="B52" i="5"/>
  <c r="B46" i="5"/>
  <c r="B40" i="5"/>
  <c r="B34" i="5"/>
  <c r="B28" i="5"/>
  <c r="B22" i="5"/>
  <c r="B16" i="5"/>
  <c r="B10" i="5"/>
  <c r="B81" i="3"/>
  <c r="B75" i="3"/>
  <c r="B69" i="3"/>
  <c r="B63" i="3"/>
  <c r="B57" i="3"/>
  <c r="B51" i="3"/>
  <c r="B45" i="3"/>
  <c r="B39" i="3"/>
  <c r="B33" i="3"/>
  <c r="B27" i="3"/>
  <c r="B21" i="3"/>
  <c r="B15" i="3"/>
  <c r="B9" i="3"/>
  <c r="A31" i="2"/>
  <c r="A10" i="2"/>
  <c r="G81" i="1"/>
  <c r="F81" i="1"/>
  <c r="G75" i="1"/>
  <c r="F75" i="1"/>
  <c r="G69" i="1"/>
  <c r="F69" i="1"/>
  <c r="G63" i="1"/>
  <c r="F63" i="1"/>
  <c r="G57" i="1"/>
  <c r="F57" i="1"/>
  <c r="F51" i="1"/>
  <c r="G45" i="1"/>
  <c r="F45" i="1"/>
  <c r="G39" i="1"/>
  <c r="F39" i="1"/>
  <c r="G33" i="1"/>
  <c r="F33" i="1"/>
  <c r="G27" i="1"/>
  <c r="F27" i="1"/>
  <c r="J27" i="1"/>
  <c r="G21" i="1"/>
  <c r="F21" i="1"/>
  <c r="G15" i="1"/>
  <c r="G19" i="1"/>
  <c r="F15" i="1"/>
  <c r="G9" i="1"/>
  <c r="F9" i="1"/>
  <c r="B81" i="1"/>
  <c r="B75" i="1"/>
  <c r="B69" i="1"/>
  <c r="B63" i="1"/>
  <c r="B57" i="1"/>
  <c r="B51" i="1"/>
  <c r="B45" i="1"/>
  <c r="B39" i="1"/>
  <c r="B33" i="1"/>
  <c r="B27" i="1"/>
  <c r="B21" i="1"/>
  <c r="B15" i="1"/>
  <c r="B9" i="1"/>
  <c r="J63" i="1"/>
  <c r="F13" i="1"/>
  <c r="F76" i="5"/>
  <c r="J69" i="1"/>
  <c r="J39" i="1"/>
  <c r="F25" i="1"/>
  <c r="G76" i="5"/>
  <c r="H76" i="5"/>
  <c r="B10" i="2"/>
  <c r="E86" i="5"/>
  <c r="D86" i="5"/>
  <c r="C86" i="5"/>
  <c r="E80" i="5"/>
  <c r="D80" i="5"/>
  <c r="D88" i="5"/>
  <c r="C80" i="5"/>
  <c r="E74" i="5"/>
  <c r="D74" i="5"/>
  <c r="C74" i="5"/>
  <c r="E68" i="5"/>
  <c r="D68" i="5"/>
  <c r="C68" i="5"/>
  <c r="E62" i="5"/>
  <c r="D62" i="5"/>
  <c r="C62" i="5"/>
  <c r="E56" i="5"/>
  <c r="D56" i="5"/>
  <c r="C56" i="5"/>
  <c r="E50" i="5"/>
  <c r="D50" i="5"/>
  <c r="C50" i="5"/>
  <c r="E44" i="5"/>
  <c r="D44" i="5"/>
  <c r="C44" i="5"/>
  <c r="E38" i="5"/>
  <c r="D38" i="5"/>
  <c r="C38" i="5"/>
  <c r="E32" i="5"/>
  <c r="F32" i="5"/>
  <c r="D32" i="5"/>
  <c r="C32" i="5"/>
  <c r="E26" i="5"/>
  <c r="D26" i="5"/>
  <c r="C26" i="5"/>
  <c r="E20" i="5"/>
  <c r="D20" i="5"/>
  <c r="C20" i="5"/>
  <c r="E14" i="5"/>
  <c r="D14" i="5"/>
  <c r="C14" i="5"/>
  <c r="L31" i="1"/>
  <c r="M31" i="1"/>
  <c r="F40" i="4"/>
  <c r="F39" i="3"/>
  <c r="M39" i="1"/>
  <c r="E39" i="1"/>
  <c r="F82" i="4"/>
  <c r="F81" i="3"/>
  <c r="G31" i="2"/>
  <c r="G10" i="2"/>
  <c r="M81" i="1"/>
  <c r="E81" i="1"/>
  <c r="E44" i="4"/>
  <c r="D44" i="4"/>
  <c r="F44" i="4"/>
  <c r="C44" i="4"/>
  <c r="G40" i="4"/>
  <c r="H40" i="4"/>
  <c r="E43" i="3"/>
  <c r="D43" i="3"/>
  <c r="C43" i="3"/>
  <c r="G39" i="3"/>
  <c r="L43" i="1"/>
  <c r="M43" i="1"/>
  <c r="D43" i="1"/>
  <c r="E43" i="1"/>
  <c r="C43" i="1"/>
  <c r="I39" i="1"/>
  <c r="G82" i="4"/>
  <c r="H82" i="4"/>
  <c r="G81" i="3"/>
  <c r="I81" i="1"/>
  <c r="D13" i="1"/>
  <c r="D19" i="1"/>
  <c r="D25" i="1"/>
  <c r="D31" i="1"/>
  <c r="D37" i="1"/>
  <c r="E37" i="1"/>
  <c r="D49" i="1"/>
  <c r="D55" i="1"/>
  <c r="E55" i="1"/>
  <c r="D61" i="1"/>
  <c r="E61" i="1"/>
  <c r="D67" i="1"/>
  <c r="D73" i="1"/>
  <c r="D79" i="1"/>
  <c r="D85" i="1"/>
  <c r="E85" i="1"/>
  <c r="C85" i="1"/>
  <c r="C86" i="4"/>
  <c r="D86" i="4"/>
  <c r="G86" i="4"/>
  <c r="H86" i="4"/>
  <c r="C85" i="3"/>
  <c r="D85" i="3"/>
  <c r="F85" i="3"/>
  <c r="E14" i="4"/>
  <c r="E20" i="4"/>
  <c r="E26" i="4"/>
  <c r="E32" i="4"/>
  <c r="F32" i="4"/>
  <c r="E38" i="4"/>
  <c r="E50" i="4"/>
  <c r="E56" i="4"/>
  <c r="E62" i="4"/>
  <c r="F62" i="4"/>
  <c r="E68" i="4"/>
  <c r="F68" i="4"/>
  <c r="E74" i="4"/>
  <c r="E80" i="4"/>
  <c r="F80" i="4"/>
  <c r="E86" i="4"/>
  <c r="D14" i="4"/>
  <c r="F14" i="4"/>
  <c r="D20" i="4"/>
  <c r="D26" i="4"/>
  <c r="F26" i="4"/>
  <c r="D32" i="4"/>
  <c r="D38" i="4"/>
  <c r="D50" i="4"/>
  <c r="G50" i="4"/>
  <c r="H50" i="4"/>
  <c r="D56" i="4"/>
  <c r="F56" i="4"/>
  <c r="D62" i="4"/>
  <c r="G62" i="4"/>
  <c r="H62" i="4"/>
  <c r="D68" i="4"/>
  <c r="D74" i="4"/>
  <c r="D80" i="4"/>
  <c r="G80" i="4"/>
  <c r="H80" i="4"/>
  <c r="C14" i="4"/>
  <c r="G14" i="4"/>
  <c r="H14" i="4"/>
  <c r="C20" i="4"/>
  <c r="C26" i="4"/>
  <c r="C32" i="4"/>
  <c r="C38" i="4"/>
  <c r="G38" i="4"/>
  <c r="H38" i="4"/>
  <c r="C50" i="4"/>
  <c r="C56" i="4"/>
  <c r="G56" i="4"/>
  <c r="H56" i="4"/>
  <c r="C62" i="4"/>
  <c r="C68" i="4"/>
  <c r="G68" i="4"/>
  <c r="H68" i="4"/>
  <c r="C74" i="4"/>
  <c r="C80" i="4"/>
  <c r="F64" i="4"/>
  <c r="E13" i="3"/>
  <c r="F13" i="3"/>
  <c r="E19" i="3"/>
  <c r="E25" i="3"/>
  <c r="E31" i="3"/>
  <c r="F31" i="3"/>
  <c r="E37" i="3"/>
  <c r="E49" i="3"/>
  <c r="F49" i="3"/>
  <c r="E55" i="3"/>
  <c r="F55" i="3"/>
  <c r="E61" i="3"/>
  <c r="E67" i="3"/>
  <c r="E73" i="3"/>
  <c r="E79" i="3"/>
  <c r="E85" i="3"/>
  <c r="D13" i="3"/>
  <c r="D19" i="3"/>
  <c r="D25" i="3"/>
  <c r="D31" i="3"/>
  <c r="D37" i="3"/>
  <c r="D49" i="3"/>
  <c r="D55" i="3"/>
  <c r="D61" i="3"/>
  <c r="D67" i="3"/>
  <c r="F67" i="3"/>
  <c r="D73" i="3"/>
  <c r="G73" i="3"/>
  <c r="F73" i="3"/>
  <c r="D79" i="3"/>
  <c r="F79" i="3"/>
  <c r="C13" i="3"/>
  <c r="G13" i="3"/>
  <c r="C19" i="3"/>
  <c r="C25" i="3"/>
  <c r="G25" i="3"/>
  <c r="C31" i="3"/>
  <c r="G31" i="3"/>
  <c r="C37" i="3"/>
  <c r="G37" i="3"/>
  <c r="C49" i="3"/>
  <c r="G49" i="3"/>
  <c r="C55" i="3"/>
  <c r="C61" i="3"/>
  <c r="C67" i="3"/>
  <c r="C73" i="3"/>
  <c r="C79" i="3"/>
  <c r="C87" i="3"/>
  <c r="F63" i="3"/>
  <c r="M63" i="1"/>
  <c r="E63" i="1"/>
  <c r="L13" i="1"/>
  <c r="L19" i="1"/>
  <c r="L25" i="1"/>
  <c r="M25" i="1"/>
  <c r="L37" i="1"/>
  <c r="L49" i="1"/>
  <c r="L55" i="1"/>
  <c r="M55" i="1"/>
  <c r="L61" i="1"/>
  <c r="L67" i="1"/>
  <c r="L73" i="1"/>
  <c r="L79" i="1"/>
  <c r="K13" i="1"/>
  <c r="K19" i="1"/>
  <c r="C13" i="1"/>
  <c r="C19" i="1"/>
  <c r="C25" i="1"/>
  <c r="C31" i="1"/>
  <c r="C37" i="1"/>
  <c r="C49" i="1"/>
  <c r="E49" i="1"/>
  <c r="C55" i="1"/>
  <c r="C61" i="1"/>
  <c r="C67" i="1"/>
  <c r="E67" i="1"/>
  <c r="C73" i="1"/>
  <c r="E73" i="1"/>
  <c r="C79" i="1"/>
  <c r="E69" i="1"/>
  <c r="I69" i="1"/>
  <c r="M69" i="1"/>
  <c r="K67" i="1"/>
  <c r="I67" i="1"/>
  <c r="F76" i="4"/>
  <c r="K31" i="2"/>
  <c r="K44" i="2"/>
  <c r="K10" i="2"/>
  <c r="K23" i="2"/>
  <c r="K31" i="1"/>
  <c r="K37" i="1"/>
  <c r="K49" i="1"/>
  <c r="K55" i="1"/>
  <c r="I55" i="1"/>
  <c r="K61" i="1"/>
  <c r="J61" i="1"/>
  <c r="K79" i="1"/>
  <c r="I79" i="1"/>
  <c r="I63" i="1"/>
  <c r="G64" i="4"/>
  <c r="H64" i="4"/>
  <c r="G63" i="3"/>
  <c r="F52" i="4"/>
  <c r="F51" i="3"/>
  <c r="N31" i="2"/>
  <c r="M31" i="2"/>
  <c r="L31" i="2"/>
  <c r="J31" i="2"/>
  <c r="I31" i="2"/>
  <c r="H31" i="2"/>
  <c r="F31" i="2"/>
  <c r="E31" i="2"/>
  <c r="C31" i="2"/>
  <c r="B31" i="2"/>
  <c r="M51" i="1"/>
  <c r="E51" i="1"/>
  <c r="I10" i="2"/>
  <c r="G52" i="4"/>
  <c r="H52" i="4"/>
  <c r="G58" i="4"/>
  <c r="H58" i="4"/>
  <c r="F58" i="4"/>
  <c r="G51" i="3"/>
  <c r="I51" i="1"/>
  <c r="F10" i="4"/>
  <c r="G10" i="4"/>
  <c r="H10" i="4"/>
  <c r="I9" i="1"/>
  <c r="I15" i="1"/>
  <c r="I27" i="1"/>
  <c r="I33" i="1"/>
  <c r="I45" i="1"/>
  <c r="I57" i="1"/>
  <c r="I75" i="1"/>
  <c r="E9" i="1"/>
  <c r="M9" i="1"/>
  <c r="E15" i="1"/>
  <c r="M15" i="1"/>
  <c r="E21" i="1"/>
  <c r="E27" i="1"/>
  <c r="M27" i="1"/>
  <c r="E33" i="1"/>
  <c r="M33" i="1"/>
  <c r="E45" i="1"/>
  <c r="M45" i="1"/>
  <c r="E57" i="1"/>
  <c r="M57" i="1"/>
  <c r="E75" i="1"/>
  <c r="M75" i="1"/>
  <c r="F16" i="4"/>
  <c r="G16" i="4"/>
  <c r="H16" i="4"/>
  <c r="F22" i="4"/>
  <c r="G22" i="4"/>
  <c r="H22" i="4"/>
  <c r="F28" i="4"/>
  <c r="G28" i="4"/>
  <c r="H28" i="4"/>
  <c r="F34" i="4"/>
  <c r="G34" i="4"/>
  <c r="H34" i="4"/>
  <c r="F46" i="4"/>
  <c r="G46" i="4"/>
  <c r="H46" i="4"/>
  <c r="F70" i="4"/>
  <c r="G70" i="4"/>
  <c r="H70" i="4"/>
  <c r="G76" i="4"/>
  <c r="H76" i="4"/>
  <c r="F9" i="3"/>
  <c r="F15" i="3"/>
  <c r="G15" i="3"/>
  <c r="F21" i="3"/>
  <c r="G21" i="3"/>
  <c r="F27" i="3"/>
  <c r="G27" i="3"/>
  <c r="F33" i="3"/>
  <c r="G33" i="3"/>
  <c r="F45" i="3"/>
  <c r="G45" i="3"/>
  <c r="F57" i="3"/>
  <c r="G57" i="3"/>
  <c r="F69" i="3"/>
  <c r="G69" i="3"/>
  <c r="F75" i="3"/>
  <c r="G75" i="3"/>
  <c r="G9" i="3"/>
  <c r="C10" i="2"/>
  <c r="D10" i="2"/>
  <c r="E10" i="2"/>
  <c r="E23" i="2"/>
  <c r="F10" i="2"/>
  <c r="H10" i="2"/>
  <c r="J10" i="2"/>
  <c r="L10" i="2"/>
  <c r="L23" i="2"/>
  <c r="M10" i="2"/>
  <c r="M23" i="2"/>
  <c r="N10" i="2"/>
  <c r="I21" i="1"/>
  <c r="M21" i="1"/>
  <c r="K25" i="1"/>
  <c r="I25" i="1"/>
  <c r="D31" i="2"/>
  <c r="L85" i="1"/>
  <c r="M85" i="1"/>
  <c r="K85" i="1"/>
  <c r="K43" i="1"/>
  <c r="I43" i="1"/>
  <c r="K73" i="1"/>
  <c r="M73" i="1"/>
  <c r="J15" i="1"/>
  <c r="G26" i="4"/>
  <c r="H26" i="4"/>
  <c r="G43" i="3"/>
  <c r="H39" i="1"/>
  <c r="J9" i="1"/>
  <c r="H15" i="1"/>
  <c r="J21" i="1"/>
  <c r="H21" i="1"/>
  <c r="H9" i="1"/>
  <c r="H63" i="1"/>
  <c r="G31" i="1"/>
  <c r="G37" i="1"/>
  <c r="F37" i="1"/>
  <c r="J37" i="1"/>
  <c r="H57" i="1"/>
  <c r="G61" i="1"/>
  <c r="G85" i="1"/>
  <c r="H27" i="1"/>
  <c r="I37" i="1"/>
  <c r="H45" i="1"/>
  <c r="H69" i="1"/>
  <c r="G49" i="1"/>
  <c r="G73" i="1"/>
  <c r="H75" i="1"/>
  <c r="H51" i="1"/>
  <c r="J45" i="1"/>
  <c r="J51" i="1"/>
  <c r="J33" i="1"/>
  <c r="J75" i="1"/>
  <c r="H33" i="1"/>
  <c r="J81" i="1"/>
  <c r="J57" i="1"/>
  <c r="H81" i="1"/>
  <c r="F61" i="1"/>
  <c r="H61" i="1"/>
  <c r="G44" i="4"/>
  <c r="H44" i="4"/>
  <c r="F20" i="4"/>
  <c r="F43" i="3"/>
  <c r="N44" i="2"/>
  <c r="F31" i="1"/>
  <c r="G55" i="1"/>
  <c r="I85" i="1"/>
  <c r="M61" i="1"/>
  <c r="I61" i="1"/>
  <c r="M37" i="1"/>
  <c r="I31" i="1"/>
  <c r="I13" i="1"/>
  <c r="E13" i="1"/>
  <c r="F44" i="2"/>
  <c r="G44" i="2"/>
  <c r="E44" i="2"/>
  <c r="O12" i="2"/>
  <c r="D23" i="2"/>
  <c r="N23" i="2"/>
  <c r="F23" i="2"/>
  <c r="J13" i="1"/>
  <c r="B23" i="2"/>
  <c r="J23" i="2"/>
  <c r="L44" i="2"/>
  <c r="G23" i="2"/>
  <c r="J44" i="2"/>
  <c r="I44" i="2"/>
  <c r="C44" i="2"/>
  <c r="I23" i="2"/>
  <c r="O31" i="2"/>
  <c r="O10" i="2"/>
  <c r="F74" i="4"/>
  <c r="F38" i="4"/>
  <c r="E88" i="4"/>
  <c r="F90" i="4"/>
  <c r="F50" i="4"/>
  <c r="F86" i="4"/>
  <c r="G74" i="4"/>
  <c r="H74" i="4"/>
  <c r="G32" i="4"/>
  <c r="H32" i="4"/>
  <c r="C88" i="4"/>
  <c r="G90" i="4"/>
  <c r="H90" i="4"/>
  <c r="G20" i="4"/>
  <c r="H20" i="4"/>
  <c r="F80" i="5"/>
  <c r="C88" i="5"/>
  <c r="G90" i="5"/>
  <c r="H90" i="5"/>
  <c r="F90" i="5"/>
  <c r="E88" i="5"/>
  <c r="F14" i="5"/>
  <c r="F61" i="3"/>
  <c r="F37" i="3"/>
  <c r="F25" i="3"/>
  <c r="E87" i="3"/>
  <c r="F19" i="3"/>
  <c r="F89" i="3"/>
  <c r="G79" i="3"/>
  <c r="G85" i="3"/>
  <c r="G67" i="3"/>
  <c r="G61" i="3"/>
  <c r="D87" i="3"/>
  <c r="G55" i="3"/>
  <c r="G89" i="3"/>
  <c r="G19" i="3"/>
  <c r="G87" i="3"/>
  <c r="H83" i="1"/>
  <c r="E79" i="1"/>
  <c r="H71" i="1"/>
  <c r="H65" i="1"/>
  <c r="M49" i="1"/>
  <c r="H43" i="1"/>
  <c r="H41" i="1"/>
  <c r="H31" i="1"/>
  <c r="E31" i="1"/>
  <c r="E89" i="1"/>
  <c r="M19" i="1"/>
  <c r="L87" i="1"/>
  <c r="E19" i="1"/>
  <c r="D87" i="1"/>
  <c r="M13" i="1"/>
  <c r="M89" i="1"/>
  <c r="H13" i="1"/>
  <c r="G87" i="1"/>
  <c r="G89" i="1"/>
  <c r="F19" i="1"/>
  <c r="H19" i="1"/>
  <c r="J16" i="1"/>
  <c r="C23" i="2"/>
  <c r="O23" i="2"/>
  <c r="F85" i="1"/>
  <c r="M79" i="1"/>
  <c r="H79" i="1"/>
  <c r="J79" i="1"/>
  <c r="H77" i="1"/>
  <c r="F73" i="1"/>
  <c r="I73" i="1"/>
  <c r="M67" i="1"/>
  <c r="F67" i="1"/>
  <c r="H55" i="1"/>
  <c r="J55" i="1"/>
  <c r="H53" i="1"/>
  <c r="H44" i="2"/>
  <c r="I49" i="1"/>
  <c r="J43" i="1"/>
  <c r="H37" i="1"/>
  <c r="J31" i="1"/>
  <c r="C87" i="1"/>
  <c r="E87" i="1"/>
  <c r="O33" i="2"/>
  <c r="O44" i="2"/>
  <c r="J25" i="1"/>
  <c r="H25" i="1"/>
  <c r="E25" i="1"/>
  <c r="K87" i="1"/>
  <c r="H17" i="1"/>
  <c r="I19" i="1"/>
  <c r="B44" i="2"/>
  <c r="I89" i="1"/>
  <c r="H11" i="1"/>
  <c r="J11" i="1"/>
  <c r="F87" i="3"/>
  <c r="M87" i="1"/>
  <c r="J19" i="1"/>
  <c r="J85" i="1"/>
  <c r="H85" i="1"/>
  <c r="H73" i="1"/>
  <c r="J73" i="1"/>
  <c r="H67" i="1"/>
  <c r="J67" i="1"/>
  <c r="D88" i="4"/>
  <c r="F88" i="5"/>
  <c r="G88" i="5"/>
  <c r="H88" i="5"/>
  <c r="G80" i="5"/>
  <c r="H80" i="5"/>
  <c r="F89" i="1"/>
  <c r="J89" i="1"/>
  <c r="I87" i="1"/>
  <c r="F49" i="1"/>
  <c r="J47" i="1"/>
  <c r="F88" i="4"/>
  <c r="G88" i="4"/>
  <c r="H88" i="4"/>
  <c r="H89" i="1"/>
  <c r="F87" i="1"/>
  <c r="H49" i="1"/>
  <c r="J49" i="1"/>
  <c r="H87" i="1"/>
  <c r="J87" i="1"/>
</calcChain>
</file>

<file path=xl/sharedStrings.xml><?xml version="1.0" encoding="utf-8"?>
<sst xmlns="http://schemas.openxmlformats.org/spreadsheetml/2006/main" count="241" uniqueCount="80">
  <si>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</si>
  <si>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</si>
  <si>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</si>
  <si>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</si>
  <si>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</si>
  <si>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</si>
  <si>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</si>
  <si>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</si>
  <si>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</si>
  <si>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</si>
  <si>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</si>
  <si>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</si>
  <si>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</si>
  <si>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</si>
  <si>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</si>
  <si>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</si>
  <si>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</si>
  <si>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</si>
  <si>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</si>
  <si>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</si>
  <si>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</si>
  <si>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</si>
  <si>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</si>
  <si>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</si>
  <si>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</si>
  <si>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</si>
  <si>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</si>
  <si>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</si>
  <si>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</si>
  <si>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</si>
  <si>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</si>
  <si>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</si>
  <si>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</si>
  <si>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</si>
  <si>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</si>
  <si>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</si>
  <si>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</si>
  <si>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</si>
  <si>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</si>
  <si>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</si>
  <si>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</si>
  <si>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</si>
  <si>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</si>
  <si>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</si>
  <si>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</si>
  <si>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</si>
  <si>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</si>
  <si>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</si>
  <si>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</si>
  <si>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</si>
  <si>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</si>
  <si>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</si>
  <si>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</si>
  <si>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</si>
  <si>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</si>
  <si>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</si>
  <si>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</si>
  <si>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</si>
  <si>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</si>
  <si>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</si>
  <si>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</si>
  <si>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</si>
  <si>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</si>
  <si>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</si>
  <si>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</si>
  <si>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</si>
  <si>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</si>
  <si>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</si>
  <si>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</si>
  <si>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</si>
  <si>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</si>
  <si>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2024 YTD ADMISSIONS, PATRONS AND AGR SUMMARY </t>
  </si>
  <si>
    <t>MONTH ENDED:  SEPTEMBER 30, 2023</t>
  </si>
  <si>
    <t>FOR THE MONTH ENDED:  SEPTEMBER 30, 2023</t>
  </si>
  <si>
    <t>THRU MONTH ENDED:   SEPTEMBER 30, 2023</t>
  </si>
  <si>
    <t>THRU MONTH ENDED:    SEPTEMBER 30, 2023</t>
  </si>
  <si>
    <t>THRU MONTH ENDED:     SEPTEMBER 30, 2023</t>
  </si>
  <si>
    <t>(as reported on the tax remittal database dtd 10/5/23)</t>
  </si>
  <si>
    <t>(as reported on the tax remittal database as of 10/05/23)</t>
  </si>
  <si>
    <t>(as reported on the tax remittal database dtd 10/05/23)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</si>
</sst>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2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61"/>
  <sheetViews>
    <sheetView tabSelected="1" showOutlineSymbols="0" zoomScaleNormal="100" workbookViewId="0">
      <selection activeCell="A9" sqref="A9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72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77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DATE(2023,7,1)</f>
        <v>45108</v>
      </c>
      <c r="C9" s="21">
        <v>198971</v>
      </c>
      <c r="D9" s="22">
        <v>217943</v>
      </c>
      <c r="E9" s="23">
        <f>(+C9-D9)/D9</f>
        <v>-8.7050283789798247E-2</v>
      </c>
      <c r="F9" s="21">
        <f>+C9-94713</f>
        <v>104258</v>
      </c>
      <c r="G9" s="21">
        <f>+D9-101378</f>
        <v>116565</v>
      </c>
      <c r="H9" s="23">
        <f>(+F9-G9)/G9</f>
        <v>-0.1055805773602711</v>
      </c>
      <c r="I9" s="24">
        <f>K9/C9</f>
        <v>75.297311065431643</v>
      </c>
      <c r="J9" s="24">
        <f>K9/F9</f>
        <v>143.7010232308312</v>
      </c>
      <c r="K9" s="21">
        <v>14981981.279999999</v>
      </c>
      <c r="L9" s="21">
        <v>15995475.4</v>
      </c>
      <c r="M9" s="25">
        <f>(+K9-L9)/L9</f>
        <v>-6.3361300283704042E-2</v>
      </c>
      <c r="N9" s="10"/>
      <c r="R9" s="2"/>
    </row>
    <row r="10" spans="1:18" ht="15.75" x14ac:dyDescent="0.25">
      <c r="A10" s="19"/>
      <c r="B10" s="20">
        <f>DATE(2023,8,1)</f>
        <v>45139</v>
      </c>
      <c r="C10" s="21">
        <v>185586</v>
      </c>
      <c r="D10" s="22">
        <v>199444</v>
      </c>
      <c r="E10" s="23">
        <f>(+C10-D10)/D10</f>
        <v>-6.9483163193678421E-2</v>
      </c>
      <c r="F10" s="21">
        <f>+C10-87146</f>
        <v>98440</v>
      </c>
      <c r="G10" s="21">
        <f>+D10-93160</f>
        <v>106284</v>
      </c>
      <c r="H10" s="23">
        <f>(+F10-G10)/G10</f>
        <v>-7.3802265627940233E-2</v>
      </c>
      <c r="I10" s="24">
        <f>K10/C10</f>
        <v>76.121730733999328</v>
      </c>
      <c r="J10" s="24">
        <f>K10/F10</f>
        <v>143.51003169443317</v>
      </c>
      <c r="K10" s="21">
        <v>14127127.52</v>
      </c>
      <c r="L10" s="21">
        <v>15184238.189999999</v>
      </c>
      <c r="M10" s="25">
        <f>(+K10-L10)/L10</f>
        <v>-6.9618946750729285E-2</v>
      </c>
      <c r="N10" s="10"/>
      <c r="R10" s="2"/>
    </row>
    <row r="11" spans="1:18" ht="15.75" x14ac:dyDescent="0.25">
      <c r="A11" s="19"/>
      <c r="B11" s="20">
        <f>DATE(2023,9,1)</f>
        <v>45170</v>
      </c>
      <c r="C11" s="21">
        <v>185735</v>
      </c>
      <c r="D11" s="22">
        <v>190853</v>
      </c>
      <c r="E11" s="23">
        <f>(+C11-D11)/D11</f>
        <v>-2.6816450357081103E-2</v>
      </c>
      <c r="F11" s="21">
        <f>+C11-86801</f>
        <v>98934</v>
      </c>
      <c r="G11" s="21">
        <f>+D11-90801</f>
        <v>100052</v>
      </c>
      <c r="H11" s="23">
        <f>(+F11-G11)/G11</f>
        <v>-1.117418942150082E-2</v>
      </c>
      <c r="I11" s="24">
        <f>K11/C11</f>
        <v>68.829812259401834</v>
      </c>
      <c r="J11" s="24">
        <f>K11/F11</f>
        <v>129.21852123637981</v>
      </c>
      <c r="K11" s="21">
        <v>12784105.18</v>
      </c>
      <c r="L11" s="21">
        <v>13875166.15</v>
      </c>
      <c r="M11" s="25">
        <f>(+K11-L11)/L11</f>
        <v>-7.8634083239428498E-2</v>
      </c>
      <c r="N11" s="10"/>
      <c r="R11" s="2"/>
    </row>
    <row r="12" spans="1:18" ht="15.75" customHeight="1" thickBot="1" x14ac:dyDescent="0.3">
      <c r="A12" s="19"/>
      <c r="B12" s="20"/>
      <c r="C12" s="21"/>
      <c r="D12" s="21"/>
      <c r="E12" s="23"/>
      <c r="F12" s="21"/>
      <c r="G12" s="21"/>
      <c r="H12" s="23"/>
      <c r="I12" s="24"/>
      <c r="J12" s="24"/>
      <c r="K12" s="21"/>
      <c r="L12" s="21"/>
      <c r="M12" s="25"/>
      <c r="N12" s="10"/>
      <c r="R12" s="2"/>
    </row>
    <row r="13" spans="1:18" ht="17.25" thickTop="1" thickBot="1" x14ac:dyDescent="0.3">
      <c r="A13" s="26" t="s">
        <v>14</v>
      </c>
      <c r="B13" s="27"/>
      <c r="C13" s="28">
        <f>SUM(C9:C12)</f>
        <v>570292</v>
      </c>
      <c r="D13" s="28">
        <f>SUM(D9:D12)</f>
        <v>608240</v>
      </c>
      <c r="E13" s="279">
        <f>(+C13-D13)/D13</f>
        <v>-6.23898461133763E-2</v>
      </c>
      <c r="F13" s="28">
        <f>SUM(F9:F12)</f>
        <v>301632</v>
      </c>
      <c r="G13" s="28">
        <f>SUM(G9:G12)</f>
        <v>322901</v>
      </c>
      <c r="H13" s="30">
        <f>(+F13-G13)/G13</f>
        <v>-6.5868486006546892E-2</v>
      </c>
      <c r="I13" s="31">
        <f>K13/C13</f>
        <v>73.459234883182646</v>
      </c>
      <c r="J13" s="31">
        <f>K13/F13</f>
        <v>138.88849319700827</v>
      </c>
      <c r="K13" s="28">
        <f>SUM(K9:K12)</f>
        <v>41893213.979999997</v>
      </c>
      <c r="L13" s="28">
        <f>SUM(L9:L12)</f>
        <v>45054879.740000002</v>
      </c>
      <c r="M13" s="32">
        <f>(+K13-L13)/L13</f>
        <v>-7.0173658841065759E-2</v>
      </c>
      <c r="N13" s="10"/>
      <c r="R13" s="2"/>
    </row>
    <row r="14" spans="1:18" ht="15.75" customHeight="1" thickTop="1" x14ac:dyDescent="0.25">
      <c r="A14" s="15"/>
      <c r="B14" s="16"/>
      <c r="C14" s="16"/>
      <c r="D14" s="16"/>
      <c r="E14" s="17"/>
      <c r="F14" s="16"/>
      <c r="G14" s="16"/>
      <c r="H14" s="17"/>
      <c r="I14" s="16"/>
      <c r="J14" s="16"/>
      <c r="K14" s="195"/>
      <c r="L14" s="195"/>
      <c r="M14" s="18"/>
      <c r="N14" s="10"/>
      <c r="R14" s="2"/>
    </row>
    <row r="15" spans="1:18" ht="15.75" x14ac:dyDescent="0.25">
      <c r="A15" s="19" t="s">
        <v>15</v>
      </c>
      <c r="B15" s="20">
        <f>DATE(2023,7,1)</f>
        <v>45108</v>
      </c>
      <c r="C15" s="21">
        <v>114764</v>
      </c>
      <c r="D15" s="21">
        <v>114715</v>
      </c>
      <c r="E15" s="23">
        <f>(+C15-D15)/D15</f>
        <v>4.2714553458571243E-4</v>
      </c>
      <c r="F15" s="21">
        <f>+C15-56037</f>
        <v>58727</v>
      </c>
      <c r="G15" s="21">
        <f>+D15-55568</f>
        <v>59147</v>
      </c>
      <c r="H15" s="23">
        <f>(+F15-G15)/G15</f>
        <v>-7.1009518656905673E-3</v>
      </c>
      <c r="I15" s="24">
        <f>K15/C15</f>
        <v>71.4524525983758</v>
      </c>
      <c r="J15" s="24">
        <f>K15/F15</f>
        <v>139.63201372452193</v>
      </c>
      <c r="K15" s="21">
        <v>8200169.2699999996</v>
      </c>
      <c r="L15" s="21">
        <v>8395754.2100000009</v>
      </c>
      <c r="M15" s="25">
        <f>(+K15-L15)/L15</f>
        <v>-2.3295696265982199E-2</v>
      </c>
      <c r="N15" s="10"/>
      <c r="R15" s="2"/>
    </row>
    <row r="16" spans="1:18" ht="15.75" x14ac:dyDescent="0.25">
      <c r="A16" s="19"/>
      <c r="B16" s="20">
        <f>DATE(2023,8,1)</f>
        <v>45139</v>
      </c>
      <c r="C16" s="21">
        <v>103488</v>
      </c>
      <c r="D16" s="21">
        <v>103784</v>
      </c>
      <c r="E16" s="23">
        <f>(+C16-D16)/D16</f>
        <v>-2.8520773915054346E-3</v>
      </c>
      <c r="F16" s="21">
        <f>+C16-50126</f>
        <v>53362</v>
      </c>
      <c r="G16" s="21">
        <f>+D16-49858</f>
        <v>53926</v>
      </c>
      <c r="H16" s="23">
        <f>(+F16-G16)/G16</f>
        <v>-1.0458776842339501E-2</v>
      </c>
      <c r="I16" s="24">
        <f>K16/C16</f>
        <v>72.495430291434758</v>
      </c>
      <c r="J16" s="24">
        <f>K16/F16</f>
        <v>140.59456335969415</v>
      </c>
      <c r="K16" s="21">
        <v>7502407.0899999999</v>
      </c>
      <c r="L16" s="21">
        <v>7565961.5300000003</v>
      </c>
      <c r="M16" s="25">
        <f>(+K16-L16)/L16</f>
        <v>-8.4000479976006973E-3</v>
      </c>
      <c r="N16" s="10"/>
      <c r="R16" s="2"/>
    </row>
    <row r="17" spans="1:18" ht="15.75" x14ac:dyDescent="0.25">
      <c r="A17" s="19"/>
      <c r="B17" s="20">
        <f>DATE(2023,9,1)</f>
        <v>45170</v>
      </c>
      <c r="C17" s="21">
        <v>100321</v>
      </c>
      <c r="D17" s="21">
        <v>107511</v>
      </c>
      <c r="E17" s="23">
        <f>(+C17-D17)/D17</f>
        <v>-6.6876877714838481E-2</v>
      </c>
      <c r="F17" s="21">
        <f>+C17-48762</f>
        <v>51559</v>
      </c>
      <c r="G17" s="21">
        <f>+D17-51983</f>
        <v>55528</v>
      </c>
      <c r="H17" s="23">
        <f>(+F17-G17)/G17</f>
        <v>-7.1477452816597037E-2</v>
      </c>
      <c r="I17" s="24">
        <f>K17/C17</f>
        <v>71.816971820456331</v>
      </c>
      <c r="J17" s="24">
        <f>K17/F17</f>
        <v>139.73797843247542</v>
      </c>
      <c r="K17" s="21">
        <v>7204750.4299999997</v>
      </c>
      <c r="L17" s="21">
        <v>7793918.54</v>
      </c>
      <c r="M17" s="25">
        <f>(+K17-L17)/L17</f>
        <v>-7.5593311243409581E-2</v>
      </c>
      <c r="N17" s="10"/>
      <c r="R17" s="2"/>
    </row>
    <row r="18" spans="1:18" ht="15.75" customHeight="1" thickBot="1" x14ac:dyDescent="0.3">
      <c r="A18" s="19"/>
      <c r="B18" s="20"/>
      <c r="C18" s="21"/>
      <c r="D18" s="21"/>
      <c r="E18" s="23"/>
      <c r="F18" s="21"/>
      <c r="G18" s="21"/>
      <c r="H18" s="23"/>
      <c r="I18" s="24"/>
      <c r="J18" s="24"/>
      <c r="K18" s="21"/>
      <c r="L18" s="21"/>
      <c r="M18" s="25"/>
      <c r="N18" s="10"/>
      <c r="R18" s="2"/>
    </row>
    <row r="19" spans="1:18" ht="17.25" customHeight="1" thickTop="1" thickBot="1" x14ac:dyDescent="0.3">
      <c r="A19" s="26" t="s">
        <v>14</v>
      </c>
      <c r="B19" s="27"/>
      <c r="C19" s="28">
        <f>SUM(C15:C18)</f>
        <v>318573</v>
      </c>
      <c r="D19" s="28">
        <f>SUM(D15:D18)</f>
        <v>326010</v>
      </c>
      <c r="E19" s="279">
        <f>(+C19-D19)/D19</f>
        <v>-2.2812183675347382E-2</v>
      </c>
      <c r="F19" s="28">
        <f>SUM(F15:F18)</f>
        <v>163648</v>
      </c>
      <c r="G19" s="28">
        <f>SUM(G15:G18)</f>
        <v>168601</v>
      </c>
      <c r="H19" s="30">
        <f>(+F19-G19)/G19</f>
        <v>-2.9377049958185301E-2</v>
      </c>
      <c r="I19" s="31">
        <f>K19/C19</f>
        <v>71.906052270594174</v>
      </c>
      <c r="J19" s="31">
        <f>K19/F19</f>
        <v>139.97926519114196</v>
      </c>
      <c r="K19" s="28">
        <f>SUM(K15:K18)</f>
        <v>22907326.789999999</v>
      </c>
      <c r="L19" s="28">
        <f>SUM(L15:L18)</f>
        <v>23755634.280000001</v>
      </c>
      <c r="M19" s="32">
        <f>(+K19-L19)/L19</f>
        <v>-3.5709738582488486E-2</v>
      </c>
      <c r="N19" s="10"/>
      <c r="R19" s="2"/>
    </row>
    <row r="20" spans="1:18" ht="15.75" customHeight="1" thickTop="1" x14ac:dyDescent="0.25">
      <c r="A20" s="33"/>
      <c r="B20" s="34"/>
      <c r="C20" s="35"/>
      <c r="D20" s="35"/>
      <c r="E20" s="29"/>
      <c r="F20" s="35"/>
      <c r="G20" s="35"/>
      <c r="H20" s="29"/>
      <c r="I20" s="36"/>
      <c r="J20" s="36"/>
      <c r="K20" s="35"/>
      <c r="L20" s="35"/>
      <c r="M20" s="37"/>
      <c r="N20" s="10"/>
      <c r="R20" s="2"/>
    </row>
    <row r="21" spans="1:18" ht="15.75" customHeight="1" x14ac:dyDescent="0.25">
      <c r="A21" s="19" t="s">
        <v>62</v>
      </c>
      <c r="B21" s="20">
        <f>DATE(2023,7,1)</f>
        <v>45108</v>
      </c>
      <c r="C21" s="21">
        <v>62207</v>
      </c>
      <c r="D21" s="21">
        <v>56544</v>
      </c>
      <c r="E21" s="23">
        <f>(+C21-D21)/D21</f>
        <v>0.10015209394453876</v>
      </c>
      <c r="F21" s="21">
        <f>+C21-32355</f>
        <v>29852</v>
      </c>
      <c r="G21" s="21">
        <f>+D21-31773</f>
        <v>24771</v>
      </c>
      <c r="H21" s="23">
        <f>(+F21-G21)/G21</f>
        <v>0.20511888902345485</v>
      </c>
      <c r="I21" s="24">
        <f>K21/C21</f>
        <v>62.61233446396708</v>
      </c>
      <c r="J21" s="24">
        <f>K21/F21</f>
        <v>130.47452398499263</v>
      </c>
      <c r="K21" s="21">
        <v>3894925.49</v>
      </c>
      <c r="L21" s="21">
        <v>3786512.7</v>
      </c>
      <c r="M21" s="25">
        <f>(+K21-L21)/L21</f>
        <v>2.8631302359028145E-2</v>
      </c>
      <c r="N21" s="10"/>
      <c r="R21" s="2"/>
    </row>
    <row r="22" spans="1:18" ht="15.75" customHeight="1" x14ac:dyDescent="0.25">
      <c r="A22" s="19"/>
      <c r="B22" s="20">
        <f>DATE(2023,8,1)</f>
        <v>45139</v>
      </c>
      <c r="C22" s="21">
        <v>55791</v>
      </c>
      <c r="D22" s="21">
        <v>49669</v>
      </c>
      <c r="E22" s="23">
        <f>(+C22-D22)/D22</f>
        <v>0.12325595441824881</v>
      </c>
      <c r="F22" s="21">
        <f>+C22-28978</f>
        <v>26813</v>
      </c>
      <c r="G22" s="21">
        <f>+D22-27651</f>
        <v>22018</v>
      </c>
      <c r="H22" s="23">
        <f>(+F22-G22)/G22</f>
        <v>0.21777636479244256</v>
      </c>
      <c r="I22" s="24">
        <f>K22/C22</f>
        <v>67.347290960907671</v>
      </c>
      <c r="J22" s="24">
        <f>K22/F22</f>
        <v>140.13249953380821</v>
      </c>
      <c r="K22" s="21">
        <v>3757372.71</v>
      </c>
      <c r="L22" s="21">
        <v>3497013.51</v>
      </c>
      <c r="M22" s="25">
        <f>(+K22-L22)/L22</f>
        <v>7.4451871362658878E-2</v>
      </c>
      <c r="N22" s="10"/>
      <c r="R22" s="2"/>
    </row>
    <row r="23" spans="1:18" ht="15.75" customHeight="1" x14ac:dyDescent="0.25">
      <c r="A23" s="19"/>
      <c r="B23" s="20">
        <f>DATE(2023,9,1)</f>
        <v>45170</v>
      </c>
      <c r="C23" s="21">
        <v>56687</v>
      </c>
      <c r="D23" s="21">
        <v>50523</v>
      </c>
      <c r="E23" s="23">
        <f>(+C23-D23)/D23</f>
        <v>0.12200383983532252</v>
      </c>
      <c r="F23" s="21">
        <f>+C23-29799</f>
        <v>26888</v>
      </c>
      <c r="G23" s="21">
        <f>+D23-27954</f>
        <v>22569</v>
      </c>
      <c r="H23" s="23">
        <f>(+F23-G23)/G23</f>
        <v>0.19136869156808012</v>
      </c>
      <c r="I23" s="24">
        <f>K23/C23</f>
        <v>70.977173955227826</v>
      </c>
      <c r="J23" s="24">
        <f>K23/F23</f>
        <v>149.63861425171081</v>
      </c>
      <c r="K23" s="21">
        <v>4023483.06</v>
      </c>
      <c r="L23" s="21">
        <v>3596804.25</v>
      </c>
      <c r="M23" s="25">
        <f>(+K23-L23)/L23</f>
        <v>0.11862719801890804</v>
      </c>
      <c r="N23" s="10"/>
      <c r="R23" s="2"/>
    </row>
    <row r="24" spans="1:18" ht="15.75" customHeight="1" thickBot="1" x14ac:dyDescent="0.25">
      <c r="A24" s="38"/>
      <c r="B24" s="20"/>
      <c r="C24" s="21"/>
      <c r="D24" s="21"/>
      <c r="E24" s="23"/>
      <c r="F24" s="21"/>
      <c r="G24" s="21"/>
      <c r="H24" s="23"/>
      <c r="I24" s="24"/>
      <c r="J24" s="24"/>
      <c r="K24" s="21"/>
      <c r="L24" s="21"/>
      <c r="M24" s="25"/>
      <c r="N24" s="10"/>
      <c r="R24" s="2"/>
    </row>
    <row r="25" spans="1:18" ht="17.25" customHeight="1" thickTop="1" thickBot="1" x14ac:dyDescent="0.3">
      <c r="A25" s="39" t="s">
        <v>14</v>
      </c>
      <c r="B25" s="40"/>
      <c r="C25" s="41">
        <f>SUM(C21:C24)</f>
        <v>174685</v>
      </c>
      <c r="D25" s="41">
        <f>SUM(D21:D24)</f>
        <v>156736</v>
      </c>
      <c r="E25" s="280">
        <f>(+C25-D25)/D25</f>
        <v>0.11451740506329114</v>
      </c>
      <c r="F25" s="41">
        <f>SUM(F21:F24)</f>
        <v>83553</v>
      </c>
      <c r="G25" s="41">
        <f>SUM(G21:G24)</f>
        <v>69358</v>
      </c>
      <c r="H25" s="42">
        <f>(+F25-G25)/G25</f>
        <v>0.20466276420888721</v>
      </c>
      <c r="I25" s="43">
        <f>K25/C25</f>
        <v>66.839060365801302</v>
      </c>
      <c r="J25" s="43">
        <f>K25/F25</f>
        <v>139.74101779708687</v>
      </c>
      <c r="K25" s="41">
        <f>SUM(K21:K24)</f>
        <v>11675781.26</v>
      </c>
      <c r="L25" s="41">
        <f>SUM(L21:L24)</f>
        <v>10880330.460000001</v>
      </c>
      <c r="M25" s="44">
        <f>(+K25-L25)/L25</f>
        <v>7.3109066211211271E-2</v>
      </c>
      <c r="N25" s="10"/>
      <c r="R25" s="2"/>
    </row>
    <row r="26" spans="1:18" ht="15.75" customHeight="1" thickTop="1" x14ac:dyDescent="0.2">
      <c r="A26" s="38"/>
      <c r="B26" s="45"/>
      <c r="C26" s="21"/>
      <c r="D26" s="21"/>
      <c r="E26" s="23"/>
      <c r="F26" s="21"/>
      <c r="G26" s="21"/>
      <c r="H26" s="23"/>
      <c r="I26" s="24"/>
      <c r="J26" s="24"/>
      <c r="K26" s="21"/>
      <c r="L26" s="21"/>
      <c r="M26" s="25"/>
      <c r="N26" s="10"/>
      <c r="R26" s="2"/>
    </row>
    <row r="27" spans="1:18" ht="15.75" customHeight="1" x14ac:dyDescent="0.25">
      <c r="A27" s="177" t="s">
        <v>58</v>
      </c>
      <c r="B27" s="20">
        <f>DATE(2023,7,1)</f>
        <v>45108</v>
      </c>
      <c r="C27" s="21">
        <v>354470</v>
      </c>
      <c r="D27" s="21">
        <v>327697</v>
      </c>
      <c r="E27" s="23">
        <f>(+C27-D27)/D27</f>
        <v>8.1700473303081805E-2</v>
      </c>
      <c r="F27" s="21">
        <f>+C27-176639</f>
        <v>177831</v>
      </c>
      <c r="G27" s="21">
        <f>+D27-165744</f>
        <v>161953</v>
      </c>
      <c r="H27" s="23">
        <f>(+F27-G27)/G27</f>
        <v>9.804078961180096E-2</v>
      </c>
      <c r="I27" s="24">
        <f>K27/C27</f>
        <v>62.797936581375005</v>
      </c>
      <c r="J27" s="24">
        <f>K27/F27</f>
        <v>125.17493901513234</v>
      </c>
      <c r="K27" s="21">
        <v>22259984.579999998</v>
      </c>
      <c r="L27" s="21">
        <v>21404058.239999998</v>
      </c>
      <c r="M27" s="25">
        <f>(+K27-L27)/L27</f>
        <v>3.9988974539437616E-2</v>
      </c>
      <c r="N27" s="10"/>
      <c r="R27" s="2"/>
    </row>
    <row r="28" spans="1:18" ht="15.75" customHeight="1" x14ac:dyDescent="0.25">
      <c r="A28" s="177"/>
      <c r="B28" s="20">
        <f>DATE(2023,8,1)</f>
        <v>45139</v>
      </c>
      <c r="C28" s="21">
        <v>331446</v>
      </c>
      <c r="D28" s="21">
        <v>302775</v>
      </c>
      <c r="E28" s="23">
        <f>(+C28-D28)/D28</f>
        <v>9.4694079762199651E-2</v>
      </c>
      <c r="F28" s="21">
        <f>+C28-167376</f>
        <v>164070</v>
      </c>
      <c r="G28" s="21">
        <f>+D28-150422</f>
        <v>152353</v>
      </c>
      <c r="H28" s="23">
        <f>(+F28-G28)/G28</f>
        <v>7.6906920113158264E-2</v>
      </c>
      <c r="I28" s="24">
        <f>K28/C28</f>
        <v>60.207269600477908</v>
      </c>
      <c r="J28" s="24">
        <f>K28/F28</f>
        <v>121.62771183031633</v>
      </c>
      <c r="K28" s="21">
        <v>19955458.68</v>
      </c>
      <c r="L28" s="21">
        <v>19341318.82</v>
      </c>
      <c r="M28" s="25">
        <f>(+K28-L28)/L28</f>
        <v>3.1752739599377508E-2</v>
      </c>
      <c r="N28" s="10"/>
      <c r="R28" s="2"/>
    </row>
    <row r="29" spans="1:18" ht="15.75" customHeight="1" x14ac:dyDescent="0.25">
      <c r="A29" s="177"/>
      <c r="B29" s="20">
        <f>DATE(2023,9,1)</f>
        <v>45170</v>
      </c>
      <c r="C29" s="21">
        <v>316962</v>
      </c>
      <c r="D29" s="21">
        <v>299586</v>
      </c>
      <c r="E29" s="23">
        <f>(+C29-D29)/D29</f>
        <v>5.8000040055276279E-2</v>
      </c>
      <c r="F29" s="21">
        <f>+C29-158185</f>
        <v>158777</v>
      </c>
      <c r="G29" s="21">
        <f>+D29-150974</f>
        <v>148612</v>
      </c>
      <c r="H29" s="23">
        <f>(+F29-G29)/G29</f>
        <v>6.8399590880951738E-2</v>
      </c>
      <c r="I29" s="24">
        <f>K29/C29</f>
        <v>64.654702235599217</v>
      </c>
      <c r="J29" s="24">
        <f>K29/F29</f>
        <v>129.06833943203361</v>
      </c>
      <c r="K29" s="21">
        <v>20493083.73</v>
      </c>
      <c r="L29" s="21">
        <v>21154344.73</v>
      </c>
      <c r="M29" s="25">
        <f>(+K29-L29)/L29</f>
        <v>-3.1258874166980637E-2</v>
      </c>
      <c r="N29" s="10"/>
      <c r="R29" s="2"/>
    </row>
    <row r="30" spans="1:18" ht="15.75" thickBot="1" x14ac:dyDescent="0.25">
      <c r="A30" s="38"/>
      <c r="B30" s="45"/>
      <c r="C30" s="21"/>
      <c r="D30" s="21"/>
      <c r="E30" s="23"/>
      <c r="F30" s="21"/>
      <c r="G30" s="21"/>
      <c r="H30" s="23"/>
      <c r="I30" s="24"/>
      <c r="J30" s="24"/>
      <c r="K30" s="21"/>
      <c r="L30" s="21"/>
      <c r="M30" s="25"/>
      <c r="N30" s="10"/>
      <c r="R30" s="2"/>
    </row>
    <row r="31" spans="1:18" ht="17.25" thickTop="1" thickBot="1" x14ac:dyDescent="0.3">
      <c r="A31" s="39" t="s">
        <v>14</v>
      </c>
      <c r="B31" s="40"/>
      <c r="C31" s="41">
        <f>SUM(C27:C30)</f>
        <v>1002878</v>
      </c>
      <c r="D31" s="41">
        <f>SUM(D27:D30)</f>
        <v>930058</v>
      </c>
      <c r="E31" s="280">
        <f>(+C31-D31)/D31</f>
        <v>7.829619228048143E-2</v>
      </c>
      <c r="F31" s="41">
        <f>SUM(F27:F30)</f>
        <v>500678</v>
      </c>
      <c r="G31" s="41">
        <f>SUM(G27:G30)</f>
        <v>462918</v>
      </c>
      <c r="H31" s="42">
        <f>(+F31-G31)/G31</f>
        <v>8.1569522031979744E-2</v>
      </c>
      <c r="I31" s="43">
        <f>K31/C31</f>
        <v>62.528569766212833</v>
      </c>
      <c r="J31" s="43">
        <f>K31/F31</f>
        <v>125.24721875137313</v>
      </c>
      <c r="K31" s="41">
        <f>SUM(K27:K30)</f>
        <v>62708526.989999995</v>
      </c>
      <c r="L31" s="41">
        <f>SUM(L27:L30)</f>
        <v>61899721.790000007</v>
      </c>
      <c r="M31" s="44">
        <f>(+K31-L31)/L31</f>
        <v>1.3066378597692692E-2</v>
      </c>
      <c r="N31" s="10"/>
      <c r="R31" s="2"/>
    </row>
    <row r="32" spans="1:18" ht="15.75" thickTop="1" x14ac:dyDescent="0.2">
      <c r="A32" s="38"/>
      <c r="B32" s="45"/>
      <c r="C32" s="21"/>
      <c r="D32" s="21"/>
      <c r="E32" s="23"/>
      <c r="F32" s="21"/>
      <c r="G32" s="21"/>
      <c r="H32" s="23"/>
      <c r="I32" s="24"/>
      <c r="J32" s="24"/>
      <c r="K32" s="21"/>
      <c r="L32" s="21"/>
      <c r="M32" s="25"/>
      <c r="N32" s="10"/>
      <c r="R32" s="2"/>
    </row>
    <row r="33" spans="1:18" ht="15.75" x14ac:dyDescent="0.25">
      <c r="A33" s="19" t="s">
        <v>60</v>
      </c>
      <c r="B33" s="20">
        <f>DATE(2023,7,1)</f>
        <v>45108</v>
      </c>
      <c r="C33" s="21">
        <v>199698</v>
      </c>
      <c r="D33" s="21">
        <v>219130</v>
      </c>
      <c r="E33" s="23">
        <f>(+C33-D33)/D33</f>
        <v>-8.8677953726098657E-2</v>
      </c>
      <c r="F33" s="21">
        <f>+C33-94634</f>
        <v>105064</v>
      </c>
      <c r="G33" s="21">
        <f>+D33-103416</f>
        <v>115714</v>
      </c>
      <c r="H33" s="23">
        <f>(+F33-G33)/G33</f>
        <v>-9.2037264289541454E-2</v>
      </c>
      <c r="I33" s="24">
        <f>K33/C33</f>
        <v>76.994882722911598</v>
      </c>
      <c r="J33" s="24">
        <f>K33/F33</f>
        <v>146.34626599025356</v>
      </c>
      <c r="K33" s="21">
        <v>15375724.09</v>
      </c>
      <c r="L33" s="21">
        <v>15073309.060000001</v>
      </c>
      <c r="M33" s="25">
        <f>(+K33-L33)/L33</f>
        <v>2.0062948938167617E-2</v>
      </c>
      <c r="N33" s="10"/>
      <c r="R33" s="2"/>
    </row>
    <row r="34" spans="1:18" ht="15.75" x14ac:dyDescent="0.25">
      <c r="A34" s="19"/>
      <c r="B34" s="20">
        <f>DATE(2023,8,1)</f>
        <v>45139</v>
      </c>
      <c r="C34" s="21">
        <v>185862</v>
      </c>
      <c r="D34" s="21">
        <v>204381</v>
      </c>
      <c r="E34" s="23">
        <f>(+C34-D34)/D34</f>
        <v>-9.0610183921205983E-2</v>
      </c>
      <c r="F34" s="21">
        <f>+C34-90658</f>
        <v>95204</v>
      </c>
      <c r="G34" s="21">
        <f>+D34-97907</f>
        <v>106474</v>
      </c>
      <c r="H34" s="23">
        <f>(+F34-G34)/G34</f>
        <v>-0.10584743693296016</v>
      </c>
      <c r="I34" s="24">
        <f>K34/C34</f>
        <v>75.718013848984725</v>
      </c>
      <c r="J34" s="24">
        <f>K34/F34</f>
        <v>147.8204853787656</v>
      </c>
      <c r="K34" s="21">
        <v>14073101.49</v>
      </c>
      <c r="L34" s="21">
        <v>15308950.33</v>
      </c>
      <c r="M34" s="25">
        <f>(+K34-L34)/L34</f>
        <v>-8.0727209466359265E-2</v>
      </c>
      <c r="N34" s="10"/>
      <c r="R34" s="2"/>
    </row>
    <row r="35" spans="1:18" ht="15.75" x14ac:dyDescent="0.25">
      <c r="A35" s="19"/>
      <c r="B35" s="20">
        <f>DATE(2023,9,1)</f>
        <v>45170</v>
      </c>
      <c r="C35" s="21">
        <v>187814</v>
      </c>
      <c r="D35" s="21">
        <v>195879</v>
      </c>
      <c r="E35" s="23">
        <f>(+C35-D35)/D35</f>
        <v>-4.1173377442196457E-2</v>
      </c>
      <c r="F35" s="21">
        <f>+C35-91727</f>
        <v>96087</v>
      </c>
      <c r="G35" s="21">
        <f>+D35-93599</f>
        <v>102280</v>
      </c>
      <c r="H35" s="23">
        <f>(+F35-G35)/G35</f>
        <v>-6.0549472037543996E-2</v>
      </c>
      <c r="I35" s="24">
        <f>K35/C35</f>
        <v>73.653511825529506</v>
      </c>
      <c r="J35" s="24">
        <f>K35/F35</f>
        <v>143.96495540499757</v>
      </c>
      <c r="K35" s="21">
        <v>13833160.67</v>
      </c>
      <c r="L35" s="21">
        <v>13847415.310000001</v>
      </c>
      <c r="M35" s="25">
        <f>(+K35-L35)/L35</f>
        <v>-1.0294079928191736E-3</v>
      </c>
      <c r="N35" s="10"/>
      <c r="R35" s="2"/>
    </row>
    <row r="36" spans="1:18" ht="15.75" thickBot="1" x14ac:dyDescent="0.25">
      <c r="A36" s="38"/>
      <c r="B36" s="20"/>
      <c r="C36" s="21"/>
      <c r="D36" s="21"/>
      <c r="E36" s="23"/>
      <c r="F36" s="21"/>
      <c r="G36" s="21"/>
      <c r="H36" s="23"/>
      <c r="I36" s="24"/>
      <c r="J36" s="24"/>
      <c r="K36" s="21"/>
      <c r="L36" s="21"/>
      <c r="M36" s="25"/>
      <c r="N36" s="10"/>
      <c r="R36" s="2"/>
    </row>
    <row r="37" spans="1:18" ht="17.25" thickTop="1" thickBot="1" x14ac:dyDescent="0.3">
      <c r="A37" s="39" t="s">
        <v>14</v>
      </c>
      <c r="B37" s="40"/>
      <c r="C37" s="41">
        <f>SUM(C33:C36)</f>
        <v>573374</v>
      </c>
      <c r="D37" s="41">
        <f>SUM(D33:D36)</f>
        <v>619390</v>
      </c>
      <c r="E37" s="281">
        <f>(+C37-D37)/D37</f>
        <v>-7.4292449022425294E-2</v>
      </c>
      <c r="F37" s="47">
        <f>SUM(F33:F36)</f>
        <v>296355</v>
      </c>
      <c r="G37" s="48">
        <f>SUM(G33:G36)</f>
        <v>324468</v>
      </c>
      <c r="H37" s="49">
        <f>(+F37-G37)/G37</f>
        <v>-8.6643366988424134E-2</v>
      </c>
      <c r="I37" s="50">
        <f>K37/C37</f>
        <v>75.486482208820078</v>
      </c>
      <c r="J37" s="51">
        <f>K37/F37</f>
        <v>146.04776787973881</v>
      </c>
      <c r="K37" s="48">
        <f>SUM(K33:K36)</f>
        <v>43281986.25</v>
      </c>
      <c r="L37" s="47">
        <f>SUM(L33:L36)</f>
        <v>44229674.700000003</v>
      </c>
      <c r="M37" s="44">
        <f>(+K37-L37)/L37</f>
        <v>-2.1426529958177669E-2</v>
      </c>
      <c r="N37" s="10"/>
      <c r="R37" s="2"/>
    </row>
    <row r="38" spans="1:18" ht="15.75" customHeight="1" thickTop="1" x14ac:dyDescent="0.25">
      <c r="A38" s="273"/>
      <c r="B38" s="45"/>
      <c r="C38" s="21"/>
      <c r="D38" s="21"/>
      <c r="E38" s="23"/>
      <c r="F38" s="21"/>
      <c r="G38" s="21"/>
      <c r="H38" s="23"/>
      <c r="I38" s="24"/>
      <c r="J38" s="24"/>
      <c r="K38" s="21"/>
      <c r="L38" s="21"/>
      <c r="M38" s="25"/>
      <c r="N38" s="10"/>
      <c r="R38" s="2"/>
    </row>
    <row r="39" spans="1:18" ht="15.75" x14ac:dyDescent="0.25">
      <c r="A39" s="274" t="s">
        <v>61</v>
      </c>
      <c r="B39" s="20">
        <f>DATE(2023,7,1)</f>
        <v>45108</v>
      </c>
      <c r="C39" s="21">
        <v>94450</v>
      </c>
      <c r="D39" s="21">
        <v>95268</v>
      </c>
      <c r="E39" s="23">
        <f>(+C39-D39)/D39</f>
        <v>-8.5863039005752186E-3</v>
      </c>
      <c r="F39" s="21">
        <f>+C39-47449</f>
        <v>47001</v>
      </c>
      <c r="G39" s="21">
        <f>+D39-47922</f>
        <v>47346</v>
      </c>
      <c r="H39" s="23">
        <f>(+F39-G39)/G39</f>
        <v>-7.2867824103408944E-3</v>
      </c>
      <c r="I39" s="24">
        <f>K39/C39</f>
        <v>66.529558814187396</v>
      </c>
      <c r="J39" s="24">
        <f>K39/F39</f>
        <v>133.69325822854833</v>
      </c>
      <c r="K39" s="21">
        <v>6283716.8300000001</v>
      </c>
      <c r="L39" s="21">
        <v>6260150.0999999996</v>
      </c>
      <c r="M39" s="25">
        <f>(+K39-L39)/L39</f>
        <v>3.7645630893100228E-3</v>
      </c>
      <c r="N39" s="10"/>
      <c r="R39" s="2"/>
    </row>
    <row r="40" spans="1:18" ht="15.75" x14ac:dyDescent="0.25">
      <c r="A40" s="274"/>
      <c r="B40" s="20">
        <f>DATE(2023,8,1)</f>
        <v>45139</v>
      </c>
      <c r="C40" s="21">
        <v>85640</v>
      </c>
      <c r="D40" s="21">
        <v>85207</v>
      </c>
      <c r="E40" s="23">
        <f>(+C40-D40)/D40</f>
        <v>5.0817421103899916E-3</v>
      </c>
      <c r="F40" s="21">
        <f>+C40-42807</f>
        <v>42833</v>
      </c>
      <c r="G40" s="21">
        <f>+D40-42477</f>
        <v>42730</v>
      </c>
      <c r="H40" s="23">
        <f>(+F40-G40)/G40</f>
        <v>2.4104844371635853E-3</v>
      </c>
      <c r="I40" s="24">
        <f>K40/C40</f>
        <v>70.000778608127035</v>
      </c>
      <c r="J40" s="24">
        <f>K40/F40</f>
        <v>139.95906614059254</v>
      </c>
      <c r="K40" s="21">
        <v>5994866.6799999997</v>
      </c>
      <c r="L40" s="21">
        <v>5465144.5899999999</v>
      </c>
      <c r="M40" s="25">
        <f>(+K40-L40)/L40</f>
        <v>9.6927369674587122E-2</v>
      </c>
      <c r="N40" s="10"/>
      <c r="R40" s="2"/>
    </row>
    <row r="41" spans="1:18" ht="15.75" x14ac:dyDescent="0.25">
      <c r="A41" s="274"/>
      <c r="B41" s="20">
        <f>DATE(2023,9,1)</f>
        <v>45170</v>
      </c>
      <c r="C41" s="21">
        <v>85140</v>
      </c>
      <c r="D41" s="21">
        <v>84321</v>
      </c>
      <c r="E41" s="23">
        <f>(+C41-D41)/D41</f>
        <v>9.7128829117301748E-3</v>
      </c>
      <c r="F41" s="21">
        <f>+C41-42349</f>
        <v>42791</v>
      </c>
      <c r="G41" s="21">
        <f>+D41-41917</f>
        <v>42404</v>
      </c>
      <c r="H41" s="23">
        <f>(+F41-G41)/G41</f>
        <v>9.1264975002358275E-3</v>
      </c>
      <c r="I41" s="24">
        <f>K41/C41</f>
        <v>61.348339558374441</v>
      </c>
      <c r="J41" s="24">
        <f>K41/F41</f>
        <v>122.06299525601177</v>
      </c>
      <c r="K41" s="21">
        <v>5223197.63</v>
      </c>
      <c r="L41" s="21">
        <v>5380839.7999999998</v>
      </c>
      <c r="M41" s="25">
        <f>(+K41-L41)/L41</f>
        <v>-2.9296945432198136E-2</v>
      </c>
      <c r="N41" s="10"/>
      <c r="R41" s="2"/>
    </row>
    <row r="42" spans="1:18" ht="15.75" customHeight="1" thickBot="1" x14ac:dyDescent="0.3">
      <c r="A42" s="19"/>
      <c r="B42" s="20"/>
      <c r="C42" s="21"/>
      <c r="D42" s="21"/>
      <c r="E42" s="23"/>
      <c r="F42" s="21"/>
      <c r="G42" s="21"/>
      <c r="H42" s="23"/>
      <c r="I42" s="24"/>
      <c r="J42" s="24"/>
      <c r="K42" s="21"/>
      <c r="L42" s="21"/>
      <c r="M42" s="25"/>
      <c r="N42" s="10"/>
      <c r="R42" s="2"/>
    </row>
    <row r="43" spans="1:18" ht="17.45" customHeight="1" thickTop="1" thickBot="1" x14ac:dyDescent="0.3">
      <c r="A43" s="39" t="s">
        <v>14</v>
      </c>
      <c r="B43" s="52"/>
      <c r="C43" s="47">
        <f>SUM(C39:C42)</f>
        <v>265230</v>
      </c>
      <c r="D43" s="48">
        <f>SUM(D39:D42)</f>
        <v>264796</v>
      </c>
      <c r="E43" s="281">
        <f>(+C43-D43)/D43</f>
        <v>1.6389975679390928E-3</v>
      </c>
      <c r="F43" s="48">
        <f>SUM(F39:F42)</f>
        <v>132625</v>
      </c>
      <c r="G43" s="47">
        <f>SUM(G39:G42)</f>
        <v>132480</v>
      </c>
      <c r="H43" s="46">
        <f>(+F43-G43)/G43</f>
        <v>1.0945048309178745E-3</v>
      </c>
      <c r="I43" s="51">
        <f>K43/C43</f>
        <v>65.987185235456025</v>
      </c>
      <c r="J43" s="50">
        <f>K43/F43</f>
        <v>131.96441952874648</v>
      </c>
      <c r="K43" s="47">
        <f>SUM(K39:K42)</f>
        <v>17501781.140000001</v>
      </c>
      <c r="L43" s="48">
        <f>SUM(L39:L42)</f>
        <v>17106134.489999998</v>
      </c>
      <c r="M43" s="44">
        <f>(+K43-L43)/L43</f>
        <v>2.3128933671794267E-2</v>
      </c>
      <c r="N43" s="10"/>
      <c r="R43" s="2"/>
    </row>
    <row r="44" spans="1:18" ht="15.75" customHeight="1" thickTop="1" x14ac:dyDescent="0.25">
      <c r="A44" s="19"/>
      <c r="B44" s="45"/>
      <c r="C44" s="21"/>
      <c r="D44" s="21"/>
      <c r="E44" s="23"/>
      <c r="F44" s="21"/>
      <c r="G44" s="21"/>
      <c r="H44" s="23"/>
      <c r="I44" s="24"/>
      <c r="J44" s="24"/>
      <c r="K44" s="21"/>
      <c r="L44" s="21"/>
      <c r="M44" s="25"/>
      <c r="N44" s="10"/>
      <c r="R44" s="2"/>
    </row>
    <row r="45" spans="1:18" ht="15.75" x14ac:dyDescent="0.25">
      <c r="A45" s="19" t="s">
        <v>67</v>
      </c>
      <c r="B45" s="20">
        <f>DATE(2023,7,1)</f>
        <v>45108</v>
      </c>
      <c r="C45" s="21">
        <v>219120</v>
      </c>
      <c r="D45" s="21">
        <v>220596</v>
      </c>
      <c r="E45" s="23">
        <f>(+C45-D45)/D45</f>
        <v>-6.6909644780503725E-3</v>
      </c>
      <c r="F45" s="21">
        <f>+C45-104679</f>
        <v>114441</v>
      </c>
      <c r="G45" s="21">
        <f>+D45-105104</f>
        <v>115492</v>
      </c>
      <c r="H45" s="23">
        <f>(+F45-G45)/G45</f>
        <v>-9.1001974162712562E-3</v>
      </c>
      <c r="I45" s="24">
        <f>K45/C45</f>
        <v>49.308570098576126</v>
      </c>
      <c r="J45" s="24">
        <f>K45/F45</f>
        <v>94.411040448790217</v>
      </c>
      <c r="K45" s="21">
        <v>10804493.880000001</v>
      </c>
      <c r="L45" s="21">
        <v>10606782.82</v>
      </c>
      <c r="M45" s="25">
        <f>(+K45-L45)/L45</f>
        <v>1.8640059229571414E-2</v>
      </c>
      <c r="N45" s="10"/>
      <c r="R45" s="2"/>
    </row>
    <row r="46" spans="1:18" ht="15.75" x14ac:dyDescent="0.25">
      <c r="A46" s="19"/>
      <c r="B46" s="20">
        <f>DATE(2023,8,1)</f>
        <v>45139</v>
      </c>
      <c r="C46" s="21">
        <v>218088</v>
      </c>
      <c r="D46" s="21">
        <v>204208</v>
      </c>
      <c r="E46" s="23">
        <f>(+C46-D46)/D46</f>
        <v>6.7969913029851919E-2</v>
      </c>
      <c r="F46" s="21">
        <f>+C46-101100</f>
        <v>116988</v>
      </c>
      <c r="G46" s="21">
        <f>+D46-95602</f>
        <v>108606</v>
      </c>
      <c r="H46" s="23">
        <f>(+F46-G46)/G46</f>
        <v>7.7178056460969008E-2</v>
      </c>
      <c r="I46" s="24">
        <f>K46/C46</f>
        <v>49.852029364293315</v>
      </c>
      <c r="J46" s="24">
        <f>K46/F46</f>
        <v>92.93371439805793</v>
      </c>
      <c r="K46" s="21">
        <v>10872129.380000001</v>
      </c>
      <c r="L46" s="21">
        <v>10300469.970000001</v>
      </c>
      <c r="M46" s="25">
        <f>(+K46-L46)/L46</f>
        <v>5.5498381303469797E-2</v>
      </c>
      <c r="N46" s="10"/>
      <c r="R46" s="2"/>
    </row>
    <row r="47" spans="1:18" ht="15.75" x14ac:dyDescent="0.25">
      <c r="A47" s="19"/>
      <c r="B47" s="20">
        <f>DATE(2023,9,1)</f>
        <v>45170</v>
      </c>
      <c r="C47" s="21">
        <v>241793</v>
      </c>
      <c r="D47" s="21">
        <v>202639</v>
      </c>
      <c r="E47" s="23">
        <f>(+C47-D47)/D47</f>
        <v>0.19322045608199803</v>
      </c>
      <c r="F47" s="21">
        <f>+C47-107184</f>
        <v>134609</v>
      </c>
      <c r="G47" s="21">
        <f>+D47-96056</f>
        <v>106583</v>
      </c>
      <c r="H47" s="23">
        <f>(+F47-G47)/G47</f>
        <v>0.26295000140735392</v>
      </c>
      <c r="I47" s="24">
        <f>K47/C47</f>
        <v>48.595700785382533</v>
      </c>
      <c r="J47" s="24">
        <f>K47/F47</f>
        <v>87.290599291280671</v>
      </c>
      <c r="K47" s="21">
        <v>11750100.279999999</v>
      </c>
      <c r="L47" s="21">
        <v>9829370.3000000007</v>
      </c>
      <c r="M47" s="25">
        <f>(+K47-L47)/L47</f>
        <v>0.19540722562868534</v>
      </c>
      <c r="N47" s="10"/>
      <c r="R47" s="2"/>
    </row>
    <row r="48" spans="1:18" ht="15.75" customHeight="1" thickBot="1" x14ac:dyDescent="0.3">
      <c r="A48" s="19"/>
      <c r="B48" s="45"/>
      <c r="C48" s="21"/>
      <c r="D48" s="21"/>
      <c r="E48" s="23"/>
      <c r="F48" s="21"/>
      <c r="G48" s="21"/>
      <c r="H48" s="23"/>
      <c r="I48" s="24"/>
      <c r="J48" s="24"/>
      <c r="K48" s="21"/>
      <c r="L48" s="21"/>
      <c r="M48" s="25"/>
      <c r="N48" s="10"/>
      <c r="R48" s="2"/>
    </row>
    <row r="49" spans="1:18" ht="17.45" customHeight="1" thickTop="1" thickBot="1" x14ac:dyDescent="0.3">
      <c r="A49" s="39" t="s">
        <v>14</v>
      </c>
      <c r="B49" s="52"/>
      <c r="C49" s="47">
        <f>SUM(C45:C48)</f>
        <v>679001</v>
      </c>
      <c r="D49" s="48">
        <f>SUM(D45:D48)</f>
        <v>627443</v>
      </c>
      <c r="E49" s="281">
        <f>(+C49-D49)/D49</f>
        <v>8.2171607620134424E-2</v>
      </c>
      <c r="F49" s="48">
        <f>SUM(F45:F48)</f>
        <v>366038</v>
      </c>
      <c r="G49" s="47">
        <f>SUM(G45:G48)</f>
        <v>330681</v>
      </c>
      <c r="H49" s="53">
        <f>(+F49-G49)/G49</f>
        <v>0.10692177657621696</v>
      </c>
      <c r="I49" s="51">
        <f>K49/C49</f>
        <v>49.22926997162007</v>
      </c>
      <c r="J49" s="50">
        <f>K49/F49</f>
        <v>91.320364388396825</v>
      </c>
      <c r="K49" s="47">
        <f>SUM(K45:K48)</f>
        <v>33426723.539999999</v>
      </c>
      <c r="L49" s="48">
        <f>SUM(L45:L48)</f>
        <v>30736623.09</v>
      </c>
      <c r="M49" s="44">
        <f>(+K49-L49)/L49</f>
        <v>8.7521014983432233E-2</v>
      </c>
      <c r="N49" s="10"/>
      <c r="R49" s="2"/>
    </row>
    <row r="50" spans="1:18" ht="15.75" customHeight="1" thickTop="1" x14ac:dyDescent="0.25">
      <c r="A50" s="19"/>
      <c r="B50" s="45"/>
      <c r="C50" s="21"/>
      <c r="D50" s="21"/>
      <c r="E50" s="23"/>
      <c r="F50" s="21"/>
      <c r="G50" s="21"/>
      <c r="H50" s="23"/>
      <c r="I50" s="24"/>
      <c r="J50" s="24"/>
      <c r="K50" s="21"/>
      <c r="L50" s="21"/>
      <c r="M50" s="25"/>
      <c r="N50" s="10"/>
      <c r="R50" s="2"/>
    </row>
    <row r="51" spans="1:18" ht="15.75" customHeight="1" x14ac:dyDescent="0.25">
      <c r="A51" s="19" t="s">
        <v>69</v>
      </c>
      <c r="B51" s="20">
        <f>DATE(2023,7,1)</f>
        <v>45108</v>
      </c>
      <c r="C51" s="21">
        <v>227955</v>
      </c>
      <c r="D51" s="21">
        <v>226404</v>
      </c>
      <c r="E51" s="23">
        <f>(+C51-D51)/D51</f>
        <v>6.8505856786982566E-3</v>
      </c>
      <c r="F51" s="21">
        <f>+C51-105186</f>
        <v>122769</v>
      </c>
      <c r="G51" s="21">
        <f>+D51-105902</f>
        <v>120502</v>
      </c>
      <c r="H51" s="23">
        <f>(+F51-G51)/G51</f>
        <v>1.8812965759904401E-2</v>
      </c>
      <c r="I51" s="24">
        <f>K51/C51</f>
        <v>61.567241209887918</v>
      </c>
      <c r="J51" s="24">
        <f>K51/F51</f>
        <v>114.31681018823971</v>
      </c>
      <c r="K51" s="21">
        <v>14034560.470000001</v>
      </c>
      <c r="L51" s="21">
        <v>13168404.74</v>
      </c>
      <c r="M51" s="25">
        <f>(+K51-L51)/L51</f>
        <v>6.5775296788151458E-2</v>
      </c>
      <c r="N51" s="10"/>
      <c r="R51" s="2"/>
    </row>
    <row r="52" spans="1:18" ht="15.75" customHeight="1" x14ac:dyDescent="0.25">
      <c r="A52" s="19"/>
      <c r="B52" s="20">
        <f>DATE(2023,8,1)</f>
        <v>45139</v>
      </c>
      <c r="C52" s="21">
        <v>213907</v>
      </c>
      <c r="D52" s="21">
        <v>232585</v>
      </c>
      <c r="E52" s="23">
        <f>(+C52-D52)/D52</f>
        <v>-8.0306124642603782E-2</v>
      </c>
      <c r="F52" s="21">
        <f>+C52-98800</f>
        <v>115107</v>
      </c>
      <c r="G52" s="21">
        <f>+D52-107552</f>
        <v>125033</v>
      </c>
      <c r="H52" s="23">
        <f>(+F52-G52)/G52</f>
        <v>-7.9387041820959264E-2</v>
      </c>
      <c r="I52" s="24">
        <f>K52/C52</f>
        <v>61.08485257611953</v>
      </c>
      <c r="J52" s="24">
        <f>K52/F52</f>
        <v>113.51592483515338</v>
      </c>
      <c r="K52" s="21">
        <v>13066477.560000001</v>
      </c>
      <c r="L52" s="21">
        <v>13927721.449999999</v>
      </c>
      <c r="M52" s="25">
        <f>(+K52-L52)/L52</f>
        <v>-6.1836668193848664E-2</v>
      </c>
      <c r="N52" s="10"/>
      <c r="R52" s="2"/>
    </row>
    <row r="53" spans="1:18" ht="15.75" customHeight="1" x14ac:dyDescent="0.25">
      <c r="A53" s="19"/>
      <c r="B53" s="20">
        <f>DATE(2023,9,1)</f>
        <v>45170</v>
      </c>
      <c r="C53" s="21">
        <v>210806</v>
      </c>
      <c r="D53" s="21">
        <v>229799</v>
      </c>
      <c r="E53" s="23">
        <f>(+C53-D53)/D53</f>
        <v>-8.2650490211010494E-2</v>
      </c>
      <c r="F53" s="21">
        <f>+C53-94978</f>
        <v>115828</v>
      </c>
      <c r="G53" s="21">
        <f>+D53-107359</f>
        <v>122440</v>
      </c>
      <c r="H53" s="23">
        <f>(+F53-G53)/G53</f>
        <v>-5.4001960143743873E-2</v>
      </c>
      <c r="I53" s="24">
        <f>K53/C53</f>
        <v>64.684465907042494</v>
      </c>
      <c r="J53" s="24">
        <f>K53/F53</f>
        <v>117.72519183617086</v>
      </c>
      <c r="K53" s="21">
        <v>13635873.52</v>
      </c>
      <c r="L53" s="21">
        <v>13521948.51</v>
      </c>
      <c r="M53" s="25">
        <f>(+K53-L53)/L53</f>
        <v>8.4251918217073413E-3</v>
      </c>
      <c r="N53" s="10"/>
      <c r="R53" s="2"/>
    </row>
    <row r="54" spans="1:18" ht="15.75" customHeight="1" thickBot="1" x14ac:dyDescent="0.3">
      <c r="A54" s="19"/>
      <c r="B54" s="45"/>
      <c r="C54" s="21"/>
      <c r="D54" s="21"/>
      <c r="E54" s="23"/>
      <c r="F54" s="21"/>
      <c r="G54" s="21"/>
      <c r="H54" s="23"/>
      <c r="I54" s="24"/>
      <c r="J54" s="24"/>
      <c r="K54" s="21"/>
      <c r="L54" s="21"/>
      <c r="M54" s="25"/>
      <c r="N54" s="10"/>
      <c r="R54" s="2"/>
    </row>
    <row r="55" spans="1:18" ht="17.25" thickTop="1" thickBot="1" x14ac:dyDescent="0.3">
      <c r="A55" s="39" t="s">
        <v>14</v>
      </c>
      <c r="B55" s="40"/>
      <c r="C55" s="41">
        <f>SUM(C51:C54)</f>
        <v>652668</v>
      </c>
      <c r="D55" s="41">
        <f>SUM(D51:D54)</f>
        <v>688788</v>
      </c>
      <c r="E55" s="280">
        <f>(+C55-D55)/D55</f>
        <v>-5.2439937978013551E-2</v>
      </c>
      <c r="F55" s="41">
        <f>SUM(F51:F54)</f>
        <v>353704</v>
      </c>
      <c r="G55" s="41">
        <f>SUM(G51:G54)</f>
        <v>367975</v>
      </c>
      <c r="H55" s="42">
        <f>(+F55-G55)/G55</f>
        <v>-3.8782525986819756E-2</v>
      </c>
      <c r="I55" s="43">
        <f>K55/C55</f>
        <v>62.415978031709841</v>
      </c>
      <c r="J55" s="43">
        <f>K55/F55</f>
        <v>115.17232360957183</v>
      </c>
      <c r="K55" s="41">
        <f>SUM(K51:K54)</f>
        <v>40736911.549999997</v>
      </c>
      <c r="L55" s="41">
        <f>SUM(L51:L54)</f>
        <v>40618074.699999996</v>
      </c>
      <c r="M55" s="44">
        <f>(+K55-L55)/L55</f>
        <v>2.9257135124625073E-3</v>
      </c>
      <c r="N55" s="10"/>
      <c r="R55" s="2"/>
    </row>
    <row r="56" spans="1:18" ht="15.75" customHeight="1" thickTop="1" x14ac:dyDescent="0.2">
      <c r="A56" s="54"/>
      <c r="B56" s="55"/>
      <c r="C56" s="55"/>
      <c r="D56" s="55"/>
      <c r="E56" s="56"/>
      <c r="F56" s="55"/>
      <c r="G56" s="55"/>
      <c r="H56" s="56"/>
      <c r="I56" s="55"/>
      <c r="J56" s="55"/>
      <c r="K56" s="196"/>
      <c r="L56" s="196"/>
      <c r="M56" s="57"/>
      <c r="N56" s="10"/>
      <c r="R56" s="2"/>
    </row>
    <row r="57" spans="1:18" ht="15.75" customHeight="1" x14ac:dyDescent="0.25">
      <c r="A57" s="19" t="s">
        <v>16</v>
      </c>
      <c r="B57" s="20">
        <f>DATE(2023,7,1)</f>
        <v>45108</v>
      </c>
      <c r="C57" s="21">
        <v>262088</v>
      </c>
      <c r="D57" s="21">
        <v>271337</v>
      </c>
      <c r="E57" s="23">
        <f>(+C57-D57)/D57</f>
        <v>-3.4086762955291762E-2</v>
      </c>
      <c r="F57" s="21">
        <f>+C57-132418</f>
        <v>129670</v>
      </c>
      <c r="G57" s="21">
        <f>+D57-134570</f>
        <v>136767</v>
      </c>
      <c r="H57" s="23">
        <f>(+F57-G57)/G57</f>
        <v>-5.1891172578180406E-2</v>
      </c>
      <c r="I57" s="24">
        <f>K57/C57</f>
        <v>67.305416539482934</v>
      </c>
      <c r="J57" s="24">
        <f>K57/F57</f>
        <v>136.03718678183083</v>
      </c>
      <c r="K57" s="21">
        <v>17639942.010000002</v>
      </c>
      <c r="L57" s="21">
        <v>18204043.98</v>
      </c>
      <c r="M57" s="25">
        <f>(+K57-L57)/L57</f>
        <v>-3.0987728365178272E-2</v>
      </c>
      <c r="N57" s="10"/>
      <c r="R57" s="2"/>
    </row>
    <row r="58" spans="1:18" ht="15.75" customHeight="1" x14ac:dyDescent="0.25">
      <c r="A58" s="19"/>
      <c r="B58" s="20">
        <f>DATE(2023,8,1)</f>
        <v>45139</v>
      </c>
      <c r="C58" s="21">
        <v>239223</v>
      </c>
      <c r="D58" s="21">
        <v>244622</v>
      </c>
      <c r="E58" s="23">
        <f>(+C58-D58)/D58</f>
        <v>-2.2070786764886233E-2</v>
      </c>
      <c r="F58" s="21">
        <f>+C58-117748</f>
        <v>121475</v>
      </c>
      <c r="G58" s="21">
        <f>+D58-120033</f>
        <v>124589</v>
      </c>
      <c r="H58" s="23">
        <f>(+F58-G58)/G58</f>
        <v>-2.4994180866689676E-2</v>
      </c>
      <c r="I58" s="24">
        <f>K58/C58</f>
        <v>68.308714588480214</v>
      </c>
      <c r="J58" s="24">
        <f>K58/F58</f>
        <v>134.52163515126571</v>
      </c>
      <c r="K58" s="21">
        <v>16341015.630000001</v>
      </c>
      <c r="L58" s="21">
        <v>16440004.18</v>
      </c>
      <c r="M58" s="25">
        <f>(+K58-L58)/L58</f>
        <v>-6.0211998072617814E-3</v>
      </c>
      <c r="N58" s="10"/>
      <c r="R58" s="2"/>
    </row>
    <row r="59" spans="1:18" ht="15.75" customHeight="1" x14ac:dyDescent="0.25">
      <c r="A59" s="19"/>
      <c r="B59" s="20">
        <f>DATE(2023,9,1)</f>
        <v>45170</v>
      </c>
      <c r="C59" s="21">
        <v>248313</v>
      </c>
      <c r="D59" s="21">
        <v>238237</v>
      </c>
      <c r="E59" s="23">
        <f>(+C59-D59)/D59</f>
        <v>4.2294018141598493E-2</v>
      </c>
      <c r="F59" s="21">
        <f>+C59-122761</f>
        <v>125552</v>
      </c>
      <c r="G59" s="21">
        <f>+D59-117564</f>
        <v>120673</v>
      </c>
      <c r="H59" s="23">
        <f>(+F59-G59)/G59</f>
        <v>4.0431579557978999E-2</v>
      </c>
      <c r="I59" s="24">
        <f>K59/C59</f>
        <v>67.885279143661435</v>
      </c>
      <c r="J59" s="24">
        <f>K59/F59</f>
        <v>134.26147986491654</v>
      </c>
      <c r="K59" s="21">
        <v>16856797.32</v>
      </c>
      <c r="L59" s="21">
        <v>16961699.789999999</v>
      </c>
      <c r="M59" s="25">
        <f>(+K59-L59)/L59</f>
        <v>-6.1846672974276724E-3</v>
      </c>
      <c r="N59" s="10"/>
      <c r="R59" s="2"/>
    </row>
    <row r="60" spans="1:18" ht="15.75" customHeight="1" thickBot="1" x14ac:dyDescent="0.3">
      <c r="A60" s="19"/>
      <c r="B60" s="45"/>
      <c r="C60" s="21"/>
      <c r="D60" s="21"/>
      <c r="E60" s="23"/>
      <c r="F60" s="21"/>
      <c r="G60" s="21"/>
      <c r="H60" s="23"/>
      <c r="I60" s="24"/>
      <c r="J60" s="24"/>
      <c r="K60" s="21"/>
      <c r="L60" s="21"/>
      <c r="M60" s="25"/>
      <c r="N60" s="10"/>
      <c r="R60" s="2"/>
    </row>
    <row r="61" spans="1:18" ht="17.25" thickTop="1" thickBot="1" x14ac:dyDescent="0.3">
      <c r="A61" s="39" t="s">
        <v>14</v>
      </c>
      <c r="B61" s="40"/>
      <c r="C61" s="41">
        <f>SUM(C57:C60)</f>
        <v>749624</v>
      </c>
      <c r="D61" s="41">
        <f>SUM(D57:D60)</f>
        <v>754196</v>
      </c>
      <c r="E61" s="280">
        <f>(+C61-D61)/D61</f>
        <v>-6.0620846570387538E-3</v>
      </c>
      <c r="F61" s="41">
        <f>SUM(F57:F60)</f>
        <v>376697</v>
      </c>
      <c r="G61" s="41">
        <f>SUM(G57:G60)</f>
        <v>382029</v>
      </c>
      <c r="H61" s="42">
        <f>(+F61-G61)/G61</f>
        <v>-1.3957055616196676E-2</v>
      </c>
      <c r="I61" s="43">
        <f>K61/C61</f>
        <v>67.81767253983331</v>
      </c>
      <c r="J61" s="43">
        <f>K61/F61</f>
        <v>134.95662285603549</v>
      </c>
      <c r="K61" s="41">
        <f>SUM(K57:K60)</f>
        <v>50837754.960000001</v>
      </c>
      <c r="L61" s="41">
        <f>SUM(L57:L60)</f>
        <v>51605747.949999996</v>
      </c>
      <c r="M61" s="44">
        <f>(+K61-L61)/L61</f>
        <v>-1.4881927314455186E-2</v>
      </c>
      <c r="N61" s="10"/>
      <c r="R61" s="2"/>
    </row>
    <row r="62" spans="1:18" ht="15.75" customHeight="1" thickTop="1" x14ac:dyDescent="0.2">
      <c r="A62" s="54"/>
      <c r="B62" s="55"/>
      <c r="C62" s="55"/>
      <c r="D62" s="55"/>
      <c r="E62" s="56"/>
      <c r="F62" s="55"/>
      <c r="G62" s="55"/>
      <c r="H62" s="56"/>
      <c r="I62" s="55"/>
      <c r="J62" s="55"/>
      <c r="K62" s="196"/>
      <c r="L62" s="196"/>
      <c r="M62" s="57"/>
      <c r="N62" s="10"/>
      <c r="R62" s="2"/>
    </row>
    <row r="63" spans="1:18" ht="15.75" customHeight="1" x14ac:dyDescent="0.25">
      <c r="A63" s="19" t="s">
        <v>53</v>
      </c>
      <c r="B63" s="20">
        <f>DATE(2023,7,1)</f>
        <v>45108</v>
      </c>
      <c r="C63" s="21">
        <v>372664</v>
      </c>
      <c r="D63" s="21">
        <v>358906</v>
      </c>
      <c r="E63" s="23">
        <f>(+C63-D63)/D63</f>
        <v>3.8333156871158465E-2</v>
      </c>
      <c r="F63" s="21">
        <f>+C63-175639</f>
        <v>197025</v>
      </c>
      <c r="G63" s="21">
        <f>+D63-172463</f>
        <v>186443</v>
      </c>
      <c r="H63" s="23">
        <f>(+F63-G63)/G63</f>
        <v>5.6757293113713039E-2</v>
      </c>
      <c r="I63" s="24">
        <f>K63/C63</f>
        <v>59.665630729021316</v>
      </c>
      <c r="J63" s="24">
        <f>K63/F63</f>
        <v>112.85487938078924</v>
      </c>
      <c r="K63" s="21">
        <v>22235232.609999999</v>
      </c>
      <c r="L63" s="21">
        <v>22397002.989999998</v>
      </c>
      <c r="M63" s="25">
        <f>(+K63-L63)/L63</f>
        <v>-7.2228583472631388E-3</v>
      </c>
      <c r="N63" s="10"/>
      <c r="R63" s="2"/>
    </row>
    <row r="64" spans="1:18" ht="15.75" customHeight="1" x14ac:dyDescent="0.25">
      <c r="A64" s="19"/>
      <c r="B64" s="20">
        <f>DATE(2023,8,1)</f>
        <v>45139</v>
      </c>
      <c r="C64" s="21">
        <v>342645</v>
      </c>
      <c r="D64" s="21">
        <v>332390</v>
      </c>
      <c r="E64" s="23">
        <f>(+C64-D64)/D64</f>
        <v>3.0852312043081923E-2</v>
      </c>
      <c r="F64" s="21">
        <f>+C64-159996</f>
        <v>182649</v>
      </c>
      <c r="G64" s="21">
        <f>+D64-159690</f>
        <v>172700</v>
      </c>
      <c r="H64" s="23">
        <f>(+F64-G64)/G64</f>
        <v>5.7608569774174868E-2</v>
      </c>
      <c r="I64" s="24">
        <f>K64/C64</f>
        <v>60.158932422769915</v>
      </c>
      <c r="J64" s="24">
        <f>K64/F64</f>
        <v>112.85666715941504</v>
      </c>
      <c r="K64" s="21">
        <v>20613157.399999999</v>
      </c>
      <c r="L64" s="21">
        <v>20719744.75</v>
      </c>
      <c r="M64" s="25">
        <f>(+K64-L64)/L64</f>
        <v>-5.1442404955303073E-3</v>
      </c>
      <c r="N64" s="10"/>
      <c r="R64" s="2"/>
    </row>
    <row r="65" spans="1:18" ht="15.75" customHeight="1" x14ac:dyDescent="0.25">
      <c r="A65" s="19"/>
      <c r="B65" s="20">
        <f>DATE(2023,9,1)</f>
        <v>45170</v>
      </c>
      <c r="C65" s="21">
        <v>340628</v>
      </c>
      <c r="D65" s="21">
        <v>333101</v>
      </c>
      <c r="E65" s="23">
        <f>(+C65-D65)/D65</f>
        <v>2.259674993470449E-2</v>
      </c>
      <c r="F65" s="21">
        <f>+C65-161145</f>
        <v>179483</v>
      </c>
      <c r="G65" s="21">
        <f>+D65-160339</f>
        <v>172762</v>
      </c>
      <c r="H65" s="23">
        <f>(+F65-G65)/G65</f>
        <v>3.8903231034602519E-2</v>
      </c>
      <c r="I65" s="24">
        <f>K65/C65</f>
        <v>63.235720052373857</v>
      </c>
      <c r="J65" s="24">
        <f>K65/F65</f>
        <v>120.01056841037871</v>
      </c>
      <c r="K65" s="21">
        <v>21539856.850000001</v>
      </c>
      <c r="L65" s="21">
        <v>20315248.210000001</v>
      </c>
      <c r="M65" s="25">
        <f>(+K65-L65)/L65</f>
        <v>6.0280269644807878E-2</v>
      </c>
      <c r="N65" s="10"/>
      <c r="R65" s="2"/>
    </row>
    <row r="66" spans="1:18" ht="15.75" customHeight="1" thickBot="1" x14ac:dyDescent="0.3">
      <c r="A66" s="19"/>
      <c r="B66" s="45"/>
      <c r="C66" s="21"/>
      <c r="D66" s="21"/>
      <c r="E66" s="23"/>
      <c r="F66" s="21"/>
      <c r="G66" s="21"/>
      <c r="H66" s="23"/>
      <c r="I66" s="24"/>
      <c r="J66" s="24"/>
      <c r="K66" s="21"/>
      <c r="L66" s="21"/>
      <c r="M66" s="25"/>
      <c r="N66" s="10"/>
      <c r="R66" s="2"/>
    </row>
    <row r="67" spans="1:18" ht="17.25" thickTop="1" thickBot="1" x14ac:dyDescent="0.3">
      <c r="A67" s="39" t="s">
        <v>14</v>
      </c>
      <c r="B67" s="40"/>
      <c r="C67" s="41">
        <f>SUM(C63:C66)</f>
        <v>1055937</v>
      </c>
      <c r="D67" s="41">
        <f>SUM(D63:D66)</f>
        <v>1024397</v>
      </c>
      <c r="E67" s="280">
        <f>(+C67-D67)/D67</f>
        <v>3.0788844559287074E-2</v>
      </c>
      <c r="F67" s="41">
        <f>SUM(F63:F66)</f>
        <v>559157</v>
      </c>
      <c r="G67" s="41">
        <f>SUM(G63:G66)</f>
        <v>531905</v>
      </c>
      <c r="H67" s="42">
        <f>(+F67-G67)/G67</f>
        <v>5.1234712965661164E-2</v>
      </c>
      <c r="I67" s="43">
        <f>K67/C67</f>
        <v>60.977356471077343</v>
      </c>
      <c r="J67" s="43">
        <f>K67/F67</f>
        <v>115.15235767414161</v>
      </c>
      <c r="K67" s="41">
        <f>SUM(K63:K66)</f>
        <v>64388246.859999999</v>
      </c>
      <c r="L67" s="41">
        <f>SUM(L63:L66)</f>
        <v>63431995.949999996</v>
      </c>
      <c r="M67" s="44">
        <f>(+K67-L67)/L67</f>
        <v>1.5075213946503664E-2</v>
      </c>
      <c r="N67" s="10"/>
      <c r="R67" s="2"/>
    </row>
    <row r="68" spans="1:18" ht="15.75" customHeight="1" thickTop="1" x14ac:dyDescent="0.2">
      <c r="A68" s="58"/>
      <c r="B68" s="59"/>
      <c r="C68" s="59"/>
      <c r="D68" s="59"/>
      <c r="E68" s="60"/>
      <c r="F68" s="59"/>
      <c r="G68" s="59"/>
      <c r="H68" s="60"/>
      <c r="I68" s="59"/>
      <c r="J68" s="59"/>
      <c r="K68" s="197"/>
      <c r="L68" s="197"/>
      <c r="M68" s="61"/>
      <c r="N68" s="10"/>
      <c r="R68" s="2"/>
    </row>
    <row r="69" spans="1:18" ht="15" customHeight="1" x14ac:dyDescent="0.25">
      <c r="A69" s="19" t="s">
        <v>54</v>
      </c>
      <c r="B69" s="20">
        <f>DATE(2023,7,1)</f>
        <v>45108</v>
      </c>
      <c r="C69" s="21">
        <v>43122</v>
      </c>
      <c r="D69" s="21">
        <v>45743</v>
      </c>
      <c r="E69" s="23">
        <f>(+C69-D69)/D69</f>
        <v>-5.729838445226592E-2</v>
      </c>
      <c r="F69" s="21">
        <f>+C69-21874</f>
        <v>21248</v>
      </c>
      <c r="G69" s="21">
        <f>+D69-23748</f>
        <v>21995</v>
      </c>
      <c r="H69" s="23">
        <f>(+F69-G69)/G69</f>
        <v>-3.3962264150943396E-2</v>
      </c>
      <c r="I69" s="24">
        <f>K69/C69</f>
        <v>73.706668985668571</v>
      </c>
      <c r="J69" s="24">
        <f>K69/F69</f>
        <v>149.58485410391566</v>
      </c>
      <c r="K69" s="21">
        <v>3178378.98</v>
      </c>
      <c r="L69" s="21">
        <v>3253812.68</v>
      </c>
      <c r="M69" s="25">
        <f>(+K69-L69)/L69</f>
        <v>-2.3183172302346608E-2</v>
      </c>
      <c r="N69" s="10"/>
      <c r="R69" s="2"/>
    </row>
    <row r="70" spans="1:18" ht="15" customHeight="1" x14ac:dyDescent="0.25">
      <c r="A70" s="19"/>
      <c r="B70" s="20">
        <f>DATE(2023,8,1)</f>
        <v>45139</v>
      </c>
      <c r="C70" s="21">
        <v>38794</v>
      </c>
      <c r="D70" s="21">
        <v>40978</v>
      </c>
      <c r="E70" s="23">
        <f>(+C70-D70)/D70</f>
        <v>-5.329689101469081E-2</v>
      </c>
      <c r="F70" s="21">
        <f>+C70-19691</f>
        <v>19103</v>
      </c>
      <c r="G70" s="21">
        <f>+D70-21136</f>
        <v>19842</v>
      </c>
      <c r="H70" s="23">
        <f>(+F70-G70)/G70</f>
        <v>-3.7244229412357624E-2</v>
      </c>
      <c r="I70" s="24">
        <f>K70/C70</f>
        <v>74.058326803113886</v>
      </c>
      <c r="J70" s="24">
        <f>K70/F70</f>
        <v>150.39620635502277</v>
      </c>
      <c r="K70" s="21">
        <v>2873018.73</v>
      </c>
      <c r="L70" s="21">
        <v>2953942.06</v>
      </c>
      <c r="M70" s="25">
        <f>(+K70-L70)/L70</f>
        <v>-2.7395029542319482E-2</v>
      </c>
      <c r="N70" s="10"/>
      <c r="R70" s="2"/>
    </row>
    <row r="71" spans="1:18" ht="15" customHeight="1" x14ac:dyDescent="0.25">
      <c r="A71" s="19"/>
      <c r="B71" s="20">
        <f>DATE(2023,9,1)</f>
        <v>45170</v>
      </c>
      <c r="C71" s="21">
        <v>39024</v>
      </c>
      <c r="D71" s="21">
        <v>41696</v>
      </c>
      <c r="E71" s="23">
        <f>(+C71-D71)/D71</f>
        <v>-6.4082885648503451E-2</v>
      </c>
      <c r="F71" s="21">
        <f>+C71-19292</f>
        <v>19732</v>
      </c>
      <c r="G71" s="21">
        <f>+D71-21639</f>
        <v>20057</v>
      </c>
      <c r="H71" s="23">
        <f>(+F71-G71)/G71</f>
        <v>-1.6203819115520764E-2</v>
      </c>
      <c r="I71" s="24">
        <f>K71/C71</f>
        <v>73.702168152931534</v>
      </c>
      <c r="J71" s="24">
        <f>K71/F71</f>
        <v>145.76086610581797</v>
      </c>
      <c r="K71" s="21">
        <v>2876153.41</v>
      </c>
      <c r="L71" s="21">
        <v>3101049.85</v>
      </c>
      <c r="M71" s="25">
        <f>(+K71-L71)/L71</f>
        <v>-7.2522678085939166E-2</v>
      </c>
      <c r="N71" s="10"/>
      <c r="R71" s="2"/>
    </row>
    <row r="72" spans="1:18" ht="15.75" thickBot="1" x14ac:dyDescent="0.25">
      <c r="A72" s="38"/>
      <c r="B72" s="20"/>
      <c r="C72" s="21"/>
      <c r="D72" s="21"/>
      <c r="E72" s="23"/>
      <c r="F72" s="21"/>
      <c r="G72" s="21"/>
      <c r="H72" s="23"/>
      <c r="I72" s="24"/>
      <c r="J72" s="24"/>
      <c r="K72" s="21"/>
      <c r="L72" s="21"/>
      <c r="M72" s="25"/>
      <c r="N72" s="10"/>
      <c r="R72" s="2"/>
    </row>
    <row r="73" spans="1:18" ht="17.25" thickTop="1" thickBot="1" x14ac:dyDescent="0.3">
      <c r="A73" s="62" t="s">
        <v>14</v>
      </c>
      <c r="B73" s="52"/>
      <c r="C73" s="48">
        <f>SUM(C69:C72)</f>
        <v>120940</v>
      </c>
      <c r="D73" s="48">
        <f>SUM(D69:D72)</f>
        <v>128417</v>
      </c>
      <c r="E73" s="280">
        <f>(+C73-D73)/D73</f>
        <v>-5.822437839226894E-2</v>
      </c>
      <c r="F73" s="48">
        <f>SUM(F69:F72)</f>
        <v>60083</v>
      </c>
      <c r="G73" s="48">
        <f>SUM(G69:G72)</f>
        <v>61894</v>
      </c>
      <c r="H73" s="42">
        <f>(+F73-G73)/G73</f>
        <v>-2.9259702071283162E-2</v>
      </c>
      <c r="I73" s="50">
        <f>K73/C73</f>
        <v>73.818018190838444</v>
      </c>
      <c r="J73" s="50">
        <f>K73/F73</f>
        <v>148.58697335352764</v>
      </c>
      <c r="K73" s="48">
        <f>SUM(K69:K72)</f>
        <v>8927551.120000001</v>
      </c>
      <c r="L73" s="48">
        <f>SUM(L69:L72)</f>
        <v>9308804.5899999999</v>
      </c>
      <c r="M73" s="44">
        <f>(+K73-L73)/L73</f>
        <v>-4.0956222285465207E-2</v>
      </c>
      <c r="N73" s="10"/>
      <c r="R73" s="2"/>
    </row>
    <row r="74" spans="1:18" ht="15.75" customHeight="1" thickTop="1" x14ac:dyDescent="0.25">
      <c r="A74" s="19"/>
      <c r="B74" s="45"/>
      <c r="C74" s="21"/>
      <c r="D74" s="21"/>
      <c r="E74" s="23"/>
      <c r="F74" s="21"/>
      <c r="G74" s="21"/>
      <c r="H74" s="23"/>
      <c r="I74" s="24"/>
      <c r="J74" s="24"/>
      <c r="K74" s="21"/>
      <c r="L74" s="21"/>
      <c r="M74" s="25"/>
      <c r="N74" s="10"/>
      <c r="R74" s="2"/>
    </row>
    <row r="75" spans="1:18" ht="15.75" x14ac:dyDescent="0.25">
      <c r="A75" s="19" t="s">
        <v>17</v>
      </c>
      <c r="B75" s="20">
        <f>DATE(2023,7,1)</f>
        <v>45108</v>
      </c>
      <c r="C75" s="21">
        <v>341358</v>
      </c>
      <c r="D75" s="21">
        <v>376535</v>
      </c>
      <c r="E75" s="23">
        <f>(+C75-D75)/D75</f>
        <v>-9.3422922171909645E-2</v>
      </c>
      <c r="F75" s="21">
        <f>+C75-174275</f>
        <v>167083</v>
      </c>
      <c r="G75" s="21">
        <f>+D75-192471</f>
        <v>184064</v>
      </c>
      <c r="H75" s="23">
        <f>(+F75-G75)/G75</f>
        <v>-9.2255954450625871E-2</v>
      </c>
      <c r="I75" s="24">
        <f>K75/C75</f>
        <v>75.201336397565015</v>
      </c>
      <c r="J75" s="24">
        <f>K75/F75</f>
        <v>153.63967483226898</v>
      </c>
      <c r="K75" s="21">
        <v>25670577.789999999</v>
      </c>
      <c r="L75" s="21">
        <v>26699268.829999998</v>
      </c>
      <c r="M75" s="25">
        <f>(+K75-L75)/L75</f>
        <v>-3.8528809404852871E-2</v>
      </c>
      <c r="N75" s="10"/>
      <c r="R75" s="2"/>
    </row>
    <row r="76" spans="1:18" ht="15.75" x14ac:dyDescent="0.25">
      <c r="A76" s="19"/>
      <c r="B76" s="20">
        <f>DATE(2023,8,1)</f>
        <v>45139</v>
      </c>
      <c r="C76" s="21">
        <v>326253</v>
      </c>
      <c r="D76" s="21">
        <v>348725</v>
      </c>
      <c r="E76" s="23">
        <f>(+C76-D76)/D76</f>
        <v>-6.4440461681840991E-2</v>
      </c>
      <c r="F76" s="21">
        <f>+C76-166627</f>
        <v>159626</v>
      </c>
      <c r="G76" s="21">
        <f>+D76-177430</f>
        <v>171295</v>
      </c>
      <c r="H76" s="23">
        <f>(+F76-G76)/G76</f>
        <v>-6.8122245249423508E-2</v>
      </c>
      <c r="I76" s="24">
        <f>K76/C76</f>
        <v>71.558283510036688</v>
      </c>
      <c r="J76" s="24">
        <f>K76/F76</f>
        <v>146.25502530916017</v>
      </c>
      <c r="K76" s="21">
        <v>23346104.670000002</v>
      </c>
      <c r="L76" s="21">
        <v>26620249.559999999</v>
      </c>
      <c r="M76" s="25">
        <f>(+K76-L76)/L76</f>
        <v>-0.12299452274556351</v>
      </c>
      <c r="N76" s="10"/>
      <c r="R76" s="2"/>
    </row>
    <row r="77" spans="1:18" ht="15.75" x14ac:dyDescent="0.25">
      <c r="A77" s="19"/>
      <c r="B77" s="20">
        <f>DATE(2023,9,1)</f>
        <v>45170</v>
      </c>
      <c r="C77" s="21">
        <v>330636</v>
      </c>
      <c r="D77" s="21">
        <v>351773</v>
      </c>
      <c r="E77" s="23">
        <f>(+C77-D77)/D77</f>
        <v>-6.0087044770349061E-2</v>
      </c>
      <c r="F77" s="21">
        <f>+C77-169811</f>
        <v>160825</v>
      </c>
      <c r="G77" s="21">
        <f>+D77-180127</f>
        <v>171646</v>
      </c>
      <c r="H77" s="23">
        <f>(+F77-G77)/G77</f>
        <v>-6.3042541043776143E-2</v>
      </c>
      <c r="I77" s="24">
        <f>K77/C77</f>
        <v>74.41369061445215</v>
      </c>
      <c r="J77" s="24">
        <f>K77/F77</f>
        <v>152.98520136794653</v>
      </c>
      <c r="K77" s="21">
        <v>24603845.010000002</v>
      </c>
      <c r="L77" s="21">
        <v>24480724.719999999</v>
      </c>
      <c r="M77" s="25">
        <f>(+K77-L77)/L77</f>
        <v>5.0292747215697148E-3</v>
      </c>
      <c r="N77" s="10"/>
      <c r="R77" s="2"/>
    </row>
    <row r="78" spans="1:18" ht="15.75" thickBot="1" x14ac:dyDescent="0.25">
      <c r="A78" s="38"/>
      <c r="B78" s="45"/>
      <c r="C78" s="21"/>
      <c r="D78" s="21"/>
      <c r="E78" s="23"/>
      <c r="F78" s="21"/>
      <c r="G78" s="21"/>
      <c r="H78" s="23"/>
      <c r="I78" s="24"/>
      <c r="J78" s="24"/>
      <c r="K78" s="21"/>
      <c r="L78" s="21"/>
      <c r="M78" s="25"/>
      <c r="N78" s="10"/>
      <c r="R78" s="2"/>
    </row>
    <row r="79" spans="1:18" ht="17.25" thickTop="1" thickBot="1" x14ac:dyDescent="0.3">
      <c r="A79" s="39" t="s">
        <v>14</v>
      </c>
      <c r="B79" s="40"/>
      <c r="C79" s="41">
        <f>SUM(C75:C78)</f>
        <v>998247</v>
      </c>
      <c r="D79" s="41">
        <f>SUM(D75:D78)</f>
        <v>1077033</v>
      </c>
      <c r="E79" s="280">
        <f>(+C79-D79)/D79</f>
        <v>-7.3150961948241139E-2</v>
      </c>
      <c r="F79" s="41">
        <f>SUM(F75:F78)</f>
        <v>487534</v>
      </c>
      <c r="G79" s="41">
        <f>SUM(G75:G78)</f>
        <v>527005</v>
      </c>
      <c r="H79" s="42">
        <f>(+F79-G79)/G79</f>
        <v>-7.4896822610791169E-2</v>
      </c>
      <c r="I79" s="43">
        <f>K79/C79</f>
        <v>73.749810888487517</v>
      </c>
      <c r="J79" s="43">
        <f>K79/F79</f>
        <v>151.00593490915506</v>
      </c>
      <c r="K79" s="41">
        <f>SUM(K75:K78)</f>
        <v>73620527.469999999</v>
      </c>
      <c r="L79" s="41">
        <f>SUM(L75:L78)</f>
        <v>77800243.109999999</v>
      </c>
      <c r="M79" s="44">
        <f>(+K79-L79)/L79</f>
        <v>-5.3723683537728738E-2</v>
      </c>
      <c r="N79" s="10"/>
      <c r="R79" s="2"/>
    </row>
    <row r="80" spans="1:18" ht="15.75" customHeight="1" thickTop="1" x14ac:dyDescent="0.25">
      <c r="A80" s="19"/>
      <c r="B80" s="45"/>
      <c r="C80" s="21"/>
      <c r="D80" s="21"/>
      <c r="E80" s="23"/>
      <c r="F80" s="21"/>
      <c r="G80" s="21"/>
      <c r="H80" s="23"/>
      <c r="I80" s="24"/>
      <c r="J80" s="24"/>
      <c r="K80" s="21"/>
      <c r="L80" s="21"/>
      <c r="M80" s="25"/>
      <c r="N80" s="10"/>
      <c r="R80" s="2"/>
    </row>
    <row r="81" spans="1:18" ht="15.75" x14ac:dyDescent="0.25">
      <c r="A81" s="19" t="s">
        <v>56</v>
      </c>
      <c r="B81" s="20">
        <f>DATE(2023,7,1)</f>
        <v>45108</v>
      </c>
      <c r="C81" s="21">
        <v>66323</v>
      </c>
      <c r="D81" s="21">
        <v>68778</v>
      </c>
      <c r="E81" s="23">
        <f>(+C81-D81)/D81</f>
        <v>-3.5694553490941874E-2</v>
      </c>
      <c r="F81" s="21">
        <f>+C81-28441</f>
        <v>37882</v>
      </c>
      <c r="G81" s="21">
        <f>+D81-29763</f>
        <v>39015</v>
      </c>
      <c r="H81" s="23">
        <f>(+F81-G81)/G81</f>
        <v>-2.9040112777136997E-2</v>
      </c>
      <c r="I81" s="24">
        <f>K81/C81</f>
        <v>58.975659575109688</v>
      </c>
      <c r="J81" s="24">
        <f>K81/F81</f>
        <v>103.25333060556464</v>
      </c>
      <c r="K81" s="21">
        <v>3911442.67</v>
      </c>
      <c r="L81" s="21">
        <v>4137931.7</v>
      </c>
      <c r="M81" s="25">
        <f>(+K81-L81)/L81</f>
        <v>-5.4734840113479941E-2</v>
      </c>
      <c r="N81" s="10"/>
      <c r="R81" s="2"/>
    </row>
    <row r="82" spans="1:18" ht="15.75" x14ac:dyDescent="0.25">
      <c r="A82" s="19"/>
      <c r="B82" s="20">
        <f>DATE(2023,8,1)</f>
        <v>45139</v>
      </c>
      <c r="C82" s="21">
        <v>63894</v>
      </c>
      <c r="D82" s="21">
        <v>61732</v>
      </c>
      <c r="E82" s="23">
        <f>(+C82-D82)/D82</f>
        <v>3.5022354694485842E-2</v>
      </c>
      <c r="F82" s="21">
        <f>+C82-27335</f>
        <v>36559</v>
      </c>
      <c r="G82" s="21">
        <f>+D82-26815</f>
        <v>34917</v>
      </c>
      <c r="H82" s="23">
        <f>(+F82-G82)/G82</f>
        <v>4.7025804049603347E-2</v>
      </c>
      <c r="I82" s="24">
        <f>K82/C82</f>
        <v>60.44767067330266</v>
      </c>
      <c r="J82" s="24">
        <f>K82/F82</f>
        <v>105.64412237752674</v>
      </c>
      <c r="K82" s="21">
        <v>3862243.47</v>
      </c>
      <c r="L82" s="21">
        <v>3659627.99</v>
      </c>
      <c r="M82" s="25">
        <f>(+K82-L82)/L82</f>
        <v>5.5365048183490355E-2</v>
      </c>
      <c r="N82" s="10"/>
      <c r="R82" s="2"/>
    </row>
    <row r="83" spans="1:18" ht="15.75" x14ac:dyDescent="0.25">
      <c r="A83" s="19"/>
      <c r="B83" s="20">
        <f>DATE(2023,9,1)</f>
        <v>45170</v>
      </c>
      <c r="C83" s="21">
        <v>61378</v>
      </c>
      <c r="D83" s="21">
        <v>62788</v>
      </c>
      <c r="E83" s="23">
        <f>(+C83-D83)/D83</f>
        <v>-2.245652035420781E-2</v>
      </c>
      <c r="F83" s="21">
        <f>+C83-26751</f>
        <v>34627</v>
      </c>
      <c r="G83" s="21">
        <f>+D83-27365</f>
        <v>35423</v>
      </c>
      <c r="H83" s="23">
        <f>(+F83-G83)/G83</f>
        <v>-2.2471275724811564E-2</v>
      </c>
      <c r="I83" s="24">
        <f>K83/C83</f>
        <v>60.955323568705403</v>
      </c>
      <c r="J83" s="24">
        <f>K83/F83</f>
        <v>108.04620238542178</v>
      </c>
      <c r="K83" s="21">
        <v>3741315.85</v>
      </c>
      <c r="L83" s="21">
        <v>3960660.61</v>
      </c>
      <c r="M83" s="25">
        <f>(+K83-L83)/L83</f>
        <v>-5.5380852236162639E-2</v>
      </c>
      <c r="N83" s="10"/>
      <c r="R83" s="2"/>
    </row>
    <row r="84" spans="1:18" ht="15.75" thickBot="1" x14ac:dyDescent="0.25">
      <c r="A84" s="38"/>
      <c r="B84" s="45"/>
      <c r="C84" s="21"/>
      <c r="D84" s="21"/>
      <c r="E84" s="23"/>
      <c r="F84" s="21"/>
      <c r="G84" s="21"/>
      <c r="H84" s="23"/>
      <c r="I84" s="24"/>
      <c r="J84" s="24"/>
      <c r="K84" s="21"/>
      <c r="L84" s="21"/>
      <c r="M84" s="25"/>
      <c r="N84" s="10"/>
      <c r="R84" s="2"/>
    </row>
    <row r="85" spans="1:18" ht="17.25" thickTop="1" thickBot="1" x14ac:dyDescent="0.3">
      <c r="A85" s="26" t="s">
        <v>14</v>
      </c>
      <c r="B85" s="27"/>
      <c r="C85" s="28">
        <f>SUM(C81:C84)</f>
        <v>191595</v>
      </c>
      <c r="D85" s="28">
        <f>SUM(D81:D84)</f>
        <v>193298</v>
      </c>
      <c r="E85" s="280">
        <f>(+C85-D85)/D85</f>
        <v>-8.8102308352905872E-3</v>
      </c>
      <c r="F85" s="28">
        <f>SUM(F81:F84)</f>
        <v>109068</v>
      </c>
      <c r="G85" s="28">
        <f>SUM(G81:G84)</f>
        <v>109355</v>
      </c>
      <c r="H85" s="42">
        <f>(+F85-G85)/G85</f>
        <v>-2.6244799048968956E-3</v>
      </c>
      <c r="I85" s="43">
        <f>K85/C85</f>
        <v>60.100743704167648</v>
      </c>
      <c r="J85" s="43">
        <f>K85/F85</f>
        <v>105.57635594308138</v>
      </c>
      <c r="K85" s="28">
        <f>SUM(K81:K84)</f>
        <v>11515001.99</v>
      </c>
      <c r="L85" s="28">
        <f>SUM(L81:L84)</f>
        <v>11758220.300000001</v>
      </c>
      <c r="M85" s="44">
        <f>(+K85-L85)/L85</f>
        <v>-2.0684959440673219E-2</v>
      </c>
      <c r="N85" s="10"/>
      <c r="R85" s="2"/>
    </row>
    <row r="86" spans="1:18" ht="16.5" thickTop="1" thickBot="1" x14ac:dyDescent="0.25">
      <c r="A86" s="63"/>
      <c r="B86" s="34"/>
      <c r="C86" s="35"/>
      <c r="D86" s="35"/>
      <c r="E86" s="29"/>
      <c r="F86" s="35"/>
      <c r="G86" s="35"/>
      <c r="H86" s="29"/>
      <c r="I86" s="36"/>
      <c r="J86" s="36"/>
      <c r="K86" s="35"/>
      <c r="L86" s="35"/>
      <c r="M86" s="37"/>
      <c r="N86" s="10"/>
      <c r="R86" s="2"/>
    </row>
    <row r="87" spans="1:18" ht="17.25" thickTop="1" thickBot="1" x14ac:dyDescent="0.3">
      <c r="A87" s="64" t="s">
        <v>18</v>
      </c>
      <c r="B87" s="65"/>
      <c r="C87" s="28">
        <f>C85+C79+C37+C49+C55+C25+C13+C61+C67+C31+C73+C19+C43</f>
        <v>7353044</v>
      </c>
      <c r="D87" s="28">
        <f>D85+D79+D37+D49+D55+D25+D13+D61+D67+D31+D73+D19+D43</f>
        <v>7398802</v>
      </c>
      <c r="E87" s="279">
        <f>(+C87-D87)/D87</f>
        <v>-6.184514736304607E-3</v>
      </c>
      <c r="F87" s="28">
        <f>F85+F79+F37+F49+F55+F25+F13+F61+F67+F31+F73+F19+F43</f>
        <v>3790772</v>
      </c>
      <c r="G87" s="28">
        <f>G85+G79+G37+G49+G55+G25+G13+G61+G67+G31+G73+G19+G43</f>
        <v>3791570</v>
      </c>
      <c r="H87" s="30">
        <f>(+F87-G87)/G87</f>
        <v>-2.1046690421118428E-4</v>
      </c>
      <c r="I87" s="31">
        <f>K87/C87</f>
        <v>65.74438204096154</v>
      </c>
      <c r="J87" s="31">
        <f>K87/F87</f>
        <v>127.52582690280504</v>
      </c>
      <c r="K87" s="28">
        <f>K85+K79+K37+K49+K55+K25+K13+K61+K67+K31+K73+K19+K43</f>
        <v>483421333.90000004</v>
      </c>
      <c r="L87" s="28">
        <f>L85+L79+L37+L49+L55+L25+L13+L61+L67+L31+L73+L19+L43</f>
        <v>488186085.14999998</v>
      </c>
      <c r="M87" s="32">
        <f>(+K87-L87)/L87</f>
        <v>-9.7601127826818825E-3</v>
      </c>
      <c r="N87" s="10"/>
      <c r="R87" s="2"/>
    </row>
    <row r="88" spans="1:18" ht="17.25" thickTop="1" thickBot="1" x14ac:dyDescent="0.3">
      <c r="A88" s="64"/>
      <c r="B88" s="65"/>
      <c r="C88" s="28"/>
      <c r="D88" s="28"/>
      <c r="E88" s="29"/>
      <c r="F88" s="28"/>
      <c r="G88" s="28"/>
      <c r="H88" s="30"/>
      <c r="I88" s="31"/>
      <c r="J88" s="31"/>
      <c r="K88" s="28"/>
      <c r="L88" s="28"/>
      <c r="M88" s="32"/>
      <c r="N88" s="10"/>
      <c r="R88" s="2"/>
    </row>
    <row r="89" spans="1:18" ht="17.25" thickTop="1" thickBot="1" x14ac:dyDescent="0.3">
      <c r="A89" s="64" t="s">
        <v>19</v>
      </c>
      <c r="B89" s="65"/>
      <c r="C89" s="28">
        <f>+C11+C17+C23+C29+C35+C41+C47+C53+C59+C65+C71+C77+C83</f>
        <v>2405237</v>
      </c>
      <c r="D89" s="28">
        <f>+D11+D17+D23+D29+D35+D41+D47+D53+D59+D65+D71+D77+D83</f>
        <v>2388706</v>
      </c>
      <c r="E89" s="279">
        <f>(+C89-D89)/D89</f>
        <v>6.9204833076988125E-3</v>
      </c>
      <c r="F89" s="28">
        <f>+F11+F17+F23+F29+F35+F41+F47+F53+F59+F65+F71+F77+F83</f>
        <v>1245692</v>
      </c>
      <c r="G89" s="28">
        <f>+G11+G17+G23+G29+G35+G41+G47+G53+G59+G65+G71+G77+G83</f>
        <v>1221029</v>
      </c>
      <c r="H89" s="30">
        <f>(+F89-G89)/G89</f>
        <v>2.0198537463074179E-2</v>
      </c>
      <c r="I89" s="291">
        <f>K89/C89</f>
        <v>65.925196951485432</v>
      </c>
      <c r="J89" s="31">
        <f>K89/F89</f>
        <v>127.29127500216744</v>
      </c>
      <c r="K89" s="28">
        <f>+K11+K17+K23+K29+K35+K41+K47+K53+K59+K65+K71+K77+K83</f>
        <v>158565722.93999997</v>
      </c>
      <c r="L89" s="28">
        <f>+L11+L17+L23+L29+L35+L41+L47+L53+L59+L65+L71+L77+L83</f>
        <v>157819190.77000001</v>
      </c>
      <c r="M89" s="32">
        <f>(+K89-L89)/L89</f>
        <v>4.7303003288613112E-3</v>
      </c>
      <c r="N89" s="10"/>
      <c r="R89" s="2"/>
    </row>
    <row r="90" spans="1:18" ht="15.75" thickTop="1" x14ac:dyDescent="0.2">
      <c r="A90" s="66"/>
      <c r="B90" s="67"/>
      <c r="C90" s="68"/>
      <c r="D90" s="67"/>
      <c r="E90" s="67"/>
      <c r="F90" s="67"/>
      <c r="G90" s="67"/>
      <c r="H90" s="67"/>
      <c r="I90" s="67"/>
      <c r="J90" s="67"/>
      <c r="K90" s="68"/>
      <c r="L90" s="68"/>
      <c r="M90" s="67"/>
      <c r="R90" s="2"/>
    </row>
    <row r="91" spans="1:18" ht="18.75" x14ac:dyDescent="0.3">
      <c r="A91" s="264" t="s">
        <v>20</v>
      </c>
      <c r="B91" s="70"/>
      <c r="C91" s="71"/>
      <c r="D91" s="71"/>
      <c r="E91" s="71"/>
      <c r="F91" s="71"/>
      <c r="G91" s="71"/>
      <c r="H91" s="71"/>
      <c r="I91" s="71"/>
      <c r="J91" s="71"/>
      <c r="K91" s="198"/>
      <c r="L91" s="198"/>
      <c r="M91" s="71"/>
      <c r="N91" s="2"/>
      <c r="O91" s="2"/>
      <c r="P91" s="2"/>
      <c r="Q91" s="2"/>
      <c r="R91" s="2"/>
    </row>
    <row r="92" spans="1:18" ht="18" x14ac:dyDescent="0.25">
      <c r="A92" s="69"/>
      <c r="B92" s="70"/>
      <c r="C92" s="71"/>
      <c r="D92" s="71"/>
      <c r="E92" s="71"/>
      <c r="F92" s="71"/>
      <c r="G92" s="71"/>
      <c r="H92" s="71"/>
      <c r="I92" s="71"/>
      <c r="J92" s="71"/>
      <c r="K92" s="198"/>
      <c r="L92" s="198"/>
      <c r="M92" s="71"/>
      <c r="N92" s="2"/>
      <c r="O92" s="2"/>
      <c r="P92" s="2"/>
      <c r="Q92" s="2"/>
      <c r="R92" s="2"/>
    </row>
    <row r="93" spans="1:18" ht="15.75" x14ac:dyDescent="0.25">
      <c r="A93" s="72"/>
      <c r="B93" s="73"/>
      <c r="C93" s="74"/>
      <c r="D93" s="74"/>
      <c r="E93" s="74"/>
      <c r="F93" s="74"/>
      <c r="G93" s="74"/>
      <c r="H93" s="74"/>
      <c r="I93" s="74"/>
      <c r="J93" s="74"/>
      <c r="K93" s="192"/>
      <c r="L93" s="192"/>
      <c r="M93" s="75"/>
      <c r="N93" s="2"/>
      <c r="O93" s="2"/>
      <c r="P93" s="2"/>
      <c r="Q93" s="2"/>
      <c r="R93" s="2"/>
    </row>
    <row r="94" spans="1:18" x14ac:dyDescent="0.2">
      <c r="A94" s="2"/>
      <c r="B94" s="73"/>
      <c r="C94" s="74"/>
      <c r="D94" s="74"/>
      <c r="E94" s="74"/>
      <c r="F94" s="74"/>
      <c r="G94" s="74"/>
      <c r="H94" s="74"/>
      <c r="I94" s="74"/>
      <c r="J94" s="74"/>
      <c r="K94" s="192"/>
      <c r="L94" s="192"/>
      <c r="M94" s="75"/>
      <c r="N94" s="2"/>
      <c r="O94" s="2"/>
      <c r="P94" s="2"/>
      <c r="Q94" s="2"/>
      <c r="R94" s="2"/>
    </row>
    <row r="95" spans="1:18" x14ac:dyDescent="0.2">
      <c r="A95" s="2"/>
      <c r="B95" s="73"/>
      <c r="C95" s="74"/>
      <c r="D95" s="74"/>
      <c r="E95" s="74"/>
      <c r="F95" s="74"/>
      <c r="G95" s="74"/>
      <c r="H95" s="74"/>
      <c r="I95" s="74"/>
      <c r="J95" s="74"/>
      <c r="K95" s="192"/>
      <c r="L95" s="192"/>
      <c r="M95" s="75"/>
      <c r="N95" s="2"/>
      <c r="O95" s="2"/>
      <c r="P95" s="2"/>
      <c r="Q95" s="2"/>
      <c r="R95" s="2"/>
    </row>
    <row r="96" spans="1:18" x14ac:dyDescent="0.2">
      <c r="A96" s="2"/>
      <c r="B96" s="73"/>
      <c r="C96" s="74"/>
      <c r="D96" s="74"/>
      <c r="E96" s="74"/>
      <c r="F96" s="74"/>
      <c r="G96" s="74"/>
      <c r="H96" s="74"/>
      <c r="I96" s="74"/>
      <c r="J96" s="74"/>
      <c r="K96" s="192"/>
      <c r="L96" s="192"/>
      <c r="M96" s="75"/>
      <c r="N96" s="2"/>
      <c r="O96" s="2"/>
      <c r="P96" s="2"/>
      <c r="Q96" s="2"/>
      <c r="R96" s="2"/>
    </row>
    <row r="97" spans="1:18" x14ac:dyDescent="0.2">
      <c r="A97" s="2"/>
      <c r="B97" s="73"/>
      <c r="C97" s="74"/>
      <c r="D97" s="74"/>
      <c r="E97" s="74"/>
      <c r="F97" s="74"/>
      <c r="G97" s="74"/>
      <c r="H97" s="74"/>
      <c r="I97" s="74"/>
      <c r="J97" s="74"/>
      <c r="K97" s="192"/>
      <c r="L97" s="192"/>
      <c r="M97" s="75"/>
      <c r="N97" s="2"/>
      <c r="O97" s="2"/>
      <c r="P97" s="2"/>
      <c r="Q97" s="2"/>
      <c r="R97" s="2"/>
    </row>
    <row r="98" spans="1:18" x14ac:dyDescent="0.2">
      <c r="A98" s="2"/>
      <c r="B98" s="73"/>
      <c r="C98" s="74"/>
      <c r="D98" s="74"/>
      <c r="E98" s="74"/>
      <c r="F98" s="74"/>
      <c r="G98" s="74"/>
      <c r="H98" s="74"/>
      <c r="I98" s="74"/>
      <c r="J98" s="74"/>
      <c r="K98" s="192"/>
      <c r="L98" s="192"/>
      <c r="M98" s="75"/>
      <c r="N98" s="2"/>
      <c r="O98" s="2"/>
      <c r="P98" s="2"/>
      <c r="Q98" s="2"/>
      <c r="R98" s="2"/>
    </row>
    <row r="99" spans="1:18" x14ac:dyDescent="0.2">
      <c r="A99" s="2"/>
      <c r="B99" s="73"/>
      <c r="C99" s="74"/>
      <c r="D99" s="74"/>
      <c r="E99" s="74"/>
      <c r="F99" s="74"/>
      <c r="G99" s="74"/>
      <c r="H99" s="74"/>
      <c r="I99" s="74"/>
      <c r="J99" s="74"/>
      <c r="K99" s="192"/>
      <c r="L99" s="192"/>
      <c r="M99" s="75"/>
      <c r="N99" s="2"/>
      <c r="O99" s="2"/>
      <c r="P99" s="2"/>
      <c r="Q99" s="2"/>
      <c r="R99" s="2"/>
    </row>
    <row r="100" spans="1:18" x14ac:dyDescent="0.2">
      <c r="A100" s="2"/>
      <c r="B100" s="73"/>
      <c r="C100" s="74"/>
      <c r="D100" s="74"/>
      <c r="E100" s="74"/>
      <c r="F100" s="74"/>
      <c r="G100" s="74"/>
      <c r="H100" s="74"/>
      <c r="I100" s="74"/>
      <c r="J100" s="74"/>
      <c r="K100" s="192"/>
      <c r="L100" s="192"/>
      <c r="M100" s="75"/>
      <c r="N100" s="2"/>
      <c r="O100" s="2"/>
      <c r="P100" s="2"/>
      <c r="Q100" s="2"/>
      <c r="R100" s="2"/>
    </row>
    <row r="101" spans="1:18" x14ac:dyDescent="0.2">
      <c r="A101" s="2"/>
      <c r="B101" s="73"/>
      <c r="C101" s="74"/>
      <c r="D101" s="74"/>
      <c r="E101" s="74"/>
      <c r="F101" s="74"/>
      <c r="G101" s="74"/>
      <c r="H101" s="74"/>
      <c r="I101" s="74"/>
      <c r="J101" s="74"/>
      <c r="K101" s="192"/>
      <c r="L101" s="192"/>
      <c r="M101" s="75"/>
      <c r="N101" s="2"/>
      <c r="O101" s="2"/>
      <c r="P101" s="2"/>
      <c r="Q101" s="2"/>
      <c r="R101" s="2"/>
    </row>
    <row r="102" spans="1:18" x14ac:dyDescent="0.2">
      <c r="A102" s="2"/>
      <c r="B102" s="73"/>
      <c r="C102" s="74"/>
      <c r="D102" s="74"/>
      <c r="E102" s="74"/>
      <c r="F102" s="74"/>
      <c r="G102" s="74"/>
      <c r="H102" s="74"/>
      <c r="I102" s="74"/>
      <c r="J102" s="74"/>
      <c r="K102" s="192"/>
      <c r="L102" s="192"/>
      <c r="M102" s="74"/>
      <c r="N102" s="2"/>
      <c r="O102" s="2"/>
      <c r="P102" s="2"/>
      <c r="Q102" s="2"/>
      <c r="R102" s="2"/>
    </row>
    <row r="103" spans="1:18" x14ac:dyDescent="0.2">
      <c r="A103" s="2"/>
      <c r="B103" s="73"/>
      <c r="C103" s="74"/>
      <c r="D103" s="74"/>
      <c r="E103" s="74"/>
      <c r="F103" s="74"/>
      <c r="G103" s="74"/>
      <c r="H103" s="74"/>
      <c r="I103" s="74"/>
      <c r="J103" s="74"/>
      <c r="K103" s="192"/>
      <c r="L103" s="192"/>
      <c r="M103" s="74"/>
      <c r="N103" s="2"/>
      <c r="O103" s="2"/>
      <c r="P103" s="2"/>
      <c r="Q103" s="2"/>
      <c r="R103" s="2"/>
    </row>
    <row r="104" spans="1:18" x14ac:dyDescent="0.2">
      <c r="A104" s="2"/>
      <c r="B104" s="70"/>
      <c r="C104" s="74"/>
      <c r="D104" s="74"/>
      <c r="E104" s="74"/>
      <c r="F104" s="74"/>
      <c r="G104" s="74"/>
      <c r="H104" s="74"/>
      <c r="I104" s="74"/>
      <c r="J104" s="74"/>
      <c r="K104" s="192"/>
      <c r="L104" s="192"/>
      <c r="M104" s="74"/>
      <c r="N104" s="2"/>
      <c r="O104" s="2"/>
      <c r="P104" s="2"/>
      <c r="Q104" s="2"/>
      <c r="R104" s="2"/>
    </row>
    <row r="105" spans="1:18" ht="15.75" x14ac:dyDescent="0.25">
      <c r="A105" s="76"/>
      <c r="B105" s="70"/>
      <c r="C105" s="74"/>
      <c r="D105" s="74"/>
      <c r="E105" s="74"/>
      <c r="F105" s="74"/>
      <c r="G105" s="74"/>
      <c r="H105" s="74"/>
      <c r="I105" s="74"/>
      <c r="J105" s="74"/>
      <c r="K105" s="192"/>
      <c r="L105" s="192"/>
      <c r="M105" s="75"/>
      <c r="N105" s="2"/>
      <c r="O105" s="2"/>
      <c r="P105" s="2"/>
      <c r="Q105" s="2"/>
      <c r="R105" s="2"/>
    </row>
    <row r="106" spans="1:18" ht="15.75" x14ac:dyDescent="0.25">
      <c r="A106" s="76"/>
      <c r="B106" s="70"/>
      <c r="C106" s="74"/>
      <c r="D106" s="74"/>
      <c r="E106" s="74"/>
      <c r="F106" s="74"/>
      <c r="G106" s="74"/>
      <c r="H106" s="74"/>
      <c r="I106" s="74"/>
      <c r="J106" s="74"/>
      <c r="K106" s="192"/>
      <c r="L106" s="192"/>
      <c r="M106" s="75"/>
      <c r="N106" s="2"/>
      <c r="O106" s="2"/>
      <c r="P106" s="2"/>
      <c r="Q106" s="2"/>
      <c r="R106" s="2"/>
    </row>
    <row r="107" spans="1:18" ht="15.75" x14ac:dyDescent="0.25">
      <c r="A107" s="76"/>
      <c r="B107" s="70"/>
      <c r="C107" s="74"/>
      <c r="D107" s="74"/>
      <c r="E107" s="74"/>
      <c r="F107" s="74"/>
      <c r="G107" s="74"/>
      <c r="H107" s="74"/>
      <c r="I107" s="74"/>
      <c r="J107" s="74"/>
      <c r="K107" s="192"/>
      <c r="L107" s="192"/>
      <c r="M107" s="75"/>
      <c r="N107" s="2"/>
      <c r="O107" s="2"/>
      <c r="P107" s="2"/>
      <c r="Q107" s="2"/>
      <c r="R107" s="2"/>
    </row>
    <row r="108" spans="1:18" x14ac:dyDescent="0.2">
      <c r="A108" s="2"/>
      <c r="B108" s="70"/>
      <c r="C108" s="74"/>
      <c r="D108" s="74"/>
      <c r="E108" s="74"/>
      <c r="F108" s="74"/>
      <c r="G108" s="74"/>
      <c r="H108" s="74"/>
      <c r="I108" s="74"/>
      <c r="J108" s="74"/>
      <c r="K108" s="192"/>
      <c r="L108" s="192"/>
      <c r="M108" s="75"/>
      <c r="N108" s="2"/>
      <c r="O108" s="2"/>
      <c r="P108" s="2"/>
      <c r="Q108" s="2"/>
      <c r="R108" s="2"/>
    </row>
    <row r="109" spans="1:18" ht="15.75" x14ac:dyDescent="0.25">
      <c r="A109" s="76"/>
      <c r="B109" s="73"/>
      <c r="C109" s="74"/>
      <c r="D109" s="74"/>
      <c r="E109" s="74"/>
      <c r="F109" s="74"/>
      <c r="G109" s="74"/>
      <c r="H109" s="74"/>
      <c r="I109" s="74"/>
      <c r="J109" s="74"/>
      <c r="K109" s="192"/>
      <c r="L109" s="192"/>
      <c r="M109" s="75"/>
      <c r="N109" s="2"/>
      <c r="O109" s="2"/>
      <c r="P109" s="2"/>
      <c r="Q109" s="2"/>
      <c r="R109" s="2"/>
    </row>
    <row r="110" spans="1:18" x14ac:dyDescent="0.2">
      <c r="A110" s="2"/>
      <c r="B110" s="73"/>
      <c r="C110" s="74"/>
      <c r="D110" s="74"/>
      <c r="E110" s="74"/>
      <c r="F110" s="74"/>
      <c r="G110" s="74"/>
      <c r="H110" s="74"/>
      <c r="I110" s="74"/>
      <c r="J110" s="74"/>
      <c r="K110" s="192"/>
      <c r="L110" s="192"/>
      <c r="M110" s="75"/>
      <c r="N110" s="2"/>
      <c r="O110" s="2"/>
      <c r="P110" s="2"/>
      <c r="Q110" s="2"/>
      <c r="R110" s="2"/>
    </row>
    <row r="111" spans="1:18" x14ac:dyDescent="0.2">
      <c r="A111" s="2"/>
      <c r="B111" s="73"/>
      <c r="C111" s="74"/>
      <c r="D111" s="74"/>
      <c r="E111" s="74"/>
      <c r="F111" s="74"/>
      <c r="G111" s="74"/>
      <c r="H111" s="74"/>
      <c r="I111" s="74"/>
      <c r="J111" s="74"/>
      <c r="K111" s="192"/>
      <c r="L111" s="192"/>
      <c r="M111" s="75"/>
      <c r="N111" s="2"/>
      <c r="O111" s="2"/>
      <c r="P111" s="2"/>
      <c r="Q111" s="2"/>
      <c r="R111" s="2"/>
    </row>
    <row r="112" spans="1:18" x14ac:dyDescent="0.2">
      <c r="A112" s="2"/>
      <c r="B112" s="77"/>
      <c r="C112" s="74"/>
      <c r="D112" s="74"/>
      <c r="E112" s="74"/>
      <c r="F112" s="74"/>
      <c r="G112" s="74"/>
      <c r="H112" s="74"/>
      <c r="I112" s="74"/>
      <c r="J112" s="74"/>
      <c r="K112" s="192"/>
      <c r="L112" s="192"/>
      <c r="M112" s="75"/>
      <c r="N112" s="2"/>
      <c r="O112" s="2"/>
      <c r="P112" s="2"/>
      <c r="Q112" s="2"/>
      <c r="R112" s="2"/>
    </row>
    <row r="113" spans="1:18" x14ac:dyDescent="0.2">
      <c r="A113" s="2"/>
      <c r="B113" s="77"/>
      <c r="C113" s="74"/>
      <c r="D113" s="74"/>
      <c r="E113" s="74"/>
      <c r="F113" s="74"/>
      <c r="G113" s="74"/>
      <c r="H113" s="74"/>
      <c r="I113" s="74"/>
      <c r="J113" s="74"/>
      <c r="K113" s="192"/>
      <c r="L113" s="192"/>
      <c r="M113" s="75"/>
      <c r="N113" s="2"/>
      <c r="O113" s="2"/>
      <c r="P113" s="2"/>
      <c r="Q113" s="2"/>
      <c r="R113" s="2"/>
    </row>
    <row r="114" spans="1:18" x14ac:dyDescent="0.2">
      <c r="A114" s="2"/>
      <c r="B114" s="77"/>
      <c r="C114" s="74"/>
      <c r="D114" s="74"/>
      <c r="E114" s="74"/>
      <c r="F114" s="74"/>
      <c r="G114" s="74"/>
      <c r="H114" s="74"/>
      <c r="I114" s="74"/>
      <c r="J114" s="74"/>
      <c r="K114" s="192"/>
      <c r="L114" s="192"/>
      <c r="M114" s="75"/>
      <c r="N114" s="2"/>
      <c r="O114" s="2"/>
      <c r="P114" s="2"/>
      <c r="Q114" s="2"/>
      <c r="R114" s="2"/>
    </row>
    <row r="115" spans="1:18" x14ac:dyDescent="0.2">
      <c r="A115" s="2"/>
      <c r="B115" s="77"/>
      <c r="C115" s="74"/>
      <c r="D115" s="74"/>
      <c r="E115" s="74"/>
      <c r="F115" s="74"/>
      <c r="G115" s="74"/>
      <c r="H115" s="74"/>
      <c r="I115" s="74"/>
      <c r="J115" s="74"/>
      <c r="K115" s="192"/>
      <c r="L115" s="192"/>
      <c r="M115" s="75"/>
      <c r="N115" s="2"/>
      <c r="O115" s="2"/>
      <c r="P115" s="2"/>
      <c r="Q115" s="2"/>
      <c r="R115" s="2"/>
    </row>
    <row r="116" spans="1:18" x14ac:dyDescent="0.2">
      <c r="A116" s="2"/>
      <c r="B116" s="77"/>
      <c r="C116" s="74"/>
      <c r="D116" s="74"/>
      <c r="E116" s="74"/>
      <c r="F116" s="74"/>
      <c r="G116" s="74"/>
      <c r="H116" s="74"/>
      <c r="I116" s="74"/>
      <c r="J116" s="74"/>
      <c r="K116" s="192"/>
      <c r="L116" s="192"/>
      <c r="M116" s="75"/>
      <c r="N116" s="2"/>
      <c r="O116" s="2"/>
      <c r="P116" s="2"/>
      <c r="Q116" s="2"/>
      <c r="R116" s="2"/>
    </row>
    <row r="117" spans="1:18" x14ac:dyDescent="0.2">
      <c r="A117" s="2"/>
      <c r="B117" s="77"/>
      <c r="C117" s="74"/>
      <c r="D117" s="74"/>
      <c r="E117" s="74"/>
      <c r="F117" s="74"/>
      <c r="G117" s="74"/>
      <c r="H117" s="74"/>
      <c r="I117" s="74"/>
      <c r="J117" s="74"/>
      <c r="K117" s="192"/>
      <c r="L117" s="192"/>
      <c r="M117" s="75"/>
      <c r="N117" s="2"/>
      <c r="O117" s="2"/>
      <c r="P117" s="2"/>
      <c r="Q117" s="2"/>
      <c r="R117" s="2"/>
    </row>
    <row r="118" spans="1:18" x14ac:dyDescent="0.2">
      <c r="A118" s="2"/>
      <c r="B118" s="77"/>
      <c r="C118" s="74"/>
      <c r="D118" s="74"/>
      <c r="E118" s="74"/>
      <c r="F118" s="74"/>
      <c r="G118" s="74"/>
      <c r="H118" s="74"/>
      <c r="I118" s="74"/>
      <c r="J118" s="74"/>
      <c r="K118" s="192"/>
      <c r="L118" s="192"/>
      <c r="M118" s="75"/>
      <c r="N118" s="2"/>
      <c r="O118" s="2"/>
      <c r="P118" s="2"/>
      <c r="Q118" s="2"/>
      <c r="R118" s="2"/>
    </row>
    <row r="119" spans="1:18" x14ac:dyDescent="0.2">
      <c r="A119" s="2"/>
      <c r="B119" s="77"/>
      <c r="C119" s="74"/>
      <c r="D119" s="74"/>
      <c r="E119" s="74"/>
      <c r="F119" s="74"/>
      <c r="G119" s="74"/>
      <c r="H119" s="74"/>
      <c r="I119" s="74"/>
      <c r="J119" s="74"/>
      <c r="K119" s="192"/>
      <c r="L119" s="192"/>
      <c r="M119" s="75"/>
      <c r="N119" s="2"/>
      <c r="O119" s="2"/>
      <c r="P119" s="2"/>
      <c r="Q119" s="2"/>
      <c r="R119" s="2"/>
    </row>
    <row r="120" spans="1:18" x14ac:dyDescent="0.2">
      <c r="A120" s="2"/>
      <c r="B120" s="77"/>
      <c r="C120" s="74"/>
      <c r="D120" s="74"/>
      <c r="E120" s="74"/>
      <c r="F120" s="74"/>
      <c r="G120" s="74"/>
      <c r="H120" s="74"/>
      <c r="I120" s="74"/>
      <c r="J120" s="74"/>
      <c r="K120" s="192"/>
      <c r="L120" s="192"/>
      <c r="M120" s="75"/>
      <c r="N120" s="2"/>
      <c r="O120" s="2"/>
      <c r="P120" s="2"/>
      <c r="Q120" s="2"/>
      <c r="R120" s="2"/>
    </row>
    <row r="121" spans="1:18" x14ac:dyDescent="0.2">
      <c r="A121" s="2"/>
      <c r="B121" s="2"/>
      <c r="C121" s="74"/>
      <c r="D121" s="74"/>
      <c r="E121" s="74"/>
      <c r="F121" s="74"/>
      <c r="G121" s="74"/>
      <c r="H121" s="74"/>
      <c r="I121" s="74"/>
      <c r="J121" s="74"/>
      <c r="K121" s="192"/>
      <c r="L121" s="192"/>
      <c r="M121" s="75"/>
      <c r="N121" s="2"/>
      <c r="O121" s="2"/>
      <c r="P121" s="2"/>
      <c r="Q121" s="2"/>
      <c r="R121" s="2"/>
    </row>
    <row r="122" spans="1:18" ht="15.75" x14ac:dyDescent="0.25">
      <c r="A122" s="76"/>
      <c r="B122" s="2"/>
      <c r="C122" s="74"/>
      <c r="D122" s="74"/>
      <c r="E122" s="74"/>
      <c r="F122" s="74"/>
      <c r="G122" s="74"/>
      <c r="H122" s="74"/>
      <c r="I122" s="74"/>
      <c r="J122" s="74"/>
      <c r="K122" s="192"/>
      <c r="L122" s="192"/>
      <c r="M122" s="75"/>
      <c r="N122" s="2"/>
      <c r="O122" s="2"/>
      <c r="P122" s="2"/>
      <c r="Q122" s="2"/>
      <c r="R122" s="2"/>
    </row>
    <row r="123" spans="1:18" x14ac:dyDescent="0.2">
      <c r="A123" s="2"/>
      <c r="B123" s="2"/>
      <c r="C123" s="74"/>
      <c r="D123" s="74"/>
      <c r="E123" s="74"/>
      <c r="F123" s="74"/>
      <c r="G123" s="74"/>
      <c r="H123" s="74"/>
      <c r="I123" s="74"/>
      <c r="J123" s="74"/>
      <c r="K123" s="192"/>
      <c r="L123" s="192"/>
      <c r="M123" s="75"/>
      <c r="N123" s="2"/>
      <c r="O123" s="2"/>
      <c r="P123" s="2"/>
      <c r="Q123" s="2"/>
      <c r="R123" s="2"/>
    </row>
    <row r="124" spans="1:18" x14ac:dyDescent="0.2">
      <c r="A124" s="2"/>
      <c r="B124" s="2"/>
      <c r="C124" s="74"/>
      <c r="D124" s="74"/>
      <c r="E124" s="74"/>
      <c r="F124" s="74"/>
      <c r="G124" s="74"/>
      <c r="H124" s="74"/>
      <c r="I124" s="74"/>
      <c r="J124" s="74"/>
      <c r="K124" s="192"/>
      <c r="L124" s="192"/>
      <c r="M124" s="75"/>
      <c r="N124" s="2"/>
      <c r="O124" s="2"/>
      <c r="P124" s="2"/>
      <c r="Q124" s="2"/>
      <c r="R124" s="2"/>
    </row>
    <row r="125" spans="1:18" ht="15.75" x14ac:dyDescent="0.25">
      <c r="A125" s="76"/>
      <c r="B125" s="2"/>
      <c r="C125" s="74"/>
      <c r="D125" s="74"/>
      <c r="E125" s="74"/>
      <c r="F125" s="74"/>
      <c r="G125" s="74"/>
      <c r="H125" s="74"/>
      <c r="I125" s="74"/>
      <c r="J125" s="74"/>
      <c r="K125" s="192"/>
      <c r="L125" s="192"/>
      <c r="M125" s="75"/>
      <c r="N125" s="2"/>
      <c r="O125" s="2"/>
      <c r="P125" s="2"/>
      <c r="Q125" s="2"/>
      <c r="R125" s="2"/>
    </row>
    <row r="126" spans="1:18" ht="15.75" x14ac:dyDescent="0.25">
      <c r="A126" s="76"/>
      <c r="B126" s="2"/>
      <c r="C126" s="74"/>
      <c r="D126" s="74"/>
      <c r="E126" s="74"/>
      <c r="F126" s="74"/>
      <c r="G126" s="74"/>
      <c r="H126" s="74"/>
      <c r="I126" s="74"/>
      <c r="J126" s="74"/>
      <c r="K126" s="192"/>
      <c r="L126" s="192"/>
      <c r="M126" s="75"/>
      <c r="N126" s="2"/>
      <c r="O126" s="2"/>
      <c r="P126" s="2"/>
      <c r="Q126" s="2"/>
      <c r="R126" s="2"/>
    </row>
    <row r="127" spans="1:18" ht="15.75" x14ac:dyDescent="0.25">
      <c r="A127" s="76"/>
      <c r="B127" s="77"/>
      <c r="C127" s="74"/>
      <c r="D127" s="74"/>
      <c r="E127" s="74"/>
      <c r="F127" s="74"/>
      <c r="G127" s="74"/>
      <c r="H127" s="74"/>
      <c r="I127" s="74"/>
      <c r="J127" s="74"/>
      <c r="K127" s="192"/>
      <c r="L127" s="192"/>
      <c r="M127" s="75"/>
      <c r="N127" s="2"/>
      <c r="O127" s="2"/>
      <c r="P127" s="2"/>
      <c r="Q127" s="2"/>
      <c r="R127" s="2"/>
    </row>
    <row r="128" spans="1:18" x14ac:dyDescent="0.2">
      <c r="A128" s="2"/>
      <c r="B128" s="77"/>
      <c r="C128" s="74"/>
      <c r="D128" s="74"/>
      <c r="E128" s="74"/>
      <c r="F128" s="74"/>
      <c r="G128" s="74"/>
      <c r="H128" s="74"/>
      <c r="I128" s="74"/>
      <c r="J128" s="74"/>
      <c r="K128" s="192"/>
      <c r="L128" s="192"/>
      <c r="M128" s="75"/>
      <c r="N128" s="2"/>
      <c r="O128" s="2"/>
      <c r="P128" s="2"/>
      <c r="Q128" s="2"/>
      <c r="R128" s="2"/>
    </row>
    <row r="129" spans="1:18" x14ac:dyDescent="0.2">
      <c r="A129" s="2"/>
      <c r="B129" s="77"/>
      <c r="C129" s="74"/>
      <c r="D129" s="74"/>
      <c r="E129" s="74"/>
      <c r="F129" s="74"/>
      <c r="G129" s="74"/>
      <c r="H129" s="74"/>
      <c r="I129" s="74"/>
      <c r="J129" s="74"/>
      <c r="K129" s="192"/>
      <c r="L129" s="192"/>
      <c r="M129" s="75"/>
      <c r="N129" s="2"/>
      <c r="O129" s="2"/>
      <c r="P129" s="2"/>
      <c r="Q129" s="2"/>
      <c r="R129" s="2"/>
    </row>
    <row r="130" spans="1:18" x14ac:dyDescent="0.2">
      <c r="A130" s="2"/>
      <c r="B130" s="77"/>
      <c r="C130" s="74"/>
      <c r="D130" s="74"/>
      <c r="E130" s="74"/>
      <c r="F130" s="74"/>
      <c r="G130" s="74"/>
      <c r="H130" s="74"/>
      <c r="I130" s="74"/>
      <c r="J130" s="74"/>
      <c r="K130" s="192"/>
      <c r="L130" s="192"/>
      <c r="M130" s="75"/>
      <c r="N130" s="2"/>
      <c r="O130" s="2"/>
      <c r="P130" s="2"/>
      <c r="Q130" s="2"/>
      <c r="R130" s="2"/>
    </row>
    <row r="131" spans="1:18" x14ac:dyDescent="0.2">
      <c r="A131" s="2"/>
      <c r="B131" s="77"/>
      <c r="C131" s="74"/>
      <c r="D131" s="74"/>
      <c r="E131" s="74"/>
      <c r="F131" s="74"/>
      <c r="G131" s="74"/>
      <c r="H131" s="74"/>
      <c r="I131" s="74"/>
      <c r="J131" s="74"/>
      <c r="K131" s="192"/>
      <c r="L131" s="192"/>
      <c r="M131" s="75"/>
      <c r="N131" s="2"/>
      <c r="O131" s="2"/>
      <c r="P131" s="2"/>
      <c r="Q131" s="2"/>
      <c r="R131" s="2"/>
    </row>
    <row r="132" spans="1:18" x14ac:dyDescent="0.2">
      <c r="A132" s="2"/>
      <c r="B132" s="77"/>
      <c r="C132" s="74"/>
      <c r="D132" s="74"/>
      <c r="E132" s="74"/>
      <c r="F132" s="74"/>
      <c r="G132" s="74"/>
      <c r="H132" s="74"/>
      <c r="I132" s="74"/>
      <c r="J132" s="74"/>
      <c r="K132" s="192"/>
      <c r="L132" s="192"/>
      <c r="M132" s="75"/>
      <c r="N132" s="2"/>
      <c r="O132" s="2"/>
      <c r="P132" s="2"/>
      <c r="Q132" s="2"/>
      <c r="R132" s="2"/>
    </row>
    <row r="133" spans="1:18" x14ac:dyDescent="0.2">
      <c r="A133" s="2"/>
      <c r="B133" s="77"/>
      <c r="C133" s="74"/>
      <c r="D133" s="74"/>
      <c r="E133" s="74"/>
      <c r="F133" s="74"/>
      <c r="G133" s="74"/>
      <c r="H133" s="74"/>
      <c r="I133" s="74"/>
      <c r="J133" s="74"/>
      <c r="K133" s="192"/>
      <c r="L133" s="192"/>
      <c r="M133" s="75"/>
      <c r="N133" s="2"/>
      <c r="O133" s="2"/>
      <c r="P133" s="2"/>
      <c r="Q133" s="2"/>
      <c r="R133" s="2"/>
    </row>
    <row r="134" spans="1:18" x14ac:dyDescent="0.2">
      <c r="A134" s="2"/>
      <c r="B134" s="77"/>
      <c r="C134" s="74"/>
      <c r="D134" s="74"/>
      <c r="E134" s="74"/>
      <c r="F134" s="74"/>
      <c r="G134" s="74"/>
      <c r="H134" s="74"/>
      <c r="I134" s="74"/>
      <c r="J134" s="74"/>
      <c r="K134" s="192"/>
      <c r="L134" s="192"/>
      <c r="M134" s="75"/>
      <c r="N134" s="2"/>
      <c r="O134" s="2"/>
      <c r="P134" s="2"/>
      <c r="Q134" s="2"/>
      <c r="R134" s="2"/>
    </row>
    <row r="135" spans="1:18" x14ac:dyDescent="0.2">
      <c r="A135" s="2"/>
      <c r="B135" s="77"/>
      <c r="C135" s="74"/>
      <c r="D135" s="74"/>
      <c r="E135" s="74"/>
      <c r="F135" s="74"/>
      <c r="G135" s="74"/>
      <c r="H135" s="74"/>
      <c r="I135" s="74"/>
      <c r="J135" s="74"/>
      <c r="K135" s="192"/>
      <c r="L135" s="192"/>
      <c r="M135" s="75"/>
      <c r="N135" s="2"/>
      <c r="O135" s="2"/>
      <c r="P135" s="2"/>
      <c r="Q135" s="2"/>
      <c r="R135" s="2"/>
    </row>
    <row r="136" spans="1:18" x14ac:dyDescent="0.2">
      <c r="A136" s="2"/>
      <c r="B136" s="77"/>
      <c r="C136" s="74"/>
      <c r="D136" s="74"/>
      <c r="E136" s="74"/>
      <c r="F136" s="74"/>
      <c r="G136" s="74"/>
      <c r="H136" s="74"/>
      <c r="I136" s="74"/>
      <c r="J136" s="74"/>
      <c r="K136" s="192"/>
      <c r="L136" s="192"/>
      <c r="M136" s="75"/>
      <c r="N136" s="2"/>
      <c r="O136" s="2"/>
      <c r="P136" s="2"/>
      <c r="Q136" s="2"/>
      <c r="R136" s="2"/>
    </row>
    <row r="137" spans="1:18" x14ac:dyDescent="0.2">
      <c r="A137" s="2"/>
      <c r="B137" s="77"/>
      <c r="C137" s="74"/>
      <c r="D137" s="74"/>
      <c r="E137" s="74"/>
      <c r="F137" s="74"/>
      <c r="G137" s="74"/>
      <c r="H137" s="74"/>
      <c r="I137" s="74"/>
      <c r="J137" s="74"/>
      <c r="K137" s="192"/>
      <c r="L137" s="192"/>
      <c r="M137" s="75"/>
      <c r="N137" s="2"/>
      <c r="O137" s="2"/>
      <c r="P137" s="2"/>
      <c r="Q137" s="2"/>
      <c r="R137" s="2"/>
    </row>
    <row r="138" spans="1:18" x14ac:dyDescent="0.2">
      <c r="A138" s="2"/>
      <c r="B138" s="77"/>
      <c r="C138" s="74"/>
      <c r="D138" s="74"/>
      <c r="E138" s="74"/>
      <c r="F138" s="74"/>
      <c r="G138" s="74"/>
      <c r="H138" s="74"/>
      <c r="I138" s="74"/>
      <c r="J138" s="74"/>
      <c r="K138" s="192"/>
      <c r="L138" s="192"/>
      <c r="M138" s="75"/>
      <c r="N138" s="2"/>
      <c r="O138" s="2"/>
      <c r="P138" s="2"/>
      <c r="Q138" s="2"/>
      <c r="R138" s="2"/>
    </row>
    <row r="139" spans="1:18" x14ac:dyDescent="0.2">
      <c r="A139" s="2"/>
      <c r="B139" s="2"/>
      <c r="C139" s="74"/>
      <c r="D139" s="74"/>
      <c r="E139" s="74"/>
      <c r="F139" s="74"/>
      <c r="G139" s="74"/>
      <c r="H139" s="74"/>
      <c r="I139" s="74"/>
      <c r="J139" s="74"/>
      <c r="K139" s="192"/>
      <c r="L139" s="192"/>
      <c r="M139" s="75"/>
      <c r="N139" s="2"/>
      <c r="O139" s="2"/>
      <c r="P139" s="2"/>
      <c r="Q139" s="2"/>
      <c r="R139" s="2"/>
    </row>
    <row r="140" spans="1:18" ht="15.75" x14ac:dyDescent="0.25">
      <c r="A140" s="76"/>
      <c r="B140" s="2"/>
      <c r="C140" s="74"/>
      <c r="D140" s="74"/>
      <c r="E140" s="74"/>
      <c r="F140" s="74"/>
      <c r="G140" s="74"/>
      <c r="H140" s="74"/>
      <c r="I140" s="74"/>
      <c r="J140" s="74"/>
      <c r="K140" s="192"/>
      <c r="L140" s="192"/>
      <c r="M140" s="75"/>
      <c r="N140" s="2"/>
      <c r="O140" s="2"/>
      <c r="P140" s="2"/>
      <c r="Q140" s="2"/>
      <c r="R140" s="2"/>
    </row>
    <row r="141" spans="1:18" x14ac:dyDescent="0.2">
      <c r="A141" s="2"/>
      <c r="B141" s="2"/>
      <c r="C141" s="74"/>
      <c r="D141" s="74"/>
      <c r="E141" s="74"/>
      <c r="F141" s="74"/>
      <c r="G141" s="74"/>
      <c r="H141" s="74"/>
      <c r="I141" s="74"/>
      <c r="J141" s="74"/>
      <c r="K141" s="192"/>
      <c r="L141" s="192"/>
      <c r="M141" s="75"/>
      <c r="N141" s="2"/>
      <c r="O141" s="2"/>
      <c r="P141" s="2"/>
      <c r="Q141" s="2"/>
      <c r="R141" s="2"/>
    </row>
    <row r="142" spans="1:18" x14ac:dyDescent="0.2">
      <c r="A142" s="2"/>
      <c r="B142" s="2"/>
      <c r="C142" s="74"/>
      <c r="D142" s="74"/>
      <c r="E142" s="74"/>
      <c r="F142" s="74"/>
      <c r="G142" s="74"/>
      <c r="H142" s="74"/>
      <c r="I142" s="74"/>
      <c r="J142" s="74"/>
      <c r="K142" s="192"/>
      <c r="L142" s="192"/>
      <c r="M142" s="75"/>
      <c r="N142" s="2"/>
      <c r="O142" s="2"/>
      <c r="P142" s="2"/>
      <c r="Q142" s="2"/>
      <c r="R142" s="2"/>
    </row>
    <row r="143" spans="1:18" ht="15.75" x14ac:dyDescent="0.25">
      <c r="A143" s="76"/>
      <c r="B143" s="77"/>
      <c r="C143" s="74"/>
      <c r="D143" s="74"/>
      <c r="E143" s="74"/>
      <c r="F143" s="74"/>
      <c r="G143" s="74"/>
      <c r="H143" s="74"/>
      <c r="I143" s="74"/>
      <c r="J143" s="74"/>
      <c r="K143" s="192"/>
      <c r="L143" s="192"/>
      <c r="M143" s="75"/>
      <c r="N143" s="2"/>
      <c r="O143" s="2"/>
      <c r="P143" s="2"/>
      <c r="Q143" s="2"/>
      <c r="R143" s="2"/>
    </row>
    <row r="144" spans="1:18" x14ac:dyDescent="0.2">
      <c r="A144" s="2"/>
      <c r="B144" s="77"/>
      <c r="C144" s="74"/>
      <c r="D144" s="74"/>
      <c r="E144" s="74"/>
      <c r="F144" s="74"/>
      <c r="G144" s="74"/>
      <c r="H144" s="74"/>
      <c r="I144" s="74"/>
      <c r="J144" s="74"/>
      <c r="K144" s="192"/>
      <c r="L144" s="192"/>
      <c r="M144" s="75"/>
      <c r="N144" s="2"/>
      <c r="O144" s="2"/>
      <c r="P144" s="2"/>
      <c r="Q144" s="2"/>
      <c r="R144" s="2"/>
    </row>
    <row r="145" spans="1:18" x14ac:dyDescent="0.2">
      <c r="A145" s="2"/>
      <c r="B145" s="77"/>
      <c r="C145" s="74"/>
      <c r="D145" s="74"/>
      <c r="E145" s="74"/>
      <c r="F145" s="74"/>
      <c r="G145" s="74"/>
      <c r="H145" s="74"/>
      <c r="I145" s="74"/>
      <c r="J145" s="74"/>
      <c r="K145" s="192"/>
      <c r="L145" s="192"/>
      <c r="M145" s="75"/>
      <c r="N145" s="2"/>
      <c r="O145" s="2"/>
      <c r="P145" s="2"/>
      <c r="Q145" s="2"/>
      <c r="R145" s="2"/>
    </row>
    <row r="146" spans="1:18" x14ac:dyDescent="0.2">
      <c r="A146" s="2"/>
      <c r="B146" s="2"/>
      <c r="C146" s="74"/>
      <c r="D146" s="74"/>
      <c r="E146" s="74"/>
      <c r="F146" s="74"/>
      <c r="G146" s="74"/>
      <c r="H146" s="74"/>
      <c r="I146" s="74"/>
      <c r="J146" s="74"/>
      <c r="K146" s="192"/>
      <c r="L146" s="192"/>
      <c r="M146" s="75"/>
      <c r="N146" s="2"/>
      <c r="O146" s="2"/>
      <c r="P146" s="2"/>
      <c r="Q146" s="2"/>
      <c r="R146" s="2"/>
    </row>
    <row r="147" spans="1:18" x14ac:dyDescent="0.2">
      <c r="A147" s="2"/>
      <c r="B147" s="2"/>
      <c r="C147" s="74"/>
      <c r="D147" s="74"/>
      <c r="E147" s="74"/>
      <c r="F147" s="74"/>
      <c r="G147" s="74"/>
      <c r="H147" s="74"/>
      <c r="I147" s="74"/>
      <c r="J147" s="74"/>
      <c r="K147" s="192"/>
      <c r="L147" s="192"/>
      <c r="M147" s="75"/>
      <c r="N147" s="2"/>
      <c r="O147" s="2"/>
      <c r="P147" s="2"/>
      <c r="Q147" s="2"/>
      <c r="R147" s="2"/>
    </row>
    <row r="148" spans="1:18" x14ac:dyDescent="0.2">
      <c r="A148" s="2"/>
      <c r="B148" s="2"/>
      <c r="C148" s="74"/>
      <c r="D148" s="74"/>
      <c r="E148" s="74"/>
      <c r="F148" s="74"/>
      <c r="G148" s="74"/>
      <c r="H148" s="74"/>
      <c r="I148" s="74"/>
      <c r="J148" s="74"/>
      <c r="K148" s="192"/>
      <c r="L148" s="192"/>
      <c r="M148" s="75"/>
      <c r="N148" s="2"/>
      <c r="O148" s="2"/>
      <c r="P148" s="2"/>
      <c r="Q148" s="2"/>
      <c r="R148" s="2"/>
    </row>
    <row r="149" spans="1:18" ht="15.75" x14ac:dyDescent="0.25">
      <c r="A149" s="76"/>
      <c r="B149" s="2"/>
      <c r="C149" s="74"/>
      <c r="D149" s="74"/>
      <c r="E149" s="74"/>
      <c r="F149" s="74"/>
      <c r="G149" s="74"/>
      <c r="H149" s="74"/>
      <c r="I149" s="74"/>
      <c r="J149" s="74"/>
      <c r="K149" s="192"/>
      <c r="L149" s="192"/>
      <c r="M149" s="75"/>
      <c r="N149" s="2"/>
      <c r="O149" s="2"/>
      <c r="P149" s="2"/>
      <c r="Q149" s="2"/>
      <c r="R149" s="2"/>
    </row>
    <row r="150" spans="1:18" x14ac:dyDescent="0.2">
      <c r="A150" s="2"/>
      <c r="B150" s="2"/>
      <c r="C150" s="74"/>
      <c r="D150" s="74"/>
      <c r="E150" s="74"/>
      <c r="F150" s="74"/>
      <c r="G150" s="74"/>
      <c r="H150" s="74"/>
      <c r="I150" s="74"/>
      <c r="J150" s="74"/>
      <c r="K150" s="192"/>
      <c r="L150" s="192"/>
      <c r="M150" s="75"/>
      <c r="N150" s="2"/>
      <c r="O150" s="2"/>
      <c r="P150" s="2"/>
      <c r="Q150" s="2"/>
      <c r="R150" s="2"/>
    </row>
    <row r="151" spans="1:18" x14ac:dyDescent="0.2">
      <c r="A151" s="2"/>
      <c r="B151" s="2"/>
      <c r="C151" s="74"/>
      <c r="D151" s="74"/>
      <c r="E151" s="74"/>
      <c r="F151" s="74"/>
      <c r="G151" s="74"/>
      <c r="H151" s="74"/>
      <c r="I151" s="74"/>
      <c r="J151" s="74"/>
      <c r="K151" s="192"/>
      <c r="L151" s="192"/>
      <c r="M151" s="75"/>
      <c r="N151" s="2"/>
      <c r="O151" s="2"/>
      <c r="P151" s="2"/>
      <c r="Q151" s="2"/>
      <c r="R151" s="2"/>
    </row>
    <row r="152" spans="1:18" ht="15.75" x14ac:dyDescent="0.25">
      <c r="A152" s="76"/>
      <c r="B152" s="76"/>
      <c r="C152" s="74"/>
      <c r="D152" s="74"/>
      <c r="E152" s="74"/>
      <c r="F152" s="74"/>
      <c r="G152" s="74"/>
      <c r="H152" s="74"/>
      <c r="I152" s="74"/>
      <c r="J152" s="74"/>
      <c r="K152" s="192"/>
      <c r="L152" s="192"/>
      <c r="M152" s="75"/>
      <c r="N152" s="2"/>
      <c r="O152" s="2"/>
      <c r="P152" s="2"/>
      <c r="Q152" s="2"/>
      <c r="R152" s="2"/>
    </row>
    <row r="153" spans="1:18" x14ac:dyDescent="0.2">
      <c r="A153" s="2"/>
      <c r="B153" s="2"/>
      <c r="C153" s="74"/>
      <c r="D153" s="74"/>
      <c r="E153" s="74"/>
      <c r="F153" s="74"/>
      <c r="G153" s="74"/>
      <c r="H153" s="74"/>
      <c r="I153" s="74"/>
      <c r="J153" s="74"/>
      <c r="K153" s="192"/>
      <c r="L153" s="192"/>
      <c r="M153" s="75"/>
      <c r="N153" s="2"/>
      <c r="O153" s="2"/>
      <c r="P153" s="2"/>
      <c r="Q153" s="2"/>
      <c r="R153" s="2"/>
    </row>
    <row r="154" spans="1:18" x14ac:dyDescent="0.2">
      <c r="A154" s="2"/>
      <c r="B154" s="2"/>
      <c r="C154" s="74"/>
      <c r="D154" s="74"/>
      <c r="E154" s="74"/>
      <c r="F154" s="74"/>
      <c r="G154" s="74"/>
      <c r="H154" s="74"/>
      <c r="I154" s="74"/>
      <c r="J154" s="74"/>
      <c r="K154" s="192"/>
      <c r="L154" s="192"/>
      <c r="M154" s="75"/>
      <c r="N154" s="2"/>
      <c r="O154" s="2"/>
      <c r="P154" s="2"/>
      <c r="Q154" s="2"/>
      <c r="R154" s="2"/>
    </row>
    <row r="155" spans="1:18" x14ac:dyDescent="0.2">
      <c r="A155" s="2"/>
      <c r="B155" s="2"/>
      <c r="C155" s="74"/>
      <c r="D155" s="74"/>
      <c r="E155" s="74"/>
      <c r="F155" s="74"/>
      <c r="G155" s="74"/>
      <c r="H155" s="74"/>
      <c r="I155" s="74"/>
      <c r="J155" s="74"/>
      <c r="K155" s="192"/>
      <c r="L155" s="192"/>
      <c r="M155" s="75"/>
      <c r="N155" s="2"/>
      <c r="O155" s="2"/>
      <c r="P155" s="2"/>
      <c r="Q155" s="2"/>
      <c r="R155" s="2"/>
    </row>
    <row r="156" spans="1:18" x14ac:dyDescent="0.2">
      <c r="A156" s="2"/>
      <c r="B156" s="2"/>
      <c r="C156" s="74"/>
      <c r="D156" s="74"/>
      <c r="E156" s="74"/>
      <c r="F156" s="74"/>
      <c r="G156" s="74"/>
      <c r="H156" s="74"/>
      <c r="I156" s="74"/>
      <c r="J156" s="74"/>
      <c r="K156" s="192"/>
      <c r="L156" s="192"/>
      <c r="M156" s="75"/>
      <c r="N156" s="2"/>
      <c r="O156" s="2"/>
      <c r="P156" s="2"/>
      <c r="Q156" s="2"/>
      <c r="R156" s="2"/>
    </row>
    <row r="157" spans="1:18" x14ac:dyDescent="0.2">
      <c r="A157" s="2"/>
      <c r="B157" s="2"/>
      <c r="C157" s="74"/>
      <c r="D157" s="74"/>
      <c r="E157" s="74"/>
      <c r="F157" s="74"/>
      <c r="G157" s="74"/>
      <c r="H157" s="74"/>
      <c r="I157" s="74"/>
      <c r="J157" s="74"/>
      <c r="K157" s="192"/>
      <c r="L157" s="192"/>
      <c r="M157" s="75"/>
      <c r="N157" s="2"/>
      <c r="O157" s="2"/>
      <c r="P157" s="2"/>
      <c r="Q157" s="2"/>
      <c r="R157" s="2"/>
    </row>
    <row r="158" spans="1:18" x14ac:dyDescent="0.2">
      <c r="A158" s="2"/>
      <c r="B158" s="2"/>
      <c r="C158" s="74"/>
      <c r="D158" s="74"/>
      <c r="E158" s="74"/>
      <c r="F158" s="74"/>
      <c r="G158" s="74"/>
      <c r="H158" s="74"/>
      <c r="I158" s="74"/>
      <c r="J158" s="74"/>
      <c r="K158" s="192"/>
      <c r="L158" s="192"/>
      <c r="M158" s="75"/>
      <c r="N158" s="2"/>
      <c r="O158" s="2"/>
      <c r="P158" s="2"/>
      <c r="Q158" s="2"/>
      <c r="R158" s="2"/>
    </row>
    <row r="159" spans="1:18" x14ac:dyDescent="0.2">
      <c r="A159" s="2"/>
      <c r="B159" s="2"/>
      <c r="C159" s="74"/>
      <c r="D159" s="74"/>
      <c r="E159" s="74"/>
      <c r="F159" s="74"/>
      <c r="G159" s="74"/>
      <c r="H159" s="74"/>
      <c r="I159" s="74"/>
      <c r="J159" s="74"/>
      <c r="K159" s="192"/>
      <c r="L159" s="192"/>
      <c r="M159" s="75"/>
      <c r="N159" s="2"/>
      <c r="O159" s="2"/>
      <c r="P159" s="2"/>
      <c r="Q159" s="2"/>
      <c r="R159" s="2"/>
    </row>
    <row r="160" spans="1:18" x14ac:dyDescent="0.2">
      <c r="A160" s="2"/>
      <c r="B160" s="2"/>
      <c r="C160" s="74"/>
      <c r="D160" s="74"/>
      <c r="E160" s="74"/>
      <c r="F160" s="74"/>
      <c r="G160" s="74"/>
      <c r="H160" s="74"/>
      <c r="I160" s="74"/>
      <c r="J160" s="74"/>
      <c r="K160" s="192"/>
      <c r="L160" s="192"/>
      <c r="M160" s="75"/>
      <c r="N160" s="2"/>
      <c r="O160" s="2"/>
      <c r="P160" s="2"/>
      <c r="Q160" s="2"/>
      <c r="R160" s="2"/>
    </row>
    <row r="161" spans="1:18" x14ac:dyDescent="0.2">
      <c r="A161" s="2"/>
      <c r="B161" s="2"/>
      <c r="C161" s="74"/>
      <c r="D161" s="74"/>
      <c r="E161" s="74"/>
      <c r="F161" s="74"/>
      <c r="G161" s="74"/>
      <c r="H161" s="74"/>
      <c r="I161" s="74"/>
      <c r="J161" s="74"/>
      <c r="K161" s="192"/>
      <c r="L161" s="192"/>
      <c r="M161" s="75"/>
      <c r="N161" s="2"/>
      <c r="O161" s="2"/>
      <c r="P161" s="2"/>
      <c r="Q161" s="2"/>
      <c r="R161" s="2"/>
    </row>
    <row r="162" spans="1:18" x14ac:dyDescent="0.2">
      <c r="A162" s="2"/>
      <c r="B162" s="2"/>
      <c r="C162" s="74"/>
      <c r="D162" s="74"/>
      <c r="E162" s="74"/>
      <c r="F162" s="74"/>
      <c r="G162" s="74"/>
      <c r="H162" s="74"/>
      <c r="I162" s="74"/>
      <c r="J162" s="74"/>
      <c r="K162" s="192"/>
      <c r="L162" s="192"/>
      <c r="M162" s="75"/>
      <c r="N162" s="2"/>
      <c r="O162" s="2"/>
      <c r="P162" s="2"/>
      <c r="Q162" s="2"/>
      <c r="R162" s="2"/>
    </row>
    <row r="163" spans="1:18" x14ac:dyDescent="0.2">
      <c r="A163" s="2"/>
      <c r="B163" s="2"/>
      <c r="C163" s="74"/>
      <c r="D163" s="74"/>
      <c r="E163" s="74"/>
      <c r="F163" s="74"/>
      <c r="G163" s="74"/>
      <c r="H163" s="74"/>
      <c r="I163" s="74"/>
      <c r="J163" s="74"/>
      <c r="K163" s="192"/>
      <c r="L163" s="192"/>
      <c r="M163" s="75"/>
      <c r="N163" s="2"/>
      <c r="O163" s="2"/>
      <c r="P163" s="2"/>
      <c r="Q163" s="2"/>
      <c r="R163" s="2"/>
    </row>
    <row r="164" spans="1:18" x14ac:dyDescent="0.2">
      <c r="A164" s="2"/>
      <c r="B164" s="2"/>
      <c r="C164" s="74"/>
      <c r="D164" s="74"/>
      <c r="E164" s="74"/>
      <c r="F164" s="74"/>
      <c r="G164" s="74"/>
      <c r="H164" s="74"/>
      <c r="I164" s="74"/>
      <c r="J164" s="74"/>
      <c r="K164" s="192"/>
      <c r="L164" s="192"/>
      <c r="M164" s="75"/>
      <c r="N164" s="2"/>
      <c r="O164" s="2"/>
      <c r="P164" s="2"/>
      <c r="Q164" s="2"/>
      <c r="R164" s="2"/>
    </row>
    <row r="165" spans="1:18" x14ac:dyDescent="0.2">
      <c r="A165" s="2"/>
      <c r="B165" s="2"/>
      <c r="C165" s="74"/>
      <c r="D165" s="74"/>
      <c r="E165" s="74"/>
      <c r="F165" s="74"/>
      <c r="G165" s="74"/>
      <c r="H165" s="74"/>
      <c r="I165" s="74"/>
      <c r="J165" s="74"/>
      <c r="K165" s="192"/>
      <c r="L165" s="192"/>
      <c r="M165" s="75"/>
      <c r="N165" s="2"/>
      <c r="O165" s="2"/>
      <c r="P165" s="2"/>
      <c r="Q165" s="2"/>
      <c r="R165" s="2"/>
    </row>
    <row r="166" spans="1:18" x14ac:dyDescent="0.2">
      <c r="A166" s="2"/>
      <c r="B166" s="2"/>
      <c r="C166" s="74"/>
      <c r="D166" s="74"/>
      <c r="E166" s="74"/>
      <c r="F166" s="74"/>
      <c r="G166" s="74"/>
      <c r="H166" s="74"/>
      <c r="I166" s="74"/>
      <c r="J166" s="74"/>
      <c r="K166" s="192"/>
      <c r="L166" s="192"/>
      <c r="M166" s="75"/>
      <c r="N166" s="2"/>
      <c r="O166" s="2"/>
      <c r="P166" s="2"/>
      <c r="Q166" s="2"/>
      <c r="R166" s="2"/>
    </row>
    <row r="167" spans="1:18" x14ac:dyDescent="0.2">
      <c r="A167" s="2"/>
      <c r="B167" s="2"/>
      <c r="C167" s="74"/>
      <c r="D167" s="74"/>
      <c r="E167" s="74"/>
      <c r="F167" s="74"/>
      <c r="G167" s="74"/>
      <c r="H167" s="74"/>
      <c r="I167" s="74"/>
      <c r="J167" s="74"/>
      <c r="K167" s="192"/>
      <c r="L167" s="192"/>
      <c r="M167" s="75"/>
      <c r="N167" s="2"/>
      <c r="O167" s="2"/>
      <c r="P167" s="2"/>
      <c r="Q167" s="2"/>
      <c r="R167" s="2"/>
    </row>
    <row r="168" spans="1:18" x14ac:dyDescent="0.2">
      <c r="A168" s="2"/>
      <c r="B168" s="2"/>
      <c r="C168" s="74"/>
      <c r="D168" s="74"/>
      <c r="E168" s="74"/>
      <c r="F168" s="74"/>
      <c r="G168" s="74"/>
      <c r="H168" s="74"/>
      <c r="I168" s="74"/>
      <c r="J168" s="74"/>
      <c r="K168" s="192"/>
      <c r="L168" s="192"/>
      <c r="M168" s="75"/>
      <c r="N168" s="2"/>
      <c r="O168" s="2"/>
      <c r="P168" s="2"/>
      <c r="Q168" s="2"/>
      <c r="R168" s="2"/>
    </row>
    <row r="169" spans="1:18" x14ac:dyDescent="0.2">
      <c r="A169" s="2"/>
      <c r="B169" s="2"/>
      <c r="C169" s="74"/>
      <c r="D169" s="74"/>
      <c r="E169" s="74"/>
      <c r="F169" s="74"/>
      <c r="G169" s="74"/>
      <c r="H169" s="74"/>
      <c r="I169" s="74"/>
      <c r="J169" s="74"/>
      <c r="K169" s="192"/>
      <c r="L169" s="192"/>
      <c r="M169" s="75"/>
      <c r="N169" s="2"/>
      <c r="O169" s="2"/>
      <c r="P169" s="2"/>
      <c r="Q169" s="2"/>
      <c r="R169" s="2"/>
    </row>
    <row r="170" spans="1:18" x14ac:dyDescent="0.2">
      <c r="A170" s="2"/>
      <c r="B170" s="2"/>
      <c r="C170" s="74"/>
      <c r="D170" s="74"/>
      <c r="E170" s="74"/>
      <c r="F170" s="74"/>
      <c r="G170" s="74"/>
      <c r="H170" s="74"/>
      <c r="I170" s="74"/>
      <c r="J170" s="74"/>
      <c r="K170" s="192"/>
      <c r="L170" s="192"/>
      <c r="M170" s="75"/>
      <c r="N170" s="2"/>
      <c r="O170" s="2"/>
      <c r="P170" s="2"/>
      <c r="Q170" s="2"/>
      <c r="R170" s="2"/>
    </row>
    <row r="171" spans="1:18" x14ac:dyDescent="0.2">
      <c r="A171" s="2"/>
      <c r="B171" s="2"/>
      <c r="C171" s="74"/>
      <c r="D171" s="74"/>
      <c r="E171" s="74"/>
      <c r="F171" s="74"/>
      <c r="G171" s="74"/>
      <c r="H171" s="74"/>
      <c r="I171" s="74"/>
      <c r="J171" s="74"/>
      <c r="K171" s="192"/>
      <c r="L171" s="192"/>
      <c r="M171" s="75"/>
      <c r="N171" s="2"/>
      <c r="O171" s="2"/>
      <c r="P171" s="2"/>
      <c r="Q171" s="2"/>
      <c r="R171" s="2"/>
    </row>
    <row r="172" spans="1:18" x14ac:dyDescent="0.2">
      <c r="A172" s="2"/>
      <c r="B172" s="2"/>
      <c r="C172" s="74"/>
      <c r="D172" s="74"/>
      <c r="E172" s="74"/>
      <c r="F172" s="74"/>
      <c r="G172" s="74"/>
      <c r="H172" s="74"/>
      <c r="I172" s="74"/>
      <c r="J172" s="74"/>
      <c r="K172" s="192"/>
      <c r="L172" s="192"/>
      <c r="M172" s="75"/>
      <c r="N172" s="2"/>
      <c r="O172" s="2"/>
      <c r="P172" s="2"/>
      <c r="Q172" s="2"/>
      <c r="R172" s="2"/>
    </row>
    <row r="173" spans="1:18" x14ac:dyDescent="0.2">
      <c r="A173" s="2"/>
      <c r="B173" s="2"/>
      <c r="C173" s="74"/>
      <c r="D173" s="74"/>
      <c r="E173" s="74"/>
      <c r="F173" s="74"/>
      <c r="G173" s="74"/>
      <c r="H173" s="74"/>
      <c r="I173" s="74"/>
      <c r="J173" s="74"/>
      <c r="K173" s="192"/>
      <c r="L173" s="192"/>
      <c r="M173" s="75"/>
      <c r="N173" s="2"/>
      <c r="O173" s="2"/>
      <c r="P173" s="2"/>
      <c r="Q173" s="2"/>
      <c r="R173" s="2"/>
    </row>
    <row r="174" spans="1:18" x14ac:dyDescent="0.2">
      <c r="A174" s="2"/>
      <c r="B174" s="2"/>
      <c r="C174" s="74"/>
      <c r="D174" s="74"/>
      <c r="E174" s="74"/>
      <c r="F174" s="74"/>
      <c r="G174" s="74"/>
      <c r="H174" s="74"/>
      <c r="I174" s="74"/>
      <c r="J174" s="74"/>
      <c r="K174" s="192"/>
      <c r="L174" s="192"/>
      <c r="M174" s="75"/>
      <c r="N174" s="2"/>
      <c r="O174" s="2"/>
      <c r="P174" s="2"/>
      <c r="Q174" s="2"/>
      <c r="R174" s="2"/>
    </row>
    <row r="175" spans="1:18" x14ac:dyDescent="0.2">
      <c r="A175" s="2"/>
      <c r="B175" s="2"/>
      <c r="C175" s="74"/>
      <c r="D175" s="74"/>
      <c r="E175" s="74"/>
      <c r="F175" s="74"/>
      <c r="G175" s="74"/>
      <c r="H175" s="74"/>
      <c r="I175" s="74"/>
      <c r="J175" s="74"/>
      <c r="K175" s="192"/>
      <c r="L175" s="192"/>
      <c r="M175" s="75"/>
      <c r="N175" s="2"/>
      <c r="O175" s="2"/>
      <c r="P175" s="2"/>
      <c r="Q175" s="2"/>
      <c r="R175" s="2"/>
    </row>
    <row r="176" spans="1:18" x14ac:dyDescent="0.2">
      <c r="A176" s="2"/>
      <c r="B176" s="2"/>
      <c r="C176" s="74"/>
      <c r="D176" s="74"/>
      <c r="E176" s="74"/>
      <c r="F176" s="74"/>
      <c r="G176" s="74"/>
      <c r="H176" s="74"/>
      <c r="I176" s="74"/>
      <c r="J176" s="74"/>
      <c r="K176" s="192"/>
      <c r="L176" s="192"/>
      <c r="M176" s="75"/>
      <c r="N176" s="2"/>
      <c r="O176" s="2"/>
      <c r="P176" s="2"/>
      <c r="Q176" s="2"/>
      <c r="R176" s="2"/>
    </row>
    <row r="177" spans="1:18" x14ac:dyDescent="0.2">
      <c r="A177" s="2"/>
      <c r="B177" s="2"/>
      <c r="C177" s="74"/>
      <c r="D177" s="74"/>
      <c r="E177" s="74"/>
      <c r="F177" s="74"/>
      <c r="G177" s="74"/>
      <c r="H177" s="74"/>
      <c r="I177" s="74"/>
      <c r="J177" s="74"/>
      <c r="K177" s="192"/>
      <c r="L177" s="192"/>
      <c r="M177" s="75"/>
      <c r="N177" s="2"/>
      <c r="O177" s="2"/>
      <c r="P177" s="2"/>
      <c r="Q177" s="2"/>
      <c r="R177" s="2"/>
    </row>
    <row r="178" spans="1:18" x14ac:dyDescent="0.2">
      <c r="A178" s="2"/>
      <c r="B178" s="2"/>
      <c r="C178" s="74"/>
      <c r="D178" s="74"/>
      <c r="E178" s="74"/>
      <c r="F178" s="74"/>
      <c r="G178" s="74"/>
      <c r="H178" s="74"/>
      <c r="I178" s="74"/>
      <c r="J178" s="74"/>
      <c r="K178" s="192"/>
      <c r="L178" s="192"/>
      <c r="M178" s="75"/>
      <c r="N178" s="2"/>
      <c r="O178" s="2"/>
      <c r="P178" s="2"/>
      <c r="Q178" s="2"/>
      <c r="R178" s="2"/>
    </row>
    <row r="179" spans="1:18" x14ac:dyDescent="0.2">
      <c r="A179" s="2"/>
      <c r="B179" s="2"/>
      <c r="C179" s="74"/>
      <c r="D179" s="74"/>
      <c r="E179" s="74"/>
      <c r="F179" s="74"/>
      <c r="G179" s="74"/>
      <c r="H179" s="74"/>
      <c r="I179" s="74"/>
      <c r="J179" s="74"/>
      <c r="K179" s="192"/>
      <c r="L179" s="192"/>
      <c r="M179" s="75"/>
      <c r="N179" s="2"/>
      <c r="O179" s="2"/>
      <c r="P179" s="2"/>
      <c r="Q179" s="2"/>
      <c r="R179" s="2"/>
    </row>
    <row r="180" spans="1:18" x14ac:dyDescent="0.2">
      <c r="A180" s="2"/>
      <c r="B180" s="2"/>
      <c r="C180" s="74"/>
      <c r="D180" s="74"/>
      <c r="E180" s="74"/>
      <c r="F180" s="74"/>
      <c r="G180" s="74"/>
      <c r="H180" s="74"/>
      <c r="I180" s="74"/>
      <c r="J180" s="74"/>
      <c r="K180" s="192"/>
      <c r="L180" s="192"/>
      <c r="M180" s="75"/>
      <c r="N180" s="2"/>
      <c r="O180" s="2"/>
      <c r="P180" s="2"/>
      <c r="Q180" s="2"/>
      <c r="R180" s="2"/>
    </row>
    <row r="181" spans="1:18" x14ac:dyDescent="0.2">
      <c r="A181" s="2"/>
      <c r="B181" s="2"/>
      <c r="C181" s="74"/>
      <c r="D181" s="74"/>
      <c r="E181" s="74"/>
      <c r="F181" s="74"/>
      <c r="G181" s="74"/>
      <c r="H181" s="74"/>
      <c r="I181" s="74"/>
      <c r="J181" s="74"/>
      <c r="K181" s="192"/>
      <c r="L181" s="192"/>
      <c r="M181" s="75"/>
      <c r="N181" s="2"/>
      <c r="O181" s="2"/>
      <c r="P181" s="2"/>
      <c r="Q181" s="2"/>
      <c r="R181" s="2"/>
    </row>
    <row r="182" spans="1:18" x14ac:dyDescent="0.2">
      <c r="A182" s="2"/>
      <c r="B182" s="2"/>
      <c r="C182" s="74"/>
      <c r="D182" s="74"/>
      <c r="E182" s="74"/>
      <c r="F182" s="74"/>
      <c r="G182" s="74"/>
      <c r="H182" s="74"/>
      <c r="I182" s="74"/>
      <c r="J182" s="74"/>
      <c r="K182" s="192"/>
      <c r="L182" s="192"/>
      <c r="M182" s="75"/>
      <c r="N182" s="2"/>
      <c r="O182" s="2"/>
      <c r="P182" s="2"/>
      <c r="Q182" s="2"/>
      <c r="R182" s="2"/>
    </row>
    <row r="183" spans="1:18" x14ac:dyDescent="0.2">
      <c r="A183" s="2"/>
      <c r="B183" s="2"/>
      <c r="C183" s="74"/>
      <c r="D183" s="74"/>
      <c r="E183" s="74"/>
      <c r="F183" s="74"/>
      <c r="G183" s="74"/>
      <c r="H183" s="74"/>
      <c r="I183" s="74"/>
      <c r="J183" s="74"/>
      <c r="K183" s="192"/>
      <c r="L183" s="192"/>
      <c r="M183" s="75"/>
      <c r="N183" s="2"/>
      <c r="O183" s="2"/>
      <c r="P183" s="2"/>
      <c r="Q183" s="2"/>
      <c r="R183" s="2"/>
    </row>
    <row r="184" spans="1:18" x14ac:dyDescent="0.2">
      <c r="A184" s="2"/>
      <c r="B184" s="2"/>
      <c r="C184" s="74"/>
      <c r="D184" s="74"/>
      <c r="E184" s="74"/>
      <c r="F184" s="74"/>
      <c r="G184" s="74"/>
      <c r="H184" s="74"/>
      <c r="I184" s="74"/>
      <c r="J184" s="74"/>
      <c r="K184" s="192"/>
      <c r="L184" s="192"/>
      <c r="M184" s="75"/>
      <c r="N184" s="2"/>
      <c r="O184" s="2"/>
      <c r="P184" s="2"/>
      <c r="Q184" s="2"/>
      <c r="R184" s="2"/>
    </row>
    <row r="185" spans="1:18" x14ac:dyDescent="0.2">
      <c r="A185" s="2"/>
      <c r="B185" s="2"/>
      <c r="C185" s="74"/>
      <c r="D185" s="74"/>
      <c r="E185" s="74"/>
      <c r="F185" s="74"/>
      <c r="G185" s="74"/>
      <c r="H185" s="74"/>
      <c r="I185" s="74"/>
      <c r="J185" s="74"/>
      <c r="K185" s="192"/>
      <c r="L185" s="192"/>
      <c r="M185" s="75"/>
      <c r="N185" s="2"/>
      <c r="O185" s="2"/>
      <c r="P185" s="2"/>
      <c r="Q185" s="2"/>
      <c r="R185" s="2"/>
    </row>
    <row r="186" spans="1:18" x14ac:dyDescent="0.2">
      <c r="A186" s="2"/>
      <c r="B186" s="2"/>
      <c r="C186" s="74"/>
      <c r="D186" s="74"/>
      <c r="E186" s="74"/>
      <c r="F186" s="74"/>
      <c r="G186" s="74"/>
      <c r="H186" s="74"/>
      <c r="I186" s="74"/>
      <c r="J186" s="74"/>
      <c r="K186" s="192"/>
      <c r="L186" s="192"/>
      <c r="M186" s="75"/>
      <c r="N186" s="2"/>
      <c r="O186" s="2"/>
      <c r="P186" s="2"/>
      <c r="Q186" s="2"/>
      <c r="R186" s="2"/>
    </row>
    <row r="187" spans="1:18" x14ac:dyDescent="0.2">
      <c r="A187" s="2"/>
      <c r="B187" s="2"/>
      <c r="C187" s="74"/>
      <c r="D187" s="74"/>
      <c r="E187" s="74"/>
      <c r="F187" s="74"/>
      <c r="G187" s="74"/>
      <c r="H187" s="74"/>
      <c r="I187" s="74"/>
      <c r="J187" s="74"/>
      <c r="K187" s="192"/>
      <c r="L187" s="192"/>
      <c r="M187" s="75"/>
      <c r="N187" s="2"/>
      <c r="O187" s="2"/>
      <c r="P187" s="2"/>
      <c r="Q187" s="2"/>
      <c r="R187" s="2"/>
    </row>
    <row r="188" spans="1:18" x14ac:dyDescent="0.2">
      <c r="A188" s="2"/>
      <c r="B188" s="2"/>
      <c r="C188" s="74"/>
      <c r="D188" s="74"/>
      <c r="E188" s="74"/>
      <c r="F188" s="74"/>
      <c r="G188" s="74"/>
      <c r="H188" s="74"/>
      <c r="I188" s="74"/>
      <c r="J188" s="74"/>
      <c r="K188" s="192"/>
      <c r="L188" s="192"/>
      <c r="M188" s="75"/>
      <c r="N188" s="2"/>
      <c r="O188" s="2"/>
      <c r="P188" s="2"/>
      <c r="Q188" s="2"/>
      <c r="R188" s="2"/>
    </row>
    <row r="189" spans="1:18" x14ac:dyDescent="0.2">
      <c r="A189" s="2"/>
      <c r="B189" s="2"/>
      <c r="C189" s="74"/>
      <c r="D189" s="74"/>
      <c r="E189" s="74"/>
      <c r="F189" s="74"/>
      <c r="G189" s="74"/>
      <c r="H189" s="74"/>
      <c r="I189" s="74"/>
      <c r="J189" s="74"/>
      <c r="K189" s="192"/>
      <c r="L189" s="192"/>
      <c r="M189" s="75"/>
      <c r="N189" s="2"/>
      <c r="O189" s="2"/>
      <c r="P189" s="2"/>
      <c r="Q189" s="2"/>
      <c r="R189" s="2"/>
    </row>
    <row r="190" spans="1:18" x14ac:dyDescent="0.2">
      <c r="A190" s="2"/>
      <c r="B190" s="2"/>
      <c r="C190" s="74"/>
      <c r="D190" s="74"/>
      <c r="E190" s="74"/>
      <c r="F190" s="74"/>
      <c r="G190" s="74"/>
      <c r="H190" s="74"/>
      <c r="I190" s="74"/>
      <c r="J190" s="74"/>
      <c r="K190" s="192"/>
      <c r="L190" s="192"/>
      <c r="M190" s="75"/>
      <c r="N190" s="2"/>
      <c r="O190" s="2"/>
      <c r="P190" s="2"/>
      <c r="Q190" s="2"/>
      <c r="R190" s="2"/>
    </row>
    <row r="191" spans="1:18" x14ac:dyDescent="0.2">
      <c r="A191" s="2"/>
      <c r="B191" s="2"/>
      <c r="C191" s="74"/>
      <c r="D191" s="74"/>
      <c r="E191" s="74"/>
      <c r="F191" s="74"/>
      <c r="G191" s="74"/>
      <c r="H191" s="74"/>
      <c r="I191" s="74"/>
      <c r="J191" s="74"/>
      <c r="K191" s="192"/>
      <c r="L191" s="192"/>
      <c r="M191" s="75"/>
      <c r="N191" s="2"/>
      <c r="O191" s="2"/>
      <c r="P191" s="2"/>
      <c r="Q191" s="2"/>
      <c r="R191" s="2"/>
    </row>
    <row r="192" spans="1:18" x14ac:dyDescent="0.2">
      <c r="A192" s="2"/>
      <c r="B192" s="2"/>
      <c r="C192" s="74"/>
      <c r="D192" s="74"/>
      <c r="E192" s="74"/>
      <c r="F192" s="74"/>
      <c r="G192" s="74"/>
      <c r="H192" s="74"/>
      <c r="I192" s="74"/>
      <c r="J192" s="74"/>
      <c r="K192" s="192"/>
      <c r="L192" s="192"/>
      <c r="M192" s="75"/>
      <c r="N192" s="2"/>
      <c r="O192" s="2"/>
      <c r="P192" s="2"/>
      <c r="Q192" s="2"/>
      <c r="R192" s="2"/>
    </row>
    <row r="193" spans="1:18" x14ac:dyDescent="0.2">
      <c r="A193" s="2"/>
      <c r="B193" s="2"/>
      <c r="C193" s="74"/>
      <c r="D193" s="74"/>
      <c r="E193" s="74"/>
      <c r="F193" s="74"/>
      <c r="G193" s="74"/>
      <c r="H193" s="74"/>
      <c r="I193" s="74"/>
      <c r="J193" s="74"/>
      <c r="K193" s="192"/>
      <c r="L193" s="192"/>
      <c r="M193" s="75"/>
      <c r="N193" s="2"/>
      <c r="O193" s="2"/>
      <c r="P193" s="2"/>
      <c r="Q193" s="2"/>
      <c r="R193" s="2"/>
    </row>
    <row r="194" spans="1:18" x14ac:dyDescent="0.2">
      <c r="A194" s="2"/>
      <c r="B194" s="2"/>
      <c r="C194" s="74"/>
      <c r="D194" s="74"/>
      <c r="E194" s="74"/>
      <c r="F194" s="74"/>
      <c r="G194" s="74"/>
      <c r="H194" s="74"/>
      <c r="I194" s="74"/>
      <c r="J194" s="74"/>
      <c r="K194" s="192"/>
      <c r="L194" s="192"/>
      <c r="M194" s="75"/>
      <c r="N194" s="2"/>
      <c r="O194" s="2"/>
      <c r="P194" s="2"/>
      <c r="Q194" s="2"/>
      <c r="R194" s="2"/>
    </row>
    <row r="195" spans="1:18" x14ac:dyDescent="0.2">
      <c r="A195" s="2"/>
      <c r="B195" s="2"/>
      <c r="C195" s="74"/>
      <c r="D195" s="74"/>
      <c r="E195" s="74"/>
      <c r="F195" s="74"/>
      <c r="G195" s="74"/>
      <c r="H195" s="74"/>
      <c r="I195" s="74"/>
      <c r="J195" s="74"/>
      <c r="K195" s="192"/>
      <c r="L195" s="192"/>
      <c r="M195" s="75"/>
      <c r="N195" s="2"/>
      <c r="O195" s="2"/>
      <c r="P195" s="2"/>
      <c r="Q195" s="2"/>
      <c r="R195" s="2"/>
    </row>
    <row r="196" spans="1:18" x14ac:dyDescent="0.2">
      <c r="A196" s="2"/>
      <c r="B196" s="2"/>
      <c r="C196" s="74"/>
      <c r="D196" s="74"/>
      <c r="E196" s="74"/>
      <c r="F196" s="74"/>
      <c r="G196" s="74"/>
      <c r="H196" s="74"/>
      <c r="I196" s="74"/>
      <c r="J196" s="74"/>
      <c r="K196" s="192"/>
      <c r="L196" s="192"/>
      <c r="M196" s="75"/>
      <c r="N196" s="2"/>
      <c r="O196" s="2"/>
      <c r="P196" s="2"/>
      <c r="Q196" s="2"/>
      <c r="R196" s="2"/>
    </row>
    <row r="197" spans="1:18" x14ac:dyDescent="0.2">
      <c r="A197" s="2"/>
      <c r="B197" s="2"/>
      <c r="C197" s="74"/>
      <c r="D197" s="74"/>
      <c r="E197" s="74"/>
      <c r="F197" s="74"/>
      <c r="G197" s="74"/>
      <c r="H197" s="74"/>
      <c r="I197" s="74"/>
      <c r="J197" s="74"/>
      <c r="K197" s="192"/>
      <c r="L197" s="192"/>
      <c r="M197" s="75"/>
      <c r="N197" s="2"/>
      <c r="O197" s="2"/>
      <c r="P197" s="2"/>
      <c r="Q197" s="2"/>
      <c r="R197" s="2"/>
    </row>
    <row r="198" spans="1:18" x14ac:dyDescent="0.2">
      <c r="A198" s="2"/>
      <c r="B198" s="2"/>
      <c r="C198" s="74"/>
      <c r="D198" s="74"/>
      <c r="E198" s="74"/>
      <c r="F198" s="74"/>
      <c r="G198" s="74"/>
      <c r="H198" s="74"/>
      <c r="I198" s="74"/>
      <c r="J198" s="74"/>
      <c r="K198" s="192"/>
      <c r="L198" s="192"/>
      <c r="M198" s="75"/>
      <c r="N198" s="2"/>
      <c r="O198" s="2"/>
      <c r="P198" s="2"/>
      <c r="Q198" s="2"/>
      <c r="R198" s="2"/>
    </row>
    <row r="199" spans="1:18" x14ac:dyDescent="0.2">
      <c r="A199" s="2"/>
      <c r="B199" s="2"/>
      <c r="C199" s="74"/>
      <c r="D199" s="74"/>
      <c r="E199" s="74"/>
      <c r="F199" s="74"/>
      <c r="G199" s="74"/>
      <c r="H199" s="74"/>
      <c r="I199" s="74"/>
      <c r="J199" s="74"/>
      <c r="K199" s="192"/>
      <c r="L199" s="192"/>
      <c r="M199" s="75"/>
      <c r="N199" s="2"/>
      <c r="O199" s="2"/>
      <c r="P199" s="2"/>
      <c r="Q199" s="2"/>
      <c r="R199" s="2"/>
    </row>
    <row r="200" spans="1:18" x14ac:dyDescent="0.2">
      <c r="A200" s="2"/>
      <c r="B200" s="2"/>
      <c r="C200" s="74"/>
      <c r="D200" s="74"/>
      <c r="E200" s="74"/>
      <c r="F200" s="74"/>
      <c r="G200" s="74"/>
      <c r="H200" s="74"/>
      <c r="I200" s="74"/>
      <c r="J200" s="74"/>
      <c r="K200" s="192"/>
      <c r="L200" s="192"/>
      <c r="M200" s="75"/>
      <c r="N200" s="2"/>
      <c r="O200" s="2"/>
      <c r="P200" s="2"/>
      <c r="Q200" s="2"/>
      <c r="R200" s="2"/>
    </row>
    <row r="201" spans="1:18" x14ac:dyDescent="0.2">
      <c r="A201" s="2"/>
      <c r="B201" s="2"/>
      <c r="C201" s="74"/>
      <c r="D201" s="74"/>
      <c r="E201" s="74"/>
      <c r="F201" s="74"/>
      <c r="G201" s="74"/>
      <c r="H201" s="74"/>
      <c r="I201" s="74"/>
      <c r="J201" s="74"/>
      <c r="K201" s="192"/>
      <c r="L201" s="192"/>
      <c r="M201" s="75"/>
      <c r="N201" s="2"/>
      <c r="O201" s="2"/>
      <c r="P201" s="2"/>
      <c r="Q201" s="2"/>
      <c r="R201" s="2"/>
    </row>
    <row r="202" spans="1:18" x14ac:dyDescent="0.2">
      <c r="A202" s="2"/>
      <c r="B202" s="2"/>
      <c r="C202" s="74"/>
      <c r="D202" s="74"/>
      <c r="E202" s="74"/>
      <c r="F202" s="74"/>
      <c r="G202" s="74"/>
      <c r="H202" s="74"/>
      <c r="I202" s="74"/>
      <c r="J202" s="74"/>
      <c r="K202" s="192"/>
      <c r="L202" s="192"/>
      <c r="M202" s="75"/>
      <c r="N202" s="2"/>
      <c r="O202" s="2"/>
      <c r="P202" s="2"/>
      <c r="Q202" s="2"/>
      <c r="R202" s="2"/>
    </row>
    <row r="203" spans="1:18" x14ac:dyDescent="0.2">
      <c r="A203" s="2"/>
      <c r="B203" s="2"/>
      <c r="C203" s="74"/>
      <c r="D203" s="74"/>
      <c r="E203" s="74"/>
      <c r="F203" s="74"/>
      <c r="G203" s="74"/>
      <c r="H203" s="74"/>
      <c r="I203" s="74"/>
      <c r="J203" s="74"/>
      <c r="K203" s="192"/>
      <c r="L203" s="192"/>
      <c r="M203" s="75"/>
      <c r="N203" s="2"/>
      <c r="O203" s="2"/>
      <c r="P203" s="2"/>
      <c r="Q203" s="2"/>
      <c r="R203" s="2"/>
    </row>
    <row r="204" spans="1:18" x14ac:dyDescent="0.2">
      <c r="A204" s="2"/>
      <c r="B204" s="2"/>
      <c r="C204" s="74"/>
      <c r="D204" s="74"/>
      <c r="E204" s="74"/>
      <c r="F204" s="74"/>
      <c r="G204" s="74"/>
      <c r="H204" s="74"/>
      <c r="I204" s="74"/>
      <c r="J204" s="74"/>
      <c r="K204" s="192"/>
      <c r="L204" s="192"/>
      <c r="M204" s="75"/>
      <c r="N204" s="2"/>
      <c r="O204" s="2"/>
      <c r="P204" s="2"/>
      <c r="Q204" s="2"/>
      <c r="R204" s="2"/>
    </row>
    <row r="205" spans="1:18" x14ac:dyDescent="0.2">
      <c r="A205" s="2"/>
      <c r="B205" s="2"/>
      <c r="C205" s="74"/>
      <c r="D205" s="74"/>
      <c r="E205" s="74"/>
      <c r="F205" s="74"/>
      <c r="G205" s="74"/>
      <c r="H205" s="74"/>
      <c r="I205" s="74"/>
      <c r="J205" s="74"/>
      <c r="K205" s="192"/>
      <c r="L205" s="192"/>
      <c r="M205" s="75"/>
      <c r="N205" s="2"/>
      <c r="O205" s="2"/>
      <c r="P205" s="2"/>
      <c r="Q205" s="2"/>
      <c r="R205" s="2"/>
    </row>
    <row r="206" spans="1:18" x14ac:dyDescent="0.2">
      <c r="A206" s="2"/>
      <c r="B206" s="2"/>
      <c r="C206" s="74"/>
      <c r="D206" s="74"/>
      <c r="E206" s="74"/>
      <c r="F206" s="74"/>
      <c r="G206" s="74"/>
      <c r="H206" s="74"/>
      <c r="I206" s="74"/>
      <c r="J206" s="74"/>
      <c r="K206" s="192"/>
      <c r="L206" s="192"/>
      <c r="M206" s="75"/>
      <c r="N206" s="2"/>
      <c r="O206" s="2"/>
      <c r="P206" s="2"/>
      <c r="Q206" s="2"/>
      <c r="R206" s="2"/>
    </row>
    <row r="207" spans="1:18" x14ac:dyDescent="0.2">
      <c r="A207" s="2"/>
      <c r="B207" s="2"/>
      <c r="C207" s="74"/>
      <c r="D207" s="74"/>
      <c r="E207" s="74"/>
      <c r="F207" s="74"/>
      <c r="G207" s="74"/>
      <c r="H207" s="74"/>
      <c r="I207" s="74"/>
      <c r="J207" s="74"/>
      <c r="K207" s="192"/>
      <c r="L207" s="192"/>
      <c r="M207" s="75"/>
      <c r="N207" s="2"/>
      <c r="O207" s="2"/>
      <c r="P207" s="2"/>
      <c r="Q207" s="2"/>
      <c r="R207" s="2"/>
    </row>
    <row r="208" spans="1:18" x14ac:dyDescent="0.2">
      <c r="A208" s="2"/>
      <c r="B208" s="2"/>
      <c r="C208" s="74"/>
      <c r="D208" s="74"/>
      <c r="E208" s="74"/>
      <c r="F208" s="74"/>
      <c r="G208" s="74"/>
      <c r="H208" s="74"/>
      <c r="I208" s="74"/>
      <c r="J208" s="74"/>
      <c r="K208" s="192"/>
      <c r="L208" s="192"/>
      <c r="M208" s="75"/>
      <c r="N208" s="2"/>
      <c r="O208" s="2"/>
      <c r="P208" s="2"/>
      <c r="Q208" s="2"/>
      <c r="R208" s="2"/>
    </row>
    <row r="209" spans="1:18" x14ac:dyDescent="0.2">
      <c r="A209" s="2"/>
      <c r="B209" s="2"/>
      <c r="C209" s="74"/>
      <c r="D209" s="74"/>
      <c r="E209" s="74"/>
      <c r="F209" s="74"/>
      <c r="G209" s="74"/>
      <c r="H209" s="74"/>
      <c r="I209" s="74"/>
      <c r="J209" s="74"/>
      <c r="K209" s="192"/>
      <c r="L209" s="192"/>
      <c r="M209" s="75"/>
      <c r="N209" s="2"/>
      <c r="O209" s="2"/>
      <c r="P209" s="2"/>
      <c r="Q209" s="2"/>
      <c r="R209" s="2"/>
    </row>
    <row r="210" spans="1:18" x14ac:dyDescent="0.2">
      <c r="A210" s="2"/>
      <c r="B210" s="2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x14ac:dyDescent="0.2">
      <c r="A211" s="2"/>
      <c r="B211" s="2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2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x14ac:dyDescent="0.2">
      <c r="A213" s="2"/>
      <c r="B213" s="2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x14ac:dyDescent="0.2">
      <c r="A214" s="2"/>
      <c r="B214" s="2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2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x14ac:dyDescent="0.2">
      <c r="A216" s="2"/>
      <c r="B216" s="2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x14ac:dyDescent="0.2">
      <c r="A217" s="2"/>
      <c r="B217" s="2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x14ac:dyDescent="0.2">
      <c r="A218" s="2"/>
      <c r="B218" s="2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2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5"/>
      <c r="N219" s="2"/>
      <c r="O219" s="2"/>
      <c r="P219" s="2"/>
      <c r="Q219" s="2"/>
      <c r="R219" s="2"/>
    </row>
    <row r="220" spans="1:18" x14ac:dyDescent="0.2">
      <c r="A220" s="2"/>
      <c r="B220" s="2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5"/>
      <c r="N220" s="2"/>
      <c r="O220" s="2"/>
      <c r="P220" s="2"/>
      <c r="Q220" s="2"/>
      <c r="R220" s="2"/>
    </row>
    <row r="221" spans="1:18" x14ac:dyDescent="0.2">
      <c r="A221" s="2"/>
      <c r="B221" s="2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5"/>
      <c r="N221" s="2"/>
      <c r="O221" s="2"/>
      <c r="P221" s="2"/>
      <c r="Q221" s="2"/>
      <c r="R221" s="2"/>
    </row>
    <row r="222" spans="1:18" x14ac:dyDescent="0.2">
      <c r="A222" s="2"/>
      <c r="B222" s="2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x14ac:dyDescent="0.2">
      <c r="A223" s="2"/>
      <c r="B223" s="2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x14ac:dyDescent="0.2">
      <c r="A224" s="2"/>
      <c r="B224" s="2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2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x14ac:dyDescent="0.2">
      <c r="A226" s="2"/>
      <c r="B226" s="2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x14ac:dyDescent="0.2">
      <c r="A227" s="2"/>
      <c r="B227" s="2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2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x14ac:dyDescent="0.2">
      <c r="A229" s="2"/>
      <c r="B229" s="2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x14ac:dyDescent="0.2">
      <c r="A230" s="2"/>
      <c r="B230" s="2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x14ac:dyDescent="0.2">
      <c r="A231" s="2"/>
      <c r="B231" s="2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2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2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x14ac:dyDescent="0.2">
      <c r="A234" s="2"/>
      <c r="B234" s="2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2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92"/>
      <c r="L238" s="192"/>
      <c r="M238" s="75"/>
      <c r="N238" s="2"/>
      <c r="O238" s="2"/>
      <c r="P238" s="2"/>
      <c r="Q238" s="2"/>
      <c r="R238" s="2"/>
    </row>
    <row r="239" spans="1:1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92"/>
      <c r="L239" s="192"/>
      <c r="M239" s="75"/>
      <c r="N239" s="2"/>
      <c r="O239" s="2"/>
      <c r="P239" s="2"/>
      <c r="Q239" s="2"/>
      <c r="R239" s="2"/>
    </row>
    <row r="240" spans="1:1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92"/>
      <c r="L241" s="192"/>
      <c r="M241" s="75"/>
      <c r="N241" s="2"/>
      <c r="O241" s="2"/>
      <c r="P241" s="2"/>
      <c r="Q241" s="2"/>
      <c r="R241" s="2"/>
    </row>
    <row r="242" spans="1:1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92"/>
      <c r="L242" s="192"/>
      <c r="M242" s="75"/>
      <c r="N242" s="2"/>
      <c r="O242" s="2"/>
      <c r="P242" s="2"/>
      <c r="Q242" s="2"/>
      <c r="R242" s="2"/>
    </row>
    <row r="243" spans="1:1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92"/>
      <c r="L243" s="192"/>
      <c r="M243" s="75"/>
      <c r="N243" s="2"/>
      <c r="O243" s="2"/>
      <c r="P243" s="2"/>
      <c r="Q243" s="2"/>
      <c r="R243" s="2"/>
    </row>
    <row r="244" spans="1:1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92"/>
      <c r="L246" s="192"/>
      <c r="M246" s="75"/>
      <c r="N246" s="2"/>
      <c r="O246" s="2"/>
      <c r="P246" s="2"/>
      <c r="Q246" s="2"/>
      <c r="R246" s="2"/>
    </row>
    <row r="247" spans="1:1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92"/>
      <c r="L252" s="192"/>
      <c r="M252" s="75"/>
      <c r="N252" s="2"/>
      <c r="O252" s="2"/>
      <c r="P252" s="2"/>
      <c r="Q252" s="2"/>
      <c r="R252" s="2"/>
    </row>
    <row r="253" spans="1:1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92"/>
      <c r="L255" s="192"/>
      <c r="M255" s="75"/>
      <c r="N255" s="2"/>
      <c r="O255" s="2"/>
      <c r="P255" s="2"/>
      <c r="Q255" s="2"/>
      <c r="R255" s="2"/>
    </row>
    <row r="256" spans="1:1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92"/>
      <c r="L256" s="192"/>
      <c r="M256" s="75"/>
      <c r="N256" s="2"/>
      <c r="O256" s="2"/>
      <c r="P256" s="2"/>
      <c r="Q256" s="2"/>
      <c r="R256" s="2"/>
    </row>
    <row r="257" spans="1:1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92"/>
      <c r="L259" s="192"/>
      <c r="M259" s="75"/>
      <c r="N259" s="2"/>
      <c r="O259" s="2"/>
      <c r="P259" s="2"/>
      <c r="Q259" s="2"/>
      <c r="R259" s="2"/>
    </row>
    <row r="260" spans="1:1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2"/>
      <c r="L265" s="192"/>
      <c r="M265" s="75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2"/>
      <c r="L268" s="192"/>
      <c r="M268" s="75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5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10" sqref="A10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8867187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10.109375" style="80" customWidth="1"/>
    <col min="15" max="15" width="13.4414062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73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62</v>
      </c>
      <c r="E7" s="275" t="s">
        <v>55</v>
      </c>
      <c r="F7" s="84" t="s">
        <v>60</v>
      </c>
      <c r="G7" s="84" t="s">
        <v>63</v>
      </c>
      <c r="H7" s="84" t="s">
        <v>68</v>
      </c>
      <c r="I7" s="84" t="s">
        <v>70</v>
      </c>
      <c r="J7" s="84" t="s">
        <v>25</v>
      </c>
      <c r="K7" s="84" t="s">
        <v>52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DATE(2023,7,1)</f>
        <v>45108</v>
      </c>
      <c r="B10" s="89">
        <f>'MONTHLY STATS'!$C$9*2</f>
        <v>397942</v>
      </c>
      <c r="C10" s="89">
        <f>'MONTHLY STATS'!$C$15*2</f>
        <v>229528</v>
      </c>
      <c r="D10" s="89">
        <f>'MONTHLY STATS'!$C$21*2</f>
        <v>124414</v>
      </c>
      <c r="E10" s="89">
        <f>'MONTHLY STATS'!$C$27*2</f>
        <v>708940</v>
      </c>
      <c r="F10" s="89">
        <f>'MONTHLY STATS'!$C$33*2</f>
        <v>399396</v>
      </c>
      <c r="G10" s="89">
        <f>'MONTHLY STATS'!$C$39*2</f>
        <v>188900</v>
      </c>
      <c r="H10" s="89">
        <f>'MONTHLY STATS'!$C$45*2</f>
        <v>438240</v>
      </c>
      <c r="I10" s="89">
        <f>'MONTHLY STATS'!$C$51*2</f>
        <v>455910</v>
      </c>
      <c r="J10" s="89">
        <f>'MONTHLY STATS'!$C$57*2</f>
        <v>524176</v>
      </c>
      <c r="K10" s="89">
        <f>'MONTHLY STATS'!$C$63*2</f>
        <v>745328</v>
      </c>
      <c r="L10" s="89">
        <f>'MONTHLY STATS'!$C$69*2</f>
        <v>86244</v>
      </c>
      <c r="M10" s="89">
        <f>'MONTHLY STATS'!$C$75*2</f>
        <v>682716</v>
      </c>
      <c r="N10" s="89">
        <f>'MONTHLY STATS'!$C$81*2</f>
        <v>132646</v>
      </c>
      <c r="O10" s="90">
        <f>SUM(B10:N10)</f>
        <v>5114380</v>
      </c>
      <c r="P10" s="83"/>
    </row>
    <row r="11" spans="1:16" ht="15.75" x14ac:dyDescent="0.25">
      <c r="A11" s="88">
        <f>DATE(2023,8,1)</f>
        <v>45139</v>
      </c>
      <c r="B11" s="89">
        <f>'MONTHLY STATS'!$C$10*2</f>
        <v>371172</v>
      </c>
      <c r="C11" s="89">
        <f>'MONTHLY STATS'!$C$16*2</f>
        <v>206976</v>
      </c>
      <c r="D11" s="89">
        <f>'MONTHLY STATS'!$C$22*2</f>
        <v>111582</v>
      </c>
      <c r="E11" s="89">
        <f>'MONTHLY STATS'!$C$28*2</f>
        <v>662892</v>
      </c>
      <c r="F11" s="89">
        <f>'MONTHLY STATS'!$C$34*2</f>
        <v>371724</v>
      </c>
      <c r="G11" s="89">
        <f>'MONTHLY STATS'!$C$40*2</f>
        <v>171280</v>
      </c>
      <c r="H11" s="89">
        <f>'MONTHLY STATS'!$C$46*2</f>
        <v>436176</v>
      </c>
      <c r="I11" s="89">
        <f>'MONTHLY STATS'!$C$52*2</f>
        <v>427814</v>
      </c>
      <c r="J11" s="89">
        <f>'MONTHLY STATS'!$C$58*2</f>
        <v>478446</v>
      </c>
      <c r="K11" s="89">
        <f>'MONTHLY STATS'!$C$64*2</f>
        <v>685290</v>
      </c>
      <c r="L11" s="89">
        <f>'MONTHLY STATS'!$C$70*2</f>
        <v>77588</v>
      </c>
      <c r="M11" s="89">
        <f>'MONTHLY STATS'!$C$76*2</f>
        <v>652506</v>
      </c>
      <c r="N11" s="89">
        <f>'MONTHLY STATS'!$C$82*2</f>
        <v>127788</v>
      </c>
      <c r="O11" s="90">
        <f>SUM(B11:N11)</f>
        <v>4781234</v>
      </c>
      <c r="P11" s="83"/>
    </row>
    <row r="12" spans="1:16" ht="15.75" x14ac:dyDescent="0.25">
      <c r="A12" s="88">
        <f>DATE(2023,9,1)</f>
        <v>45170</v>
      </c>
      <c r="B12" s="89">
        <f>'MONTHLY STATS'!$C$11*2</f>
        <v>371470</v>
      </c>
      <c r="C12" s="89">
        <f>'MONTHLY STATS'!$C$17*2</f>
        <v>200642</v>
      </c>
      <c r="D12" s="89">
        <f>'MONTHLY STATS'!$C$23*2</f>
        <v>113374</v>
      </c>
      <c r="E12" s="89">
        <f>'MONTHLY STATS'!$C$29*2</f>
        <v>633924</v>
      </c>
      <c r="F12" s="89">
        <f>'MONTHLY STATS'!$C$35*2</f>
        <v>375628</v>
      </c>
      <c r="G12" s="89">
        <f>'MONTHLY STATS'!$C$41*2</f>
        <v>170280</v>
      </c>
      <c r="H12" s="89">
        <f>'MONTHLY STATS'!$C$47*2</f>
        <v>483586</v>
      </c>
      <c r="I12" s="89">
        <f>'MONTHLY STATS'!$C$53*2</f>
        <v>421612</v>
      </c>
      <c r="J12" s="89">
        <f>'MONTHLY STATS'!$C$59*2</f>
        <v>496626</v>
      </c>
      <c r="K12" s="89">
        <f>'MONTHLY STATS'!$C$65*2</f>
        <v>681256</v>
      </c>
      <c r="L12" s="89">
        <f>'MONTHLY STATS'!$C$71*2</f>
        <v>78048</v>
      </c>
      <c r="M12" s="89">
        <f>'MONTHLY STATS'!$C$77*2</f>
        <v>661272</v>
      </c>
      <c r="N12" s="89">
        <f>'MONTHLY STATS'!$C$83*2</f>
        <v>122756</v>
      </c>
      <c r="O12" s="90">
        <f>SUM(B12:N12)</f>
        <v>4810474</v>
      </c>
      <c r="P12" s="83"/>
    </row>
    <row r="13" spans="1:16" ht="15.75" x14ac:dyDescent="0.25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0"/>
      <c r="P13" s="83"/>
    </row>
    <row r="14" spans="1:16" ht="15.75" x14ac:dyDescent="0.25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/>
      <c r="P14" s="83"/>
    </row>
    <row r="15" spans="1:16" ht="15.75" x14ac:dyDescent="0.25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83"/>
    </row>
    <row r="16" spans="1:16" ht="15.75" x14ac:dyDescent="0.25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90"/>
      <c r="P16" s="83"/>
    </row>
    <row r="17" spans="1:16" ht="15.75" x14ac:dyDescent="0.2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83"/>
    </row>
    <row r="18" spans="1:16" ht="15.75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83"/>
    </row>
    <row r="19" spans="1:16" ht="15.75" x14ac:dyDescent="0.25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83"/>
    </row>
    <row r="20" spans="1:16" ht="15.75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83"/>
    </row>
    <row r="21" spans="1:16" ht="15.75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0">SUM(B10:B21)</f>
        <v>1140584</v>
      </c>
      <c r="C23" s="90">
        <f t="shared" si="0"/>
        <v>637146</v>
      </c>
      <c r="D23" s="90">
        <f t="shared" si="0"/>
        <v>349370</v>
      </c>
      <c r="E23" s="90">
        <f t="shared" si="0"/>
        <v>2005756</v>
      </c>
      <c r="F23" s="90">
        <f t="shared" si="0"/>
        <v>1146748</v>
      </c>
      <c r="G23" s="90">
        <f>SUM(G10:G21)</f>
        <v>530460</v>
      </c>
      <c r="H23" s="90">
        <f t="shared" si="0"/>
        <v>1358002</v>
      </c>
      <c r="I23" s="90">
        <f>SUM(I10:I21)</f>
        <v>1305336</v>
      </c>
      <c r="J23" s="90">
        <f t="shared" si="0"/>
        <v>1499248</v>
      </c>
      <c r="K23" s="90">
        <f>SUM(K10:K21)</f>
        <v>2111874</v>
      </c>
      <c r="L23" s="90">
        <f t="shared" si="0"/>
        <v>241880</v>
      </c>
      <c r="M23" s="90">
        <f t="shared" si="0"/>
        <v>1996494</v>
      </c>
      <c r="N23" s="90">
        <f t="shared" si="0"/>
        <v>383190</v>
      </c>
      <c r="O23" s="90">
        <f t="shared" si="0"/>
        <v>14706088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62</v>
      </c>
      <c r="E28" s="275" t="s">
        <v>55</v>
      </c>
      <c r="F28" s="84" t="s">
        <v>60</v>
      </c>
      <c r="G28" s="84" t="s">
        <v>63</v>
      </c>
      <c r="H28" s="84" t="s">
        <v>68</v>
      </c>
      <c r="I28" s="84" t="s">
        <v>70</v>
      </c>
      <c r="J28" s="84" t="s">
        <v>25</v>
      </c>
      <c r="K28" s="106" t="s">
        <v>52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DATE(2023,7,1)</f>
        <v>45108</v>
      </c>
      <c r="B31" s="89">
        <f>'MONTHLY STATS'!$K$9*0.21</f>
        <v>3146216.0687999995</v>
      </c>
      <c r="C31" s="89">
        <f>'MONTHLY STATS'!$K$15*0.21</f>
        <v>1722035.5466999998</v>
      </c>
      <c r="D31" s="89">
        <f>'MONTHLY STATS'!$K$21*0.21</f>
        <v>817934.35290000006</v>
      </c>
      <c r="E31" s="89">
        <f>'MONTHLY STATS'!$K$27*0.21</f>
        <v>4674596.7617999995</v>
      </c>
      <c r="F31" s="89">
        <f>'MONTHLY STATS'!$K$33*0.21</f>
        <v>3228902.0589000001</v>
      </c>
      <c r="G31" s="89">
        <f>'MONTHLY STATS'!$K$39*0.21</f>
        <v>1319580.5342999999</v>
      </c>
      <c r="H31" s="89">
        <f>'MONTHLY STATS'!$K$45*0.21</f>
        <v>2268943.7148000002</v>
      </c>
      <c r="I31" s="89">
        <f>'MONTHLY STATS'!$K$51*0.21</f>
        <v>2947257.6987000001</v>
      </c>
      <c r="J31" s="89">
        <f>'MONTHLY STATS'!$K$57*0.21</f>
        <v>3704387.8221</v>
      </c>
      <c r="K31" s="89">
        <f>'MONTHLY STATS'!$K$63*0.21</f>
        <v>4669398.8481000001</v>
      </c>
      <c r="L31" s="89">
        <f>'MONTHLY STATS'!$K$69*0.21</f>
        <v>667459.5858</v>
      </c>
      <c r="M31" s="89">
        <f>'MONTHLY STATS'!$K$75*0.21</f>
        <v>5390821.3358999994</v>
      </c>
      <c r="N31" s="89">
        <f>'MONTHLY STATS'!$K$81*0.21</f>
        <v>821402.96069999994</v>
      </c>
      <c r="O31" s="90">
        <f>SUM(B31:N31)</f>
        <v>35378937.289499991</v>
      </c>
      <c r="P31" s="83"/>
    </row>
    <row r="32" spans="1:16" ht="15.75" x14ac:dyDescent="0.25">
      <c r="A32" s="88">
        <f>DATE(2023,8,1)</f>
        <v>45139</v>
      </c>
      <c r="B32" s="89">
        <f>'MONTHLY STATS'!$K$10*0.21</f>
        <v>2966696.7791999998</v>
      </c>
      <c r="C32" s="89">
        <f>'MONTHLY STATS'!$K$16*0.21</f>
        <v>1575505.4889</v>
      </c>
      <c r="D32" s="89">
        <f>'MONTHLY STATS'!$K$22*0.21</f>
        <v>789048.26909999992</v>
      </c>
      <c r="E32" s="89">
        <f>'MONTHLY STATS'!$K$28*0.21</f>
        <v>4190646.3227999997</v>
      </c>
      <c r="F32" s="89">
        <f>'MONTHLY STATS'!$K$34*0.21</f>
        <v>2955351.3128999998</v>
      </c>
      <c r="G32" s="89">
        <f>'MONTHLY STATS'!$K$40*0.21</f>
        <v>1258922.0027999999</v>
      </c>
      <c r="H32" s="89">
        <f>'MONTHLY STATS'!$K$46*0.21</f>
        <v>2283147.1698000003</v>
      </c>
      <c r="I32" s="89">
        <f>'MONTHLY STATS'!$K$52*0.21</f>
        <v>2743960.2875999999</v>
      </c>
      <c r="J32" s="89">
        <f>'MONTHLY STATS'!$K$58*0.21</f>
        <v>3431613.2823000001</v>
      </c>
      <c r="K32" s="89">
        <f>'MONTHLY STATS'!$K$64*0.21</f>
        <v>4328763.0539999995</v>
      </c>
      <c r="L32" s="89">
        <f>'MONTHLY STATS'!$K$70*0.21</f>
        <v>603333.93329999992</v>
      </c>
      <c r="M32" s="89">
        <f>'MONTHLY STATS'!$K$76*0.21</f>
        <v>4902681.9807000002</v>
      </c>
      <c r="N32" s="89">
        <f>'MONTHLY STATS'!$K$82*0.21</f>
        <v>811071.1287</v>
      </c>
      <c r="O32" s="90">
        <f>SUM(B32:N32)</f>
        <v>32840741.012099996</v>
      </c>
      <c r="P32" s="83"/>
    </row>
    <row r="33" spans="1:16" ht="15.75" x14ac:dyDescent="0.25">
      <c r="A33" s="88">
        <f>DATE(2023,9,1)</f>
        <v>45170</v>
      </c>
      <c r="B33" s="89">
        <f>'MONTHLY STATS'!$K$11*0.21</f>
        <v>2684662.0877999999</v>
      </c>
      <c r="C33" s="89">
        <f>'MONTHLY STATS'!$K$17*0.21</f>
        <v>1512997.5902999998</v>
      </c>
      <c r="D33" s="89">
        <f>'MONTHLY STATS'!$K$23*0.21</f>
        <v>844931.44259999995</v>
      </c>
      <c r="E33" s="89">
        <f>'MONTHLY STATS'!$K$29*0.21</f>
        <v>4303547.5833000001</v>
      </c>
      <c r="F33" s="89">
        <f>'MONTHLY STATS'!$K$35*0.21</f>
        <v>2904963.7407</v>
      </c>
      <c r="G33" s="89">
        <f>'MONTHLY STATS'!$K$41*0.21</f>
        <v>1096871.5023000001</v>
      </c>
      <c r="H33" s="89">
        <f>'MONTHLY STATS'!$K$47*0.21</f>
        <v>2467521.0587999998</v>
      </c>
      <c r="I33" s="89">
        <f>'MONTHLY STATS'!$K$53*0.21</f>
        <v>2863533.4391999999</v>
      </c>
      <c r="J33" s="89">
        <f>'MONTHLY STATS'!$K$59*0.21</f>
        <v>3539927.4372</v>
      </c>
      <c r="K33" s="89">
        <f>'MONTHLY STATS'!$K$65*0.21</f>
        <v>4523369.9385000002</v>
      </c>
      <c r="L33" s="89">
        <f>'MONTHLY STATS'!$K$71*0.21</f>
        <v>603992.21609999996</v>
      </c>
      <c r="M33" s="89">
        <f>'MONTHLY STATS'!$K$77*0.21</f>
        <v>5166807.4521000003</v>
      </c>
      <c r="N33" s="89">
        <f>'MONTHLY STATS'!$K$83*0.21</f>
        <v>785676.32849999995</v>
      </c>
      <c r="O33" s="90">
        <f>SUM(B33:N33)</f>
        <v>33298801.817399997</v>
      </c>
      <c r="P33" s="83"/>
    </row>
    <row r="34" spans="1:16" ht="15.75" x14ac:dyDescent="0.25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0"/>
      <c r="P34" s="83"/>
    </row>
    <row r="35" spans="1:16" ht="15.75" x14ac:dyDescent="0.25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90"/>
      <c r="P35" s="83"/>
    </row>
    <row r="36" spans="1:16" ht="15.75" x14ac:dyDescent="0.25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90"/>
      <c r="P36" s="83"/>
    </row>
    <row r="37" spans="1:16" ht="15.75" x14ac:dyDescent="0.25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0"/>
      <c r="P37" s="83"/>
    </row>
    <row r="38" spans="1:16" ht="15.75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0"/>
      <c r="P38" s="83"/>
    </row>
    <row r="39" spans="1:16" ht="15.75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0"/>
      <c r="P39" s="83"/>
    </row>
    <row r="40" spans="1:16" ht="15.75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/>
      <c r="P40" s="83"/>
    </row>
    <row r="41" spans="1:16" ht="15.75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83"/>
    </row>
    <row r="42" spans="1:16" ht="15.75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1">SUM(B31:B42)</f>
        <v>8797574.9357999992</v>
      </c>
      <c r="C44" s="90">
        <f t="shared" si="1"/>
        <v>4810538.6259000003</v>
      </c>
      <c r="D44" s="90">
        <f t="shared" si="1"/>
        <v>2451914.0646000002</v>
      </c>
      <c r="E44" s="90">
        <f t="shared" si="1"/>
        <v>13168790.6679</v>
      </c>
      <c r="F44" s="90">
        <f t="shared" si="1"/>
        <v>9089217.1125000007</v>
      </c>
      <c r="G44" s="90">
        <f t="shared" si="1"/>
        <v>3675374.0394000001</v>
      </c>
      <c r="H44" s="90">
        <f t="shared" si="1"/>
        <v>7019611.9434000002</v>
      </c>
      <c r="I44" s="90">
        <f>SUM(I31:I42)</f>
        <v>8554751.4254999999</v>
      </c>
      <c r="J44" s="90">
        <f t="shared" si="1"/>
        <v>10675928.5416</v>
      </c>
      <c r="K44" s="90">
        <f>SUM(K31:K42)</f>
        <v>13521531.840600001</v>
      </c>
      <c r="L44" s="90">
        <f t="shared" si="1"/>
        <v>1874785.7352</v>
      </c>
      <c r="M44" s="90">
        <f t="shared" si="1"/>
        <v>15460310.7687</v>
      </c>
      <c r="N44" s="90">
        <f t="shared" si="1"/>
        <v>2418150.4178999998</v>
      </c>
      <c r="O44" s="90">
        <f t="shared" si="1"/>
        <v>101518480.11899997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ht="15.75" x14ac:dyDescent="0.25">
      <c r="A48" s="115" t="s">
        <v>29</v>
      </c>
      <c r="B48" s="98"/>
      <c r="C48" s="98"/>
      <c r="D48" s="98"/>
      <c r="E48" s="98"/>
      <c r="F48" s="98"/>
      <c r="G48" s="98"/>
      <c r="H48" s="98"/>
      <c r="I48" s="98"/>
    </row>
    <row r="49" spans="1:9" ht="15.75" x14ac:dyDescent="0.25">
      <c r="A49" s="115"/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2"/>
  <sheetViews>
    <sheetView showOutlineSymbols="0" zoomScaleNormal="100" workbookViewId="0">
      <selection activeCell="A9" sqref="A9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74</v>
      </c>
      <c r="B3" s="117"/>
      <c r="C3" s="200"/>
      <c r="D3" s="200"/>
      <c r="E3" s="200"/>
      <c r="F3" s="117"/>
      <c r="G3" s="210"/>
    </row>
    <row r="4" spans="1:8" x14ac:dyDescent="0.2">
      <c r="A4" s="284" t="s">
        <v>78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DATE(2023,7,1)</f>
        <v>45108</v>
      </c>
      <c r="C9" s="204">
        <v>17140378</v>
      </c>
      <c r="D9" s="204">
        <v>2756909.5</v>
      </c>
      <c r="E9" s="204">
        <v>3018310</v>
      </c>
      <c r="F9" s="132">
        <f>(+D9-E9)/E9</f>
        <v>-8.6604921297017204E-2</v>
      </c>
      <c r="G9" s="215">
        <f>D9/C9</f>
        <v>0.16084298140916145</v>
      </c>
      <c r="H9" s="123"/>
    </row>
    <row r="10" spans="1:8" ht="15.75" x14ac:dyDescent="0.25">
      <c r="A10" s="130"/>
      <c r="B10" s="131">
        <f>DATE(2023,8,1)</f>
        <v>45139</v>
      </c>
      <c r="C10" s="204">
        <v>15153020</v>
      </c>
      <c r="D10" s="204">
        <v>2981923.5</v>
      </c>
      <c r="E10" s="204">
        <v>3237681.85</v>
      </c>
      <c r="F10" s="132">
        <f>(+D10-E10)/E10</f>
        <v>-7.8994281047101669E-2</v>
      </c>
      <c r="G10" s="215">
        <f>D10/C10</f>
        <v>0.19678740607482864</v>
      </c>
      <c r="H10" s="123"/>
    </row>
    <row r="11" spans="1:8" ht="15.75" x14ac:dyDescent="0.25">
      <c r="A11" s="130"/>
      <c r="B11" s="131">
        <f>DATE(2023,9,1)</f>
        <v>45170</v>
      </c>
      <c r="C11" s="204">
        <v>15570607</v>
      </c>
      <c r="D11" s="204">
        <v>1895240.5</v>
      </c>
      <c r="E11" s="204">
        <v>2018642</v>
      </c>
      <c r="F11" s="132">
        <f>(+D11-E11)/E11</f>
        <v>-6.1130948429686888E-2</v>
      </c>
      <c r="G11" s="215">
        <f>D11/C11</f>
        <v>0.12171911473971439</v>
      </c>
      <c r="H11" s="123"/>
    </row>
    <row r="12" spans="1:8" ht="15.75" thickBot="1" x14ac:dyDescent="0.25">
      <c r="A12" s="133"/>
      <c r="B12" s="134"/>
      <c r="C12" s="204"/>
      <c r="D12" s="204"/>
      <c r="E12" s="204"/>
      <c r="F12" s="132"/>
      <c r="G12" s="215"/>
      <c r="H12" s="123"/>
    </row>
    <row r="13" spans="1:8" ht="17.25" thickTop="1" thickBot="1" x14ac:dyDescent="0.3">
      <c r="A13" s="135" t="s">
        <v>14</v>
      </c>
      <c r="B13" s="136"/>
      <c r="C13" s="201">
        <f>SUM(C9:C12)</f>
        <v>47864005</v>
      </c>
      <c r="D13" s="201">
        <f>SUM(D9:D12)</f>
        <v>7634073.5</v>
      </c>
      <c r="E13" s="201">
        <f>SUM(E9:E12)</f>
        <v>8274633.8499999996</v>
      </c>
      <c r="F13" s="137">
        <f>(+D13-E13)/E13</f>
        <v>-7.7412531069275009E-2</v>
      </c>
      <c r="G13" s="212">
        <f>D13/C13</f>
        <v>0.15949508404071075</v>
      </c>
      <c r="H13" s="123"/>
    </row>
    <row r="14" spans="1:8" ht="15.75" customHeight="1" thickTop="1" x14ac:dyDescent="0.25">
      <c r="A14" s="138"/>
      <c r="B14" s="139"/>
      <c r="C14" s="205"/>
      <c r="D14" s="205"/>
      <c r="E14" s="205"/>
      <c r="F14" s="140"/>
      <c r="G14" s="216"/>
      <c r="H14" s="123"/>
    </row>
    <row r="15" spans="1:8" ht="15.75" x14ac:dyDescent="0.25">
      <c r="A15" s="19" t="s">
        <v>15</v>
      </c>
      <c r="B15" s="131">
        <f>DATE(2023,7,1)</f>
        <v>45108</v>
      </c>
      <c r="C15" s="204">
        <v>2471937</v>
      </c>
      <c r="D15" s="204">
        <v>614728</v>
      </c>
      <c r="E15" s="204">
        <v>637839.5</v>
      </c>
      <c r="F15" s="132">
        <f>(+D15-E15)/E15</f>
        <v>-3.62340369324885E-2</v>
      </c>
      <c r="G15" s="215">
        <f>D15/C15</f>
        <v>0.24868271319212423</v>
      </c>
      <c r="H15" s="123"/>
    </row>
    <row r="16" spans="1:8" ht="15.75" x14ac:dyDescent="0.25">
      <c r="A16" s="19"/>
      <c r="B16" s="131">
        <f>DATE(2023,8,1)</f>
        <v>45139</v>
      </c>
      <c r="C16" s="204">
        <v>2248291</v>
      </c>
      <c r="D16" s="204">
        <v>388628</v>
      </c>
      <c r="E16" s="204">
        <v>695761.5</v>
      </c>
      <c r="F16" s="132">
        <f>(+D16-E16)/E16</f>
        <v>-0.44143503197575606</v>
      </c>
      <c r="G16" s="215">
        <f>D16/C16</f>
        <v>0.17285484841597462</v>
      </c>
      <c r="H16" s="123"/>
    </row>
    <row r="17" spans="1:8" ht="15.75" x14ac:dyDescent="0.25">
      <c r="A17" s="19"/>
      <c r="B17" s="131">
        <f>DATE(2023,9,1)</f>
        <v>45170</v>
      </c>
      <c r="C17" s="204">
        <v>2515175</v>
      </c>
      <c r="D17" s="204">
        <v>596033.5</v>
      </c>
      <c r="E17" s="204">
        <v>780368</v>
      </c>
      <c r="F17" s="132">
        <f>(+D17-E17)/E17</f>
        <v>-0.23621483710249525</v>
      </c>
      <c r="G17" s="215">
        <f>D17/C17</f>
        <v>0.23697496198077669</v>
      </c>
      <c r="H17" s="123"/>
    </row>
    <row r="18" spans="1:8" ht="15.75" thickBot="1" x14ac:dyDescent="0.25">
      <c r="A18" s="133"/>
      <c r="B18" s="131"/>
      <c r="C18" s="204"/>
      <c r="D18" s="204"/>
      <c r="E18" s="204"/>
      <c r="F18" s="132"/>
      <c r="G18" s="215"/>
      <c r="H18" s="123"/>
    </row>
    <row r="19" spans="1:8" ht="17.25" thickTop="1" thickBot="1" x14ac:dyDescent="0.3">
      <c r="A19" s="135" t="s">
        <v>14</v>
      </c>
      <c r="B19" s="136"/>
      <c r="C19" s="201">
        <f>SUM(C15:C18)</f>
        <v>7235403</v>
      </c>
      <c r="D19" s="201">
        <f>SUM(D15:D18)</f>
        <v>1599389.5</v>
      </c>
      <c r="E19" s="201">
        <f>SUM(E15:E18)</f>
        <v>2113969</v>
      </c>
      <c r="F19" s="137">
        <f>(+D19-E19)/E19</f>
        <v>-0.24341865940323629</v>
      </c>
      <c r="G19" s="212">
        <f>D19/C19</f>
        <v>0.22105050679277988</v>
      </c>
      <c r="H19" s="123"/>
    </row>
    <row r="20" spans="1:8" ht="15.75" customHeight="1" thickTop="1" x14ac:dyDescent="0.25">
      <c r="A20" s="255"/>
      <c r="B20" s="139"/>
      <c r="C20" s="205"/>
      <c r="D20" s="205"/>
      <c r="E20" s="205"/>
      <c r="F20" s="140"/>
      <c r="G20" s="219"/>
      <c r="H20" s="123"/>
    </row>
    <row r="21" spans="1:8" ht="15.75" x14ac:dyDescent="0.25">
      <c r="A21" s="19" t="s">
        <v>62</v>
      </c>
      <c r="B21" s="131">
        <f>DATE(2023,7,1)</f>
        <v>45108</v>
      </c>
      <c r="C21" s="204">
        <v>1300276</v>
      </c>
      <c r="D21" s="204">
        <v>166322.5</v>
      </c>
      <c r="E21" s="204">
        <v>249087.5</v>
      </c>
      <c r="F21" s="132">
        <f>(+D21-E21)/E21</f>
        <v>-0.33227279570432078</v>
      </c>
      <c r="G21" s="215">
        <f>D21/C21</f>
        <v>0.12791322765320592</v>
      </c>
      <c r="H21" s="123"/>
    </row>
    <row r="22" spans="1:8" ht="15.75" x14ac:dyDescent="0.25">
      <c r="A22" s="19"/>
      <c r="B22" s="131">
        <f>DATE(2023,8,1)</f>
        <v>45139</v>
      </c>
      <c r="C22" s="204">
        <v>1380793</v>
      </c>
      <c r="D22" s="204">
        <v>264487</v>
      </c>
      <c r="E22" s="204">
        <v>272495.5</v>
      </c>
      <c r="F22" s="132">
        <f>(+D22-E22)/E22</f>
        <v>-2.9389476156486988E-2</v>
      </c>
      <c r="G22" s="215">
        <f>D22/C22</f>
        <v>0.19154717615167516</v>
      </c>
      <c r="H22" s="123"/>
    </row>
    <row r="23" spans="1:8" ht="15.75" x14ac:dyDescent="0.25">
      <c r="A23" s="19"/>
      <c r="B23" s="131">
        <f>DATE(2023,9,1)</f>
        <v>45170</v>
      </c>
      <c r="C23" s="204">
        <v>1331049</v>
      </c>
      <c r="D23" s="204">
        <v>353812</v>
      </c>
      <c r="E23" s="204">
        <v>310850</v>
      </c>
      <c r="F23" s="132">
        <f>(+D23-E23)/E23</f>
        <v>0.13820813897378156</v>
      </c>
      <c r="G23" s="215">
        <f>D23/C23</f>
        <v>0.26581440653199095</v>
      </c>
      <c r="H23" s="123"/>
    </row>
    <row r="24" spans="1:8" ht="15.75" thickBot="1" x14ac:dyDescent="0.25">
      <c r="A24" s="133"/>
      <c r="B24" s="131"/>
      <c r="C24" s="204"/>
      <c r="D24" s="204"/>
      <c r="E24" s="204"/>
      <c r="F24" s="132"/>
      <c r="G24" s="215"/>
      <c r="H24" s="123"/>
    </row>
    <row r="25" spans="1:8" ht="17.25" thickTop="1" thickBot="1" x14ac:dyDescent="0.3">
      <c r="A25" s="141" t="s">
        <v>14</v>
      </c>
      <c r="B25" s="142"/>
      <c r="C25" s="206">
        <f>SUM(C21:C24)</f>
        <v>4012118</v>
      </c>
      <c r="D25" s="206">
        <f>SUM(D21:D24)</f>
        <v>784621.5</v>
      </c>
      <c r="E25" s="206">
        <f>SUM(E21:E24)</f>
        <v>832433</v>
      </c>
      <c r="F25" s="143">
        <f>(+D25-E25)/E25</f>
        <v>-5.7435853696333521E-2</v>
      </c>
      <c r="G25" s="217">
        <f>D25/C25</f>
        <v>0.19556291714251675</v>
      </c>
      <c r="H25" s="123"/>
    </row>
    <row r="26" spans="1:8" ht="15.75" thickTop="1" x14ac:dyDescent="0.2">
      <c r="A26" s="133"/>
      <c r="B26" s="134"/>
      <c r="C26" s="204"/>
      <c r="D26" s="204"/>
      <c r="E26" s="204"/>
      <c r="F26" s="132"/>
      <c r="G26" s="218"/>
      <c r="H26" s="123"/>
    </row>
    <row r="27" spans="1:8" ht="15.75" x14ac:dyDescent="0.25">
      <c r="A27" s="177" t="s">
        <v>58</v>
      </c>
      <c r="B27" s="131">
        <f>DATE(2023,7,1)</f>
        <v>45108</v>
      </c>
      <c r="C27" s="204">
        <v>17665326</v>
      </c>
      <c r="D27" s="204">
        <v>3803316</v>
      </c>
      <c r="E27" s="204">
        <v>3390213</v>
      </c>
      <c r="F27" s="132">
        <f>(+D27-E27)/E27</f>
        <v>0.12185163587066654</v>
      </c>
      <c r="G27" s="215">
        <f>D27/C27</f>
        <v>0.21529837603902696</v>
      </c>
      <c r="H27" s="123"/>
    </row>
    <row r="28" spans="1:8" ht="15.75" x14ac:dyDescent="0.25">
      <c r="A28" s="177"/>
      <c r="B28" s="131">
        <f>DATE(2023,8,1)</f>
        <v>45139</v>
      </c>
      <c r="C28" s="204">
        <v>17268495</v>
      </c>
      <c r="D28" s="204">
        <v>2558007.38</v>
      </c>
      <c r="E28" s="204">
        <v>2096973.67</v>
      </c>
      <c r="F28" s="132">
        <f>(+D28-E28)/E28</f>
        <v>0.21985669948826778</v>
      </c>
      <c r="G28" s="215">
        <f>D28/C28</f>
        <v>0.14813146021121121</v>
      </c>
      <c r="H28" s="123"/>
    </row>
    <row r="29" spans="1:8" ht="15.75" x14ac:dyDescent="0.25">
      <c r="A29" s="177"/>
      <c r="B29" s="131">
        <f>DATE(2023,9,1)</f>
        <v>45170</v>
      </c>
      <c r="C29" s="204">
        <v>15882513</v>
      </c>
      <c r="D29" s="204">
        <v>3090684.15</v>
      </c>
      <c r="E29" s="204">
        <v>3937084.53</v>
      </c>
      <c r="F29" s="132">
        <f>(+D29-E29)/E29</f>
        <v>-0.21498151069669819</v>
      </c>
      <c r="G29" s="215">
        <f>D29/C29</f>
        <v>0.19459667056466443</v>
      </c>
      <c r="H29" s="123"/>
    </row>
    <row r="30" spans="1:8" ht="15.75" customHeight="1" thickBot="1" x14ac:dyDescent="0.25">
      <c r="A30" s="133"/>
      <c r="B30" s="134"/>
      <c r="C30" s="204"/>
      <c r="D30" s="204"/>
      <c r="E30" s="204"/>
      <c r="F30" s="132"/>
      <c r="G30" s="215"/>
      <c r="H30" s="123"/>
    </row>
    <row r="31" spans="1:8" ht="17.25" customHeight="1" thickTop="1" thickBot="1" x14ac:dyDescent="0.3">
      <c r="A31" s="141" t="s">
        <v>14</v>
      </c>
      <c r="B31" s="142"/>
      <c r="C31" s="206">
        <f>SUM(C27:C30)</f>
        <v>50816334</v>
      </c>
      <c r="D31" s="206">
        <f>SUM(D27:D30)</f>
        <v>9452007.5299999993</v>
      </c>
      <c r="E31" s="206">
        <f>SUM(E27:E30)</f>
        <v>9424271.1999999993</v>
      </c>
      <c r="F31" s="143">
        <f>(+D31-E31)/E31</f>
        <v>2.9430742612755112E-3</v>
      </c>
      <c r="G31" s="217">
        <f>D31/C31</f>
        <v>0.18600333369187946</v>
      </c>
      <c r="H31" s="123"/>
    </row>
    <row r="32" spans="1:8" ht="15.75" customHeight="1" thickTop="1" x14ac:dyDescent="0.2">
      <c r="A32" s="133"/>
      <c r="B32" s="134"/>
      <c r="C32" s="204"/>
      <c r="D32" s="204"/>
      <c r="E32" s="204"/>
      <c r="F32" s="132"/>
      <c r="G32" s="218"/>
      <c r="H32" s="123"/>
    </row>
    <row r="33" spans="1:8" ht="15" customHeight="1" x14ac:dyDescent="0.25">
      <c r="A33" s="130" t="s">
        <v>60</v>
      </c>
      <c r="B33" s="131">
        <f>DATE(2023,7,1)</f>
        <v>45108</v>
      </c>
      <c r="C33" s="204">
        <v>12723732</v>
      </c>
      <c r="D33" s="204">
        <v>3308388.5</v>
      </c>
      <c r="E33" s="204">
        <v>3195567.5</v>
      </c>
      <c r="F33" s="132">
        <f>(+D33-E33)/E33</f>
        <v>3.5305466087009588E-2</v>
      </c>
      <c r="G33" s="215">
        <f>D33/C33</f>
        <v>0.26001714748471594</v>
      </c>
      <c r="H33" s="123"/>
    </row>
    <row r="34" spans="1:8" ht="15" customHeight="1" x14ac:dyDescent="0.25">
      <c r="A34" s="130"/>
      <c r="B34" s="131">
        <f>DATE(2023,8,1)</f>
        <v>45139</v>
      </c>
      <c r="C34" s="204">
        <v>11628258</v>
      </c>
      <c r="D34" s="204">
        <v>3099426.5</v>
      </c>
      <c r="E34" s="204">
        <v>3909171</v>
      </c>
      <c r="F34" s="132">
        <f>(+D34-E34)/E34</f>
        <v>-0.20713969790525918</v>
      </c>
      <c r="G34" s="215">
        <f>D34/C34</f>
        <v>0.26654263261100675</v>
      </c>
      <c r="H34" s="123"/>
    </row>
    <row r="35" spans="1:8" ht="15" customHeight="1" x14ac:dyDescent="0.25">
      <c r="A35" s="130"/>
      <c r="B35" s="131">
        <f>DATE(2023,9,1)</f>
        <v>45170</v>
      </c>
      <c r="C35" s="204">
        <v>11873656</v>
      </c>
      <c r="D35" s="204">
        <v>3032057</v>
      </c>
      <c r="E35" s="204">
        <v>3778062.5</v>
      </c>
      <c r="F35" s="132">
        <f>(+D35-E35)/E35</f>
        <v>-0.19745716223593443</v>
      </c>
      <c r="G35" s="215">
        <f>D35/C35</f>
        <v>0.25536001716741669</v>
      </c>
      <c r="H35" s="123"/>
    </row>
    <row r="36" spans="1:8" ht="15.75" thickBot="1" x14ac:dyDescent="0.25">
      <c r="A36" s="133"/>
      <c r="B36" s="131"/>
      <c r="C36" s="204"/>
      <c r="D36" s="204"/>
      <c r="E36" s="204"/>
      <c r="F36" s="132"/>
      <c r="G36" s="215"/>
      <c r="H36" s="123"/>
    </row>
    <row r="37" spans="1:8" ht="17.25" customHeight="1" thickTop="1" thickBot="1" x14ac:dyDescent="0.3">
      <c r="A37" s="141" t="s">
        <v>14</v>
      </c>
      <c r="B37" s="142"/>
      <c r="C37" s="207">
        <f>SUM(C33:C36)</f>
        <v>36225646</v>
      </c>
      <c r="D37" s="261">
        <f>SUM(D33:D36)</f>
        <v>9439872</v>
      </c>
      <c r="E37" s="206">
        <f>SUM(E33:E36)</f>
        <v>10882801</v>
      </c>
      <c r="F37" s="268">
        <f>(+D37-E37)/E37</f>
        <v>-0.1325880166328503</v>
      </c>
      <c r="G37" s="267">
        <f>D37/C37</f>
        <v>0.26058533228089292</v>
      </c>
      <c r="H37" s="123"/>
    </row>
    <row r="38" spans="1:8" ht="15.75" customHeight="1" thickTop="1" x14ac:dyDescent="0.25">
      <c r="A38" s="130"/>
      <c r="B38" s="134"/>
      <c r="C38" s="204"/>
      <c r="D38" s="204"/>
      <c r="E38" s="204"/>
      <c r="F38" s="132"/>
      <c r="G38" s="218"/>
      <c r="H38" s="123"/>
    </row>
    <row r="39" spans="1:8" ht="15.75" x14ac:dyDescent="0.25">
      <c r="A39" s="130" t="s">
        <v>64</v>
      </c>
      <c r="B39" s="131">
        <f>DATE(2023,7,1)</f>
        <v>45108</v>
      </c>
      <c r="C39" s="204">
        <v>3361117</v>
      </c>
      <c r="D39" s="204">
        <v>707897</v>
      </c>
      <c r="E39" s="204">
        <v>700930</v>
      </c>
      <c r="F39" s="132">
        <f>(+D39-E39)/E39</f>
        <v>9.9396516057238243E-3</v>
      </c>
      <c r="G39" s="215">
        <f>D39/C39</f>
        <v>0.21061361446209698</v>
      </c>
      <c r="H39" s="123"/>
    </row>
    <row r="40" spans="1:8" ht="15.75" x14ac:dyDescent="0.25">
      <c r="A40" s="130"/>
      <c r="B40" s="131">
        <f>DATE(2023,8,1)</f>
        <v>45139</v>
      </c>
      <c r="C40" s="204">
        <v>2951366</v>
      </c>
      <c r="D40" s="204">
        <v>871889</v>
      </c>
      <c r="E40" s="204">
        <v>630145.5</v>
      </c>
      <c r="F40" s="132">
        <f>(+D40-E40)/E40</f>
        <v>0.38363124072138893</v>
      </c>
      <c r="G40" s="215">
        <f>D40/C40</f>
        <v>0.29541879929497056</v>
      </c>
      <c r="H40" s="123"/>
    </row>
    <row r="41" spans="1:8" ht="15.75" x14ac:dyDescent="0.25">
      <c r="A41" s="130"/>
      <c r="B41" s="131">
        <f>DATE(2023,9,1)</f>
        <v>45170</v>
      </c>
      <c r="C41" s="204">
        <v>2512048</v>
      </c>
      <c r="D41" s="204">
        <v>529240.5</v>
      </c>
      <c r="E41" s="204">
        <v>538940</v>
      </c>
      <c r="F41" s="132">
        <f>(+D41-E41)/E41</f>
        <v>-1.7997365198352322E-2</v>
      </c>
      <c r="G41" s="215">
        <f>D41/C41</f>
        <v>0.21068088667095533</v>
      </c>
      <c r="H41" s="123"/>
    </row>
    <row r="42" spans="1:8" ht="15.75" customHeight="1" thickBot="1" x14ac:dyDescent="0.3">
      <c r="A42" s="130"/>
      <c r="B42" s="131"/>
      <c r="C42" s="204"/>
      <c r="D42" s="204"/>
      <c r="E42" s="204"/>
      <c r="F42" s="132"/>
      <c r="G42" s="215"/>
      <c r="H42" s="123"/>
    </row>
    <row r="43" spans="1:8" ht="17.25" thickTop="1" thickBot="1" x14ac:dyDescent="0.3">
      <c r="A43" s="141" t="s">
        <v>14</v>
      </c>
      <c r="B43" s="142"/>
      <c r="C43" s="207">
        <f>SUM(C39:C42)</f>
        <v>8824531</v>
      </c>
      <c r="D43" s="261">
        <f>SUM(D39:D42)</f>
        <v>2109026.5</v>
      </c>
      <c r="E43" s="207">
        <f>SUM(E39:E42)</f>
        <v>1870015.5</v>
      </c>
      <c r="F43" s="268">
        <f>(+D43-E43)/E43</f>
        <v>0.12781230957711312</v>
      </c>
      <c r="G43" s="267">
        <f>D43/C43</f>
        <v>0.23899587411500964</v>
      </c>
      <c r="H43" s="123"/>
    </row>
    <row r="44" spans="1:8" ht="15.75" customHeight="1" thickTop="1" x14ac:dyDescent="0.25">
      <c r="A44" s="130"/>
      <c r="B44" s="134"/>
      <c r="C44" s="204"/>
      <c r="D44" s="204"/>
      <c r="E44" s="204"/>
      <c r="F44" s="132"/>
      <c r="G44" s="218"/>
      <c r="H44" s="123"/>
    </row>
    <row r="45" spans="1:8" ht="15.75" x14ac:dyDescent="0.25">
      <c r="A45" s="130" t="s">
        <v>67</v>
      </c>
      <c r="B45" s="131">
        <f>DATE(2023,7,1)</f>
        <v>45108</v>
      </c>
      <c r="C45" s="204">
        <v>8239268</v>
      </c>
      <c r="D45" s="204">
        <v>826564</v>
      </c>
      <c r="E45" s="204">
        <v>951854</v>
      </c>
      <c r="F45" s="132">
        <f>(+D45-E45)/E45</f>
        <v>-0.13162732940135777</v>
      </c>
      <c r="G45" s="215">
        <f>D45/C45</f>
        <v>0.1003200769777121</v>
      </c>
      <c r="H45" s="123"/>
    </row>
    <row r="46" spans="1:8" ht="15.75" x14ac:dyDescent="0.25">
      <c r="A46" s="130"/>
      <c r="B46" s="131">
        <f>DATE(2023,8,1)</f>
        <v>45139</v>
      </c>
      <c r="C46" s="204">
        <v>7087572</v>
      </c>
      <c r="D46" s="204">
        <v>916100.5</v>
      </c>
      <c r="E46" s="204">
        <v>1029739</v>
      </c>
      <c r="F46" s="132">
        <f>(+D46-E46)/E46</f>
        <v>-0.11035660492610264</v>
      </c>
      <c r="G46" s="215">
        <f>D46/C46</f>
        <v>0.1292544894076561</v>
      </c>
      <c r="H46" s="123"/>
    </row>
    <row r="47" spans="1:8" ht="15.75" x14ac:dyDescent="0.25">
      <c r="A47" s="130"/>
      <c r="B47" s="131">
        <f>DATE(2023,9,1)</f>
        <v>45170</v>
      </c>
      <c r="C47" s="204">
        <v>7246519</v>
      </c>
      <c r="D47" s="204">
        <v>1270544.5</v>
      </c>
      <c r="E47" s="204">
        <v>389281</v>
      </c>
      <c r="F47" s="132">
        <f>(+D47-E47)/E47</f>
        <v>2.2638235619000158</v>
      </c>
      <c r="G47" s="215">
        <f>D47/C47</f>
        <v>0.17533170064137002</v>
      </c>
      <c r="H47" s="123"/>
    </row>
    <row r="48" spans="1:8" ht="15.75" customHeight="1" thickBot="1" x14ac:dyDescent="0.3">
      <c r="A48" s="130"/>
      <c r="B48" s="131"/>
      <c r="C48" s="204"/>
      <c r="D48" s="204"/>
      <c r="E48" s="204"/>
      <c r="F48" s="132"/>
      <c r="G48" s="215"/>
      <c r="H48" s="123"/>
    </row>
    <row r="49" spans="1:8" ht="17.25" thickTop="1" thickBot="1" x14ac:dyDescent="0.3">
      <c r="A49" s="141" t="s">
        <v>14</v>
      </c>
      <c r="B49" s="142"/>
      <c r="C49" s="207">
        <f>SUM(C45:C48)</f>
        <v>22573359</v>
      </c>
      <c r="D49" s="261">
        <f>SUM(D45:D48)</f>
        <v>3013209</v>
      </c>
      <c r="E49" s="207">
        <f>SUM(E45:E48)</f>
        <v>2370874</v>
      </c>
      <c r="F49" s="269">
        <f>(+D49-E49)/E49</f>
        <v>0.27092751449465469</v>
      </c>
      <c r="G49" s="267">
        <f>D49/C49</f>
        <v>0.13348518490314179</v>
      </c>
      <c r="H49" s="123"/>
    </row>
    <row r="50" spans="1:8" ht="15.75" customHeight="1" thickTop="1" x14ac:dyDescent="0.25">
      <c r="A50" s="130"/>
      <c r="B50" s="139"/>
      <c r="C50" s="205"/>
      <c r="D50" s="205"/>
      <c r="E50" s="205"/>
      <c r="F50" s="140"/>
      <c r="G50" s="216"/>
      <c r="H50" s="123"/>
    </row>
    <row r="51" spans="1:8" ht="15.75" x14ac:dyDescent="0.25">
      <c r="A51" s="130" t="s">
        <v>69</v>
      </c>
      <c r="B51" s="131">
        <f>DATE(2023,7,1)</f>
        <v>45108</v>
      </c>
      <c r="C51" s="204">
        <v>6583612</v>
      </c>
      <c r="D51" s="204">
        <v>1705016.95</v>
      </c>
      <c r="E51" s="204">
        <v>1405783</v>
      </c>
      <c r="F51" s="132">
        <f>(+D51-E51)/E51</f>
        <v>0.21285927486674683</v>
      </c>
      <c r="G51" s="215">
        <f>D51/C51</f>
        <v>0.25897895410604393</v>
      </c>
      <c r="H51" s="123"/>
    </row>
    <row r="52" spans="1:8" ht="15.75" x14ac:dyDescent="0.25">
      <c r="A52" s="130"/>
      <c r="B52" s="131">
        <f>DATE(2023,8,1)</f>
        <v>45139</v>
      </c>
      <c r="C52" s="204">
        <v>6682064</v>
      </c>
      <c r="D52" s="204">
        <v>1401382.35</v>
      </c>
      <c r="E52" s="204">
        <v>1387184.42</v>
      </c>
      <c r="F52" s="132">
        <f>(+D52-E52)/E52</f>
        <v>1.0235070258358415E-2</v>
      </c>
      <c r="G52" s="215">
        <f>D52/C52</f>
        <v>0.20972297631390541</v>
      </c>
      <c r="H52" s="123"/>
    </row>
    <row r="53" spans="1:8" ht="15.75" x14ac:dyDescent="0.25">
      <c r="A53" s="130"/>
      <c r="B53" s="131">
        <f>DATE(2023,9,1)</f>
        <v>45170</v>
      </c>
      <c r="C53" s="204">
        <v>6212275</v>
      </c>
      <c r="D53" s="204">
        <v>1626153.96</v>
      </c>
      <c r="E53" s="204">
        <v>1318470</v>
      </c>
      <c r="F53" s="132">
        <f>(+D53-E53)/E53</f>
        <v>0.2333643996450431</v>
      </c>
      <c r="G53" s="215">
        <f>D53/C53</f>
        <v>0.26176464499720309</v>
      </c>
      <c r="H53" s="123"/>
    </row>
    <row r="54" spans="1:8" ht="15.75" customHeight="1" thickBot="1" x14ac:dyDescent="0.3">
      <c r="A54" s="130"/>
      <c r="B54" s="131"/>
      <c r="C54" s="204"/>
      <c r="D54" s="204"/>
      <c r="E54" s="204"/>
      <c r="F54" s="132"/>
      <c r="G54" s="215"/>
      <c r="H54" s="123"/>
    </row>
    <row r="55" spans="1:8" ht="17.25" thickTop="1" thickBot="1" x14ac:dyDescent="0.3">
      <c r="A55" s="141" t="s">
        <v>14</v>
      </c>
      <c r="B55" s="142"/>
      <c r="C55" s="206">
        <f>SUM(C51:C54)</f>
        <v>19477951</v>
      </c>
      <c r="D55" s="206">
        <f>SUM(D51:D54)</f>
        <v>4732553.26</v>
      </c>
      <c r="E55" s="206">
        <f>SUM(E51:E54)</f>
        <v>4111437.42</v>
      </c>
      <c r="F55" s="143">
        <f>(+D55-E55)/E55</f>
        <v>0.15107024053889159</v>
      </c>
      <c r="G55" s="217">
        <f>D55/C55</f>
        <v>0.24296976925344971</v>
      </c>
      <c r="H55" s="123"/>
    </row>
    <row r="56" spans="1:8" ht="15.75" customHeight="1" thickTop="1" x14ac:dyDescent="0.25">
      <c r="A56" s="138"/>
      <c r="B56" s="139"/>
      <c r="C56" s="205"/>
      <c r="D56" s="205"/>
      <c r="E56" s="205"/>
      <c r="F56" s="140"/>
      <c r="G56" s="216"/>
      <c r="H56" s="123"/>
    </row>
    <row r="57" spans="1:8" ht="15.75" x14ac:dyDescent="0.25">
      <c r="A57" s="130" t="s">
        <v>16</v>
      </c>
      <c r="B57" s="131">
        <f>DATE(2023,7,1)</f>
        <v>45108</v>
      </c>
      <c r="C57" s="204">
        <v>10870339</v>
      </c>
      <c r="D57" s="204">
        <v>2105009.5</v>
      </c>
      <c r="E57" s="204">
        <v>2289729.5</v>
      </c>
      <c r="F57" s="132">
        <f>(+D57-E57)/E57</f>
        <v>-8.0673284770100578E-2</v>
      </c>
      <c r="G57" s="215">
        <f>D57/C57</f>
        <v>0.1936470886510531</v>
      </c>
      <c r="H57" s="123"/>
    </row>
    <row r="58" spans="1:8" ht="15.75" x14ac:dyDescent="0.25">
      <c r="A58" s="130"/>
      <c r="B58" s="131">
        <f>DATE(2023,8,1)</f>
        <v>45139</v>
      </c>
      <c r="C58" s="204">
        <v>10577694.15</v>
      </c>
      <c r="D58" s="204">
        <v>1767661.15</v>
      </c>
      <c r="E58" s="204">
        <v>2099615</v>
      </c>
      <c r="F58" s="132">
        <f>(+D58-E58)/E58</f>
        <v>-0.15810224731677003</v>
      </c>
      <c r="G58" s="215">
        <f>D58/C58</f>
        <v>0.16711214419070719</v>
      </c>
      <c r="H58" s="123"/>
    </row>
    <row r="59" spans="1:8" ht="15.75" x14ac:dyDescent="0.25">
      <c r="A59" s="130"/>
      <c r="B59" s="131">
        <f>DATE(2023,9,1)</f>
        <v>45170</v>
      </c>
      <c r="C59" s="204">
        <v>11010233</v>
      </c>
      <c r="D59" s="204">
        <v>2123175</v>
      </c>
      <c r="E59" s="204">
        <v>1892853.5</v>
      </c>
      <c r="F59" s="132">
        <f>(+D59-E59)/E59</f>
        <v>0.12167951719454252</v>
      </c>
      <c r="G59" s="215">
        <f>D59/C59</f>
        <v>0.19283651853689199</v>
      </c>
      <c r="H59" s="123"/>
    </row>
    <row r="60" spans="1:8" ht="15.75" customHeight="1" thickBot="1" x14ac:dyDescent="0.3">
      <c r="A60" s="130"/>
      <c r="B60" s="131"/>
      <c r="C60" s="204"/>
      <c r="D60" s="204"/>
      <c r="E60" s="204"/>
      <c r="F60" s="132"/>
      <c r="G60" s="215"/>
      <c r="H60" s="123"/>
    </row>
    <row r="61" spans="1:8" ht="17.25" thickTop="1" thickBot="1" x14ac:dyDescent="0.3">
      <c r="A61" s="141" t="s">
        <v>14</v>
      </c>
      <c r="B61" s="142"/>
      <c r="C61" s="206">
        <f>SUM(C57:C60)</f>
        <v>32458266.149999999</v>
      </c>
      <c r="D61" s="206">
        <f>SUM(D57:D60)</f>
        <v>5995845.6500000004</v>
      </c>
      <c r="E61" s="206">
        <f>SUM(E57:E60)</f>
        <v>6282198</v>
      </c>
      <c r="F61" s="143">
        <f>(+D61-E61)/E61</f>
        <v>-4.5581554417737175E-2</v>
      </c>
      <c r="G61" s="217">
        <f>D61/C61</f>
        <v>0.18472476694507603</v>
      </c>
      <c r="H61" s="123"/>
    </row>
    <row r="62" spans="1:8" ht="15.75" customHeight="1" thickTop="1" x14ac:dyDescent="0.25">
      <c r="A62" s="138"/>
      <c r="B62" s="139"/>
      <c r="C62" s="205"/>
      <c r="D62" s="205"/>
      <c r="E62" s="205"/>
      <c r="F62" s="140"/>
      <c r="G62" s="216"/>
      <c r="H62" s="123"/>
    </row>
    <row r="63" spans="1:8" ht="15.75" x14ac:dyDescent="0.25">
      <c r="A63" s="130" t="s">
        <v>53</v>
      </c>
      <c r="B63" s="131">
        <f>DATE(2023,7,1)</f>
        <v>45108</v>
      </c>
      <c r="C63" s="204">
        <v>14493632</v>
      </c>
      <c r="D63" s="204">
        <v>2697018.32</v>
      </c>
      <c r="E63" s="204">
        <v>2740415.54</v>
      </c>
      <c r="F63" s="132">
        <f>(+D63-E63)/E63</f>
        <v>-1.5835999820669609E-2</v>
      </c>
      <c r="G63" s="215">
        <f>D63/C63</f>
        <v>0.18608298596238679</v>
      </c>
      <c r="H63" s="123"/>
    </row>
    <row r="64" spans="1:8" ht="15.75" x14ac:dyDescent="0.25">
      <c r="A64" s="130"/>
      <c r="B64" s="131">
        <f>DATE(2023,8,1)</f>
        <v>45139</v>
      </c>
      <c r="C64" s="204">
        <v>13342517</v>
      </c>
      <c r="D64" s="204">
        <v>2176274.1</v>
      </c>
      <c r="E64" s="204">
        <v>2942976.84</v>
      </c>
      <c r="F64" s="132">
        <f>(+D64-E64)/E64</f>
        <v>-0.26051946096864281</v>
      </c>
      <c r="G64" s="215">
        <f>D64/C64</f>
        <v>0.1631082126408383</v>
      </c>
      <c r="H64" s="123"/>
    </row>
    <row r="65" spans="1:8" ht="15.75" x14ac:dyDescent="0.25">
      <c r="A65" s="130"/>
      <c r="B65" s="131">
        <f>DATE(2023,9,1)</f>
        <v>45170</v>
      </c>
      <c r="C65" s="204">
        <v>12919096</v>
      </c>
      <c r="D65" s="204">
        <v>3641267.7</v>
      </c>
      <c r="E65" s="204">
        <v>2470080.11</v>
      </c>
      <c r="F65" s="132">
        <f>(+D65-E65)/E65</f>
        <v>0.47414963800506066</v>
      </c>
      <c r="G65" s="215">
        <f>D65/C65</f>
        <v>0.28185158621005679</v>
      </c>
      <c r="H65" s="123"/>
    </row>
    <row r="66" spans="1:8" ht="15.75" thickBot="1" x14ac:dyDescent="0.25">
      <c r="A66" s="133"/>
      <c r="B66" s="131"/>
      <c r="C66" s="204"/>
      <c r="D66" s="204"/>
      <c r="E66" s="204"/>
      <c r="F66" s="132"/>
      <c r="G66" s="215"/>
      <c r="H66" s="123"/>
    </row>
    <row r="67" spans="1:8" ht="17.25" thickTop="1" thickBot="1" x14ac:dyDescent="0.3">
      <c r="A67" s="141" t="s">
        <v>14</v>
      </c>
      <c r="B67" s="142"/>
      <c r="C67" s="207">
        <f>SUM(C63:C66)</f>
        <v>40755245</v>
      </c>
      <c r="D67" s="207">
        <f>SUM(D63:D66)</f>
        <v>8514560.120000001</v>
      </c>
      <c r="E67" s="207">
        <f>SUM(E63:E66)</f>
        <v>8153472.4900000002</v>
      </c>
      <c r="F67" s="143">
        <f>(+D67-E67)/E67</f>
        <v>4.4286361478850199E-2</v>
      </c>
      <c r="G67" s="267">
        <f>D67/C67</f>
        <v>0.20891937025528864</v>
      </c>
      <c r="H67" s="123"/>
    </row>
    <row r="68" spans="1:8" ht="15.75" customHeight="1" thickTop="1" x14ac:dyDescent="0.25">
      <c r="A68" s="138"/>
      <c r="B68" s="139"/>
      <c r="C68" s="205"/>
      <c r="D68" s="205"/>
      <c r="E68" s="205"/>
      <c r="F68" s="140"/>
      <c r="G68" s="219"/>
      <c r="H68" s="123"/>
    </row>
    <row r="69" spans="1:8" ht="15.75" x14ac:dyDescent="0.25">
      <c r="A69" s="130" t="s">
        <v>54</v>
      </c>
      <c r="B69" s="131">
        <f>DATE(2023,7,1)</f>
        <v>45108</v>
      </c>
      <c r="C69" s="204">
        <v>199161</v>
      </c>
      <c r="D69" s="204">
        <v>54168.5</v>
      </c>
      <c r="E69" s="204">
        <v>33672.5</v>
      </c>
      <c r="F69" s="132">
        <f>(+D69-E69)/E69</f>
        <v>0.60868661370554611</v>
      </c>
      <c r="G69" s="215">
        <f>D69/C69</f>
        <v>0.27198347065941625</v>
      </c>
      <c r="H69" s="123"/>
    </row>
    <row r="70" spans="1:8" ht="15.75" x14ac:dyDescent="0.25">
      <c r="A70" s="130"/>
      <c r="B70" s="131">
        <f>DATE(2023,8,1)</f>
        <v>45139</v>
      </c>
      <c r="C70" s="204">
        <v>175878</v>
      </c>
      <c r="D70" s="204">
        <v>48279.5</v>
      </c>
      <c r="E70" s="204">
        <v>43554</v>
      </c>
      <c r="F70" s="132">
        <f>(+D70-E70)/E70</f>
        <v>0.10849749735959957</v>
      </c>
      <c r="G70" s="215">
        <f>D70/C70</f>
        <v>0.27450562321609295</v>
      </c>
      <c r="H70" s="123"/>
    </row>
    <row r="71" spans="1:8" ht="15.75" x14ac:dyDescent="0.25">
      <c r="A71" s="130"/>
      <c r="B71" s="131">
        <f>DATE(2023,9,1)</f>
        <v>45170</v>
      </c>
      <c r="C71" s="204">
        <v>172935</v>
      </c>
      <c r="D71" s="204">
        <v>44777.5</v>
      </c>
      <c r="E71" s="204">
        <v>21940.5</v>
      </c>
      <c r="F71" s="132">
        <f>(+D71-E71)/E71</f>
        <v>1.0408605091041681</v>
      </c>
      <c r="G71" s="215">
        <f>D71/C71</f>
        <v>0.25892676439124529</v>
      </c>
      <c r="H71" s="123"/>
    </row>
    <row r="72" spans="1:8" ht="15.75" thickBot="1" x14ac:dyDescent="0.25">
      <c r="A72" s="133"/>
      <c r="B72" s="134"/>
      <c r="C72" s="204"/>
      <c r="D72" s="204"/>
      <c r="E72" s="204"/>
      <c r="F72" s="132"/>
      <c r="G72" s="215"/>
      <c r="H72" s="123"/>
    </row>
    <row r="73" spans="1:8" ht="17.25" thickTop="1" thickBot="1" x14ac:dyDescent="0.3">
      <c r="A73" s="144" t="s">
        <v>14</v>
      </c>
      <c r="B73" s="145"/>
      <c r="C73" s="207">
        <f>SUM(C69:C72)</f>
        <v>547974</v>
      </c>
      <c r="D73" s="207">
        <f>SUM(D69:D72)</f>
        <v>147225.5</v>
      </c>
      <c r="E73" s="207">
        <f>SUM(E69:E72)</f>
        <v>99167</v>
      </c>
      <c r="F73" s="143">
        <f>(+D73-E73)/E73</f>
        <v>0.48462190043058678</v>
      </c>
      <c r="G73" s="217">
        <f>D73/C73</f>
        <v>0.26867241876439391</v>
      </c>
      <c r="H73" s="123"/>
    </row>
    <row r="74" spans="1:8" ht="15.75" customHeight="1" thickTop="1" x14ac:dyDescent="0.25">
      <c r="A74" s="130"/>
      <c r="B74" s="134"/>
      <c r="C74" s="204"/>
      <c r="D74" s="204"/>
      <c r="E74" s="204"/>
      <c r="F74" s="132"/>
      <c r="G74" s="218"/>
      <c r="H74" s="123"/>
    </row>
    <row r="75" spans="1:8" ht="15.75" x14ac:dyDescent="0.25">
      <c r="A75" s="130" t="s">
        <v>37</v>
      </c>
      <c r="B75" s="131">
        <f>DATE(2023,7,1)</f>
        <v>45108</v>
      </c>
      <c r="C75" s="204">
        <v>20709684</v>
      </c>
      <c r="D75" s="204">
        <v>4690410.88</v>
      </c>
      <c r="E75" s="204">
        <v>4747644.93</v>
      </c>
      <c r="F75" s="132">
        <f>(+D75-E75)/E75</f>
        <v>-1.2055250728280519E-2</v>
      </c>
      <c r="G75" s="215">
        <f>D75/C75</f>
        <v>0.22648394248796844</v>
      </c>
      <c r="H75" s="123"/>
    </row>
    <row r="76" spans="1:8" ht="15.75" x14ac:dyDescent="0.25">
      <c r="A76" s="130"/>
      <c r="B76" s="131">
        <f>DATE(2023,8,1)</f>
        <v>45139</v>
      </c>
      <c r="C76" s="204">
        <v>20362139</v>
      </c>
      <c r="D76" s="204">
        <v>3109199.97</v>
      </c>
      <c r="E76" s="204">
        <v>5944421.2300000004</v>
      </c>
      <c r="F76" s="132">
        <f>(+D76-E76)/E76</f>
        <v>-0.47695497177948137</v>
      </c>
      <c r="G76" s="215">
        <f>D76/C76</f>
        <v>0.15269515496382774</v>
      </c>
      <c r="H76" s="123"/>
    </row>
    <row r="77" spans="1:8" ht="15.75" x14ac:dyDescent="0.25">
      <c r="A77" s="130"/>
      <c r="B77" s="131">
        <f>DATE(2023,9,1)</f>
        <v>45170</v>
      </c>
      <c r="C77" s="204">
        <v>21392075</v>
      </c>
      <c r="D77" s="204">
        <v>4835353.0999999996</v>
      </c>
      <c r="E77" s="204">
        <v>4482002.3499999996</v>
      </c>
      <c r="F77" s="132">
        <f>(+D77-E77)/E77</f>
        <v>7.8837698512139343E-2</v>
      </c>
      <c r="G77" s="215">
        <f>D77/C77</f>
        <v>0.22603478624677595</v>
      </c>
      <c r="H77" s="123"/>
    </row>
    <row r="78" spans="1:8" ht="15.75" thickBot="1" x14ac:dyDescent="0.25">
      <c r="A78" s="133"/>
      <c r="B78" s="134"/>
      <c r="C78" s="204"/>
      <c r="D78" s="204"/>
      <c r="E78" s="204"/>
      <c r="F78" s="132"/>
      <c r="G78" s="215"/>
      <c r="H78" s="123"/>
    </row>
    <row r="79" spans="1:8" ht="17.25" thickTop="1" thickBot="1" x14ac:dyDescent="0.3">
      <c r="A79" s="141" t="s">
        <v>14</v>
      </c>
      <c r="B79" s="142"/>
      <c r="C79" s="206">
        <f>SUM(C75:C78)</f>
        <v>62463898</v>
      </c>
      <c r="D79" s="207">
        <f>SUM(D75:D78)</f>
        <v>12634963.949999999</v>
      </c>
      <c r="E79" s="206">
        <f>SUM(E75:E78)</f>
        <v>15174068.51</v>
      </c>
      <c r="F79" s="143">
        <f>(+D79-E79)/E79</f>
        <v>-0.16733182391569423</v>
      </c>
      <c r="G79" s="217">
        <f>D79/C79</f>
        <v>0.20227626444318283</v>
      </c>
      <c r="H79" s="123"/>
    </row>
    <row r="80" spans="1:8" ht="15.75" customHeight="1" thickTop="1" x14ac:dyDescent="0.25">
      <c r="A80" s="130"/>
      <c r="B80" s="134"/>
      <c r="C80" s="204"/>
      <c r="D80" s="204"/>
      <c r="E80" s="204"/>
      <c r="F80" s="132"/>
      <c r="G80" s="218"/>
      <c r="H80" s="123"/>
    </row>
    <row r="81" spans="1:8" ht="15.75" x14ac:dyDescent="0.25">
      <c r="A81" s="130" t="s">
        <v>57</v>
      </c>
      <c r="B81" s="131">
        <f>DATE(2023,7,1)</f>
        <v>45108</v>
      </c>
      <c r="C81" s="204">
        <v>667022</v>
      </c>
      <c r="D81" s="204">
        <v>167507.5</v>
      </c>
      <c r="E81" s="204">
        <v>196833</v>
      </c>
      <c r="F81" s="132">
        <f>(+D81-E81)/E81</f>
        <v>-0.14898670446520654</v>
      </c>
      <c r="G81" s="215">
        <f>D81/C81</f>
        <v>0.25112739909628168</v>
      </c>
      <c r="H81" s="123"/>
    </row>
    <row r="82" spans="1:8" ht="15.75" x14ac:dyDescent="0.25">
      <c r="A82" s="130"/>
      <c r="B82" s="131">
        <f>DATE(2023,8,1)</f>
        <v>45139</v>
      </c>
      <c r="C82" s="204">
        <v>610032</v>
      </c>
      <c r="D82" s="204">
        <v>211410</v>
      </c>
      <c r="E82" s="204">
        <v>151280.5</v>
      </c>
      <c r="F82" s="132">
        <f>(+D82-E82)/E82</f>
        <v>0.39747026219506149</v>
      </c>
      <c r="G82" s="215">
        <f>D82/C82</f>
        <v>0.34655559052639862</v>
      </c>
      <c r="H82" s="123"/>
    </row>
    <row r="83" spans="1:8" ht="15.75" x14ac:dyDescent="0.25">
      <c r="A83" s="130"/>
      <c r="B83" s="131">
        <f>DATE(2023,9,1)</f>
        <v>45170</v>
      </c>
      <c r="C83" s="204">
        <v>532466</v>
      </c>
      <c r="D83" s="204">
        <v>169350</v>
      </c>
      <c r="E83" s="204">
        <v>193974</v>
      </c>
      <c r="F83" s="132">
        <f>(+D83-E83)/E83</f>
        <v>-0.12694484827863528</v>
      </c>
      <c r="G83" s="215">
        <f>D83/C83</f>
        <v>0.31804847633463923</v>
      </c>
      <c r="H83" s="123"/>
    </row>
    <row r="84" spans="1:8" ht="15.75" thickBot="1" x14ac:dyDescent="0.25">
      <c r="A84" s="133"/>
      <c r="B84" s="134"/>
      <c r="C84" s="204"/>
      <c r="D84" s="204"/>
      <c r="E84" s="204"/>
      <c r="F84" s="132"/>
      <c r="G84" s="215"/>
      <c r="H84" s="123"/>
    </row>
    <row r="85" spans="1:8" ht="17.25" thickTop="1" thickBot="1" x14ac:dyDescent="0.3">
      <c r="A85" s="135" t="s">
        <v>14</v>
      </c>
      <c r="B85" s="136"/>
      <c r="C85" s="201">
        <f>SUM(C81:C84)</f>
        <v>1809520</v>
      </c>
      <c r="D85" s="207">
        <f>SUM(D81:D84)</f>
        <v>548267.5</v>
      </c>
      <c r="E85" s="207">
        <f>SUM(E81:E84)</f>
        <v>542087.5</v>
      </c>
      <c r="F85" s="143">
        <f>(+D85-E85)/E85</f>
        <v>1.1400373555929624E-2</v>
      </c>
      <c r="G85" s="217">
        <f>D85/C85</f>
        <v>0.30299057208541491</v>
      </c>
      <c r="H85" s="123"/>
    </row>
    <row r="86" spans="1:8" ht="16.5" thickTop="1" thickBot="1" x14ac:dyDescent="0.25">
      <c r="A86" s="146"/>
      <c r="B86" s="139"/>
      <c r="C86" s="205"/>
      <c r="D86" s="205"/>
      <c r="E86" s="205"/>
      <c r="F86" s="140"/>
      <c r="G86" s="216"/>
      <c r="H86" s="123"/>
    </row>
    <row r="87" spans="1:8" ht="17.25" thickTop="1" thickBot="1" x14ac:dyDescent="0.3">
      <c r="A87" s="147" t="s">
        <v>38</v>
      </c>
      <c r="B87" s="121"/>
      <c r="C87" s="201">
        <f>C85+C79+C61+C49+C37+C25+C13+C31+C73+C19+C55+C67+C43</f>
        <v>335064250.14999998</v>
      </c>
      <c r="D87" s="201">
        <f>D85+D79+D61+D49+D37+D25+D13+D31+D73+D19+D55+D67+D43</f>
        <v>66605615.510000005</v>
      </c>
      <c r="E87" s="201">
        <f>E85+E79+E61+E49+E37+E25+E13+E31+E73+E19+E55+E67+E43</f>
        <v>70131428.469999999</v>
      </c>
      <c r="F87" s="137">
        <f>(+D87-E87)/E87</f>
        <v>-5.0274363960919811E-2</v>
      </c>
      <c r="G87" s="212">
        <f>D87/C87</f>
        <v>0.19878460766907338</v>
      </c>
      <c r="H87" s="123"/>
    </row>
    <row r="88" spans="1:8" ht="17.25" thickTop="1" thickBot="1" x14ac:dyDescent="0.3">
      <c r="A88" s="147"/>
      <c r="B88" s="121"/>
      <c r="C88" s="201"/>
      <c r="D88" s="201"/>
      <c r="E88" s="201"/>
      <c r="F88" s="137"/>
      <c r="G88" s="212"/>
      <c r="H88" s="123"/>
    </row>
    <row r="89" spans="1:8" ht="17.25" thickTop="1" thickBot="1" x14ac:dyDescent="0.3">
      <c r="A89" s="265" t="s">
        <v>39</v>
      </c>
      <c r="B89" s="266"/>
      <c r="C89" s="206">
        <f>+C11+C17+C23+C29+C35+C41+C47+C53+C59+C65+C71+C77+C83</f>
        <v>109170647</v>
      </c>
      <c r="D89" s="206">
        <f>+D11+D17+D23+D29+D35+D41+D47+D53+D59+D65+D71+D77+D83</f>
        <v>23207689.409999996</v>
      </c>
      <c r="E89" s="206">
        <f>+E11+E17+E23+E29+E35+E41+E47+E53+E59+E65+E71+E77+E83</f>
        <v>22132548.490000002</v>
      </c>
      <c r="F89" s="268">
        <f>(+D89-E89)/E89</f>
        <v>4.8577366519077902E-2</v>
      </c>
      <c r="G89" s="217">
        <f>D89/C89</f>
        <v>0.21258177035444331</v>
      </c>
      <c r="H89" s="123"/>
    </row>
    <row r="90" spans="1:8" ht="16.5" thickTop="1" x14ac:dyDescent="0.25">
      <c r="A90" s="256"/>
      <c r="B90" s="258"/>
      <c r="C90" s="259"/>
      <c r="D90" s="259"/>
      <c r="E90" s="259"/>
      <c r="F90" s="260"/>
      <c r="G90" s="257"/>
      <c r="H90" s="257"/>
    </row>
    <row r="91" spans="1:8" ht="18.75" x14ac:dyDescent="0.3">
      <c r="A91" s="263" t="s">
        <v>40</v>
      </c>
      <c r="B91" s="117"/>
      <c r="C91" s="208"/>
      <c r="D91" s="208"/>
      <c r="E91" s="208"/>
      <c r="F91" s="148"/>
      <c r="G91" s="220"/>
    </row>
    <row r="92" spans="1:8" ht="15.75" x14ac:dyDescent="0.25">
      <c r="A92" s="7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5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zoomScaleNormal="100" workbookViewId="0">
      <selection activeCell="A10" sqref="A10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59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75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79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65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66</v>
      </c>
      <c r="E8" s="224" t="s">
        <v>66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DATE(23,7,1)</f>
        <v>8583</v>
      </c>
      <c r="C10" s="226">
        <v>0</v>
      </c>
      <c r="D10" s="226">
        <v>0</v>
      </c>
      <c r="E10" s="226">
        <v>120141.72</v>
      </c>
      <c r="F10" s="166">
        <v>-1</v>
      </c>
      <c r="G10" s="241">
        <v>0</v>
      </c>
      <c r="H10" s="289">
        <v>0</v>
      </c>
    </row>
    <row r="11" spans="1:8" ht="15.75" x14ac:dyDescent="0.25">
      <c r="A11" s="164"/>
      <c r="B11" s="165">
        <f>DATE(23,8,1)</f>
        <v>8614</v>
      </c>
      <c r="C11" s="226">
        <v>0</v>
      </c>
      <c r="D11" s="226">
        <v>0</v>
      </c>
      <c r="E11" s="226">
        <v>119034.53</v>
      </c>
      <c r="F11" s="166">
        <v>-1</v>
      </c>
      <c r="G11" s="241">
        <v>0</v>
      </c>
      <c r="H11" s="289">
        <v>0</v>
      </c>
    </row>
    <row r="12" spans="1:8" ht="15.75" x14ac:dyDescent="0.25">
      <c r="A12" s="164"/>
      <c r="B12" s="165">
        <f>DATE(23,9,1)</f>
        <v>8645</v>
      </c>
      <c r="C12" s="226">
        <v>0</v>
      </c>
      <c r="D12" s="226">
        <v>0</v>
      </c>
      <c r="E12" s="226">
        <v>77282.02</v>
      </c>
      <c r="F12" s="166">
        <v>-1</v>
      </c>
      <c r="G12" s="241">
        <v>0</v>
      </c>
      <c r="H12" s="289">
        <v>0</v>
      </c>
    </row>
    <row r="13" spans="1:8" ht="15.75" thickBot="1" x14ac:dyDescent="0.25">
      <c r="A13" s="167"/>
      <c r="B13" s="168"/>
      <c r="C13" s="226"/>
      <c r="D13" s="226"/>
      <c r="E13" s="226"/>
      <c r="F13" s="166"/>
      <c r="G13" s="241"/>
      <c r="H13" s="242"/>
    </row>
    <row r="14" spans="1:8" ht="17.25" thickTop="1" thickBot="1" x14ac:dyDescent="0.3">
      <c r="A14" s="169" t="s">
        <v>14</v>
      </c>
      <c r="B14" s="155"/>
      <c r="C14" s="223">
        <f>SUM(C10:C13)</f>
        <v>0</v>
      </c>
      <c r="D14" s="223">
        <f>SUM(D10:D13)</f>
        <v>0</v>
      </c>
      <c r="E14" s="223">
        <f>SUM(E10:E13)</f>
        <v>316458.27</v>
      </c>
      <c r="F14" s="176">
        <f>+(D14-E14)/E14</f>
        <v>-1</v>
      </c>
      <c r="G14" s="245">
        <v>0</v>
      </c>
      <c r="H14" s="246">
        <v>0</v>
      </c>
    </row>
    <row r="15" spans="1:8" ht="15.75" thickTop="1" x14ac:dyDescent="0.2">
      <c r="A15" s="171"/>
      <c r="B15" s="172"/>
      <c r="C15" s="227"/>
      <c r="D15" s="227"/>
      <c r="E15" s="227"/>
      <c r="F15" s="173"/>
      <c r="G15" s="243"/>
      <c r="H15" s="244"/>
    </row>
    <row r="16" spans="1:8" ht="15.75" x14ac:dyDescent="0.25">
      <c r="A16" s="19" t="s">
        <v>48</v>
      </c>
      <c r="B16" s="165">
        <f>DATE(23,7,1)</f>
        <v>8583</v>
      </c>
      <c r="C16" s="226">
        <v>0</v>
      </c>
      <c r="D16" s="226">
        <v>0</v>
      </c>
      <c r="E16" s="226">
        <v>0</v>
      </c>
      <c r="F16" s="166">
        <v>0</v>
      </c>
      <c r="G16" s="241">
        <v>0</v>
      </c>
      <c r="H16" s="242">
        <v>0</v>
      </c>
    </row>
    <row r="17" spans="1:8" ht="15.75" x14ac:dyDescent="0.25">
      <c r="A17" s="19"/>
      <c r="B17" s="165">
        <f>DATE(23,8,1)</f>
        <v>8614</v>
      </c>
      <c r="C17" s="226">
        <v>0</v>
      </c>
      <c r="D17" s="226">
        <v>0</v>
      </c>
      <c r="E17" s="226">
        <v>0</v>
      </c>
      <c r="F17" s="166">
        <v>0</v>
      </c>
      <c r="G17" s="241">
        <v>0</v>
      </c>
      <c r="H17" s="242">
        <v>0</v>
      </c>
    </row>
    <row r="18" spans="1:8" ht="15.75" x14ac:dyDescent="0.25">
      <c r="A18" s="19"/>
      <c r="B18" s="165">
        <f>DATE(23,9,1)</f>
        <v>8645</v>
      </c>
      <c r="C18" s="226">
        <v>0</v>
      </c>
      <c r="D18" s="226">
        <v>0</v>
      </c>
      <c r="E18" s="226">
        <v>0</v>
      </c>
      <c r="F18" s="166">
        <v>0</v>
      </c>
      <c r="G18" s="241">
        <v>0</v>
      </c>
      <c r="H18" s="242">
        <v>0</v>
      </c>
    </row>
    <row r="19" spans="1:8" ht="15.75" thickBot="1" x14ac:dyDescent="0.25">
      <c r="A19" s="167"/>
      <c r="B19" s="165"/>
      <c r="C19" s="226"/>
      <c r="D19" s="226"/>
      <c r="E19" s="226"/>
      <c r="F19" s="166"/>
      <c r="G19" s="241"/>
      <c r="H19" s="242"/>
    </row>
    <row r="20" spans="1:8" ht="17.25" thickTop="1" thickBot="1" x14ac:dyDescent="0.3">
      <c r="A20" s="169" t="s">
        <v>14</v>
      </c>
      <c r="B20" s="155"/>
      <c r="C20" s="223">
        <f>SUM(C16:C19)</f>
        <v>0</v>
      </c>
      <c r="D20" s="223">
        <f>SUM(D16:D19)</f>
        <v>0</v>
      </c>
      <c r="E20" s="223">
        <f>SUM(E16:E19)</f>
        <v>0</v>
      </c>
      <c r="F20" s="170">
        <v>0</v>
      </c>
      <c r="G20" s="236">
        <v>0</v>
      </c>
      <c r="H20" s="237">
        <v>0</v>
      </c>
    </row>
    <row r="21" spans="1:8" ht="15.75" thickTop="1" x14ac:dyDescent="0.2">
      <c r="A21" s="171"/>
      <c r="B21" s="172"/>
      <c r="C21" s="227"/>
      <c r="D21" s="227"/>
      <c r="E21" s="227"/>
      <c r="F21" s="173"/>
      <c r="G21" s="243"/>
      <c r="H21" s="244"/>
    </row>
    <row r="22" spans="1:8" ht="15.75" x14ac:dyDescent="0.25">
      <c r="A22" s="19" t="s">
        <v>62</v>
      </c>
      <c r="B22" s="165">
        <f>DATE(23,7,1)</f>
        <v>8583</v>
      </c>
      <c r="C22" s="226">
        <v>0</v>
      </c>
      <c r="D22" s="226">
        <v>0</v>
      </c>
      <c r="E22" s="226">
        <v>0</v>
      </c>
      <c r="F22" s="166">
        <v>0</v>
      </c>
      <c r="G22" s="241">
        <v>0</v>
      </c>
      <c r="H22" s="242">
        <v>0</v>
      </c>
    </row>
    <row r="23" spans="1:8" ht="15.75" x14ac:dyDescent="0.25">
      <c r="A23" s="19"/>
      <c r="B23" s="165">
        <f>DATE(23,8,1)</f>
        <v>8614</v>
      </c>
      <c r="C23" s="226">
        <v>0</v>
      </c>
      <c r="D23" s="226">
        <v>0</v>
      </c>
      <c r="E23" s="226">
        <v>0</v>
      </c>
      <c r="F23" s="166">
        <v>0</v>
      </c>
      <c r="G23" s="241">
        <v>0</v>
      </c>
      <c r="H23" s="242">
        <v>0</v>
      </c>
    </row>
    <row r="24" spans="1:8" ht="15.75" x14ac:dyDescent="0.25">
      <c r="A24" s="19"/>
      <c r="B24" s="165">
        <f>DATE(23,9,1)</f>
        <v>8645</v>
      </c>
      <c r="C24" s="226">
        <v>0</v>
      </c>
      <c r="D24" s="226">
        <v>0</v>
      </c>
      <c r="E24" s="226">
        <v>0</v>
      </c>
      <c r="F24" s="166">
        <v>0</v>
      </c>
      <c r="G24" s="241">
        <v>0</v>
      </c>
      <c r="H24" s="242">
        <v>0</v>
      </c>
    </row>
    <row r="25" spans="1:8" ht="15.75" thickBot="1" x14ac:dyDescent="0.25">
      <c r="A25" s="167"/>
      <c r="B25" s="165"/>
      <c r="C25" s="226"/>
      <c r="D25" s="226"/>
      <c r="E25" s="226"/>
      <c r="F25" s="166"/>
      <c r="G25" s="241"/>
      <c r="H25" s="242"/>
    </row>
    <row r="26" spans="1:8" ht="17.25" thickTop="1" thickBot="1" x14ac:dyDescent="0.3">
      <c r="A26" s="174" t="s">
        <v>14</v>
      </c>
      <c r="B26" s="175"/>
      <c r="C26" s="228">
        <f>SUM(C22:C25)</f>
        <v>0</v>
      </c>
      <c r="D26" s="228">
        <f>SUM(D22:D25)</f>
        <v>0</v>
      </c>
      <c r="E26" s="228">
        <f>SUM(E22:E25)</f>
        <v>0</v>
      </c>
      <c r="F26" s="176">
        <v>0</v>
      </c>
      <c r="G26" s="245">
        <v>0</v>
      </c>
      <c r="H26" s="246">
        <v>0</v>
      </c>
    </row>
    <row r="27" spans="1:8" ht="15.75" thickTop="1" x14ac:dyDescent="0.2">
      <c r="A27" s="167"/>
      <c r="B27" s="168"/>
      <c r="C27" s="226"/>
      <c r="D27" s="226"/>
      <c r="E27" s="226"/>
      <c r="F27" s="166"/>
      <c r="G27" s="241"/>
      <c r="H27" s="242"/>
    </row>
    <row r="28" spans="1:8" ht="15.75" x14ac:dyDescent="0.25">
      <c r="A28" s="177" t="s">
        <v>58</v>
      </c>
      <c r="B28" s="165">
        <f>DATE(23,7,1)</f>
        <v>8583</v>
      </c>
      <c r="C28" s="226">
        <v>0</v>
      </c>
      <c r="D28" s="226">
        <v>0</v>
      </c>
      <c r="E28" s="226">
        <v>133555.04</v>
      </c>
      <c r="F28" s="166">
        <v>-1</v>
      </c>
      <c r="G28" s="241">
        <v>0</v>
      </c>
      <c r="H28" s="289">
        <v>0</v>
      </c>
    </row>
    <row r="29" spans="1:8" ht="15.75" x14ac:dyDescent="0.25">
      <c r="A29" s="177"/>
      <c r="B29" s="165">
        <f>DATE(23,8,1)</f>
        <v>8614</v>
      </c>
      <c r="C29" s="226">
        <v>0</v>
      </c>
      <c r="D29" s="226">
        <v>0</v>
      </c>
      <c r="E29" s="226">
        <v>183477.77</v>
      </c>
      <c r="F29" s="166">
        <v>-1</v>
      </c>
      <c r="G29" s="241">
        <v>0</v>
      </c>
      <c r="H29" s="289">
        <v>0</v>
      </c>
    </row>
    <row r="30" spans="1:8" ht="15.75" x14ac:dyDescent="0.25">
      <c r="A30" s="177"/>
      <c r="B30" s="165">
        <f>DATE(23,9,1)</f>
        <v>8645</v>
      </c>
      <c r="C30" s="226">
        <v>0</v>
      </c>
      <c r="D30" s="226">
        <v>0</v>
      </c>
      <c r="E30" s="226">
        <v>155342.66</v>
      </c>
      <c r="F30" s="166">
        <v>-1</v>
      </c>
      <c r="G30" s="241">
        <v>0</v>
      </c>
      <c r="H30" s="289">
        <v>0</v>
      </c>
    </row>
    <row r="31" spans="1:8" ht="15.75" thickBot="1" x14ac:dyDescent="0.25">
      <c r="A31" s="167"/>
      <c r="B31" s="168"/>
      <c r="C31" s="226"/>
      <c r="D31" s="226"/>
      <c r="E31" s="226"/>
      <c r="F31" s="166"/>
      <c r="G31" s="241"/>
      <c r="H31" s="242"/>
    </row>
    <row r="32" spans="1:8" ht="17.25" thickTop="1" thickBot="1" x14ac:dyDescent="0.3">
      <c r="A32" s="174" t="s">
        <v>14</v>
      </c>
      <c r="B32" s="178"/>
      <c r="C32" s="228">
        <f>SUM(C28:C31)</f>
        <v>0</v>
      </c>
      <c r="D32" s="228">
        <f>SUM(D28:D31)</f>
        <v>0</v>
      </c>
      <c r="E32" s="228">
        <f>SUM(E28:E31)</f>
        <v>472375.47</v>
      </c>
      <c r="F32" s="176">
        <f>+(D32-E32)/E32</f>
        <v>-1</v>
      </c>
      <c r="G32" s="245">
        <v>0</v>
      </c>
      <c r="H32" s="246">
        <v>0</v>
      </c>
    </row>
    <row r="33" spans="1:8" ht="15.75" thickTop="1" x14ac:dyDescent="0.2">
      <c r="A33" s="167"/>
      <c r="B33" s="168"/>
      <c r="C33" s="226"/>
      <c r="D33" s="226"/>
      <c r="E33" s="226"/>
      <c r="F33" s="166"/>
      <c r="G33" s="241"/>
      <c r="H33" s="242"/>
    </row>
    <row r="34" spans="1:8" ht="15.75" x14ac:dyDescent="0.25">
      <c r="A34" s="164" t="s">
        <v>60</v>
      </c>
      <c r="B34" s="165">
        <f>DATE(23,7,1)</f>
        <v>8583</v>
      </c>
      <c r="C34" s="226">
        <v>0</v>
      </c>
      <c r="D34" s="226">
        <v>0</v>
      </c>
      <c r="E34" s="226">
        <v>0</v>
      </c>
      <c r="F34" s="166">
        <v>0</v>
      </c>
      <c r="G34" s="241">
        <v>0</v>
      </c>
      <c r="H34" s="242">
        <v>0</v>
      </c>
    </row>
    <row r="35" spans="1:8" ht="15.75" x14ac:dyDescent="0.25">
      <c r="A35" s="164"/>
      <c r="B35" s="165">
        <f>DATE(23,8,1)</f>
        <v>8614</v>
      </c>
      <c r="C35" s="226">
        <v>0</v>
      </c>
      <c r="D35" s="226">
        <v>0</v>
      </c>
      <c r="E35" s="226">
        <v>0</v>
      </c>
      <c r="F35" s="166">
        <v>0</v>
      </c>
      <c r="G35" s="241">
        <v>0</v>
      </c>
      <c r="H35" s="242">
        <v>0</v>
      </c>
    </row>
    <row r="36" spans="1:8" ht="15.75" x14ac:dyDescent="0.25">
      <c r="A36" s="164"/>
      <c r="B36" s="165">
        <f>DATE(23,9,1)</f>
        <v>8645</v>
      </c>
      <c r="C36" s="226">
        <v>0</v>
      </c>
      <c r="D36" s="226">
        <v>0</v>
      </c>
      <c r="E36" s="226">
        <v>0</v>
      </c>
      <c r="F36" s="166">
        <v>0</v>
      </c>
      <c r="G36" s="241">
        <v>0</v>
      </c>
      <c r="H36" s="242">
        <v>0</v>
      </c>
    </row>
    <row r="37" spans="1:8" ht="15.75" thickBot="1" x14ac:dyDescent="0.25">
      <c r="A37" s="167"/>
      <c r="B37" s="165"/>
      <c r="C37" s="226"/>
      <c r="D37" s="226"/>
      <c r="E37" s="226"/>
      <c r="F37" s="166"/>
      <c r="G37" s="241"/>
      <c r="H37" s="242"/>
    </row>
    <row r="38" spans="1:8" ht="17.25" thickTop="1" thickBot="1" x14ac:dyDescent="0.3">
      <c r="A38" s="174" t="s">
        <v>14</v>
      </c>
      <c r="B38" s="175"/>
      <c r="C38" s="228">
        <f>SUM(C34:C37)</f>
        <v>0</v>
      </c>
      <c r="D38" s="230">
        <f>SUM(D34:D37)</f>
        <v>0</v>
      </c>
      <c r="E38" s="271">
        <f>SUM(E34:E37)</f>
        <v>0</v>
      </c>
      <c r="F38" s="176">
        <v>0</v>
      </c>
      <c r="G38" s="245">
        <v>0</v>
      </c>
      <c r="H38" s="246">
        <v>0</v>
      </c>
    </row>
    <row r="39" spans="1:8" ht="15.75" thickTop="1" x14ac:dyDescent="0.2">
      <c r="A39" s="167"/>
      <c r="B39" s="168"/>
      <c r="C39" s="226"/>
      <c r="D39" s="226"/>
      <c r="E39" s="226"/>
      <c r="F39" s="166"/>
      <c r="G39" s="241"/>
      <c r="H39" s="242"/>
    </row>
    <row r="40" spans="1:8" ht="15.75" x14ac:dyDescent="0.25">
      <c r="A40" s="164" t="s">
        <v>64</v>
      </c>
      <c r="B40" s="165">
        <f>DATE(23,7,1)</f>
        <v>8583</v>
      </c>
      <c r="C40" s="226">
        <v>0</v>
      </c>
      <c r="D40" s="226">
        <v>0</v>
      </c>
      <c r="E40" s="226">
        <v>0</v>
      </c>
      <c r="F40" s="166">
        <v>0</v>
      </c>
      <c r="G40" s="241">
        <v>0</v>
      </c>
      <c r="H40" s="242">
        <v>0</v>
      </c>
    </row>
    <row r="41" spans="1:8" ht="15.75" x14ac:dyDescent="0.25">
      <c r="A41" s="164"/>
      <c r="B41" s="165">
        <f>DATE(23,8,1)</f>
        <v>8614</v>
      </c>
      <c r="C41" s="226">
        <v>0</v>
      </c>
      <c r="D41" s="226">
        <v>0</v>
      </c>
      <c r="E41" s="226">
        <v>0</v>
      </c>
      <c r="F41" s="166">
        <v>0</v>
      </c>
      <c r="G41" s="241">
        <v>0</v>
      </c>
      <c r="H41" s="242">
        <v>0</v>
      </c>
    </row>
    <row r="42" spans="1:8" ht="15.75" x14ac:dyDescent="0.25">
      <c r="A42" s="164"/>
      <c r="B42" s="165">
        <f>DATE(23,9,1)</f>
        <v>8645</v>
      </c>
      <c r="C42" s="226">
        <v>0</v>
      </c>
      <c r="D42" s="226">
        <v>0</v>
      </c>
      <c r="E42" s="226">
        <v>0</v>
      </c>
      <c r="F42" s="166">
        <v>0</v>
      </c>
      <c r="G42" s="241">
        <v>0</v>
      </c>
      <c r="H42" s="242">
        <v>0</v>
      </c>
    </row>
    <row r="43" spans="1:8" ht="15.75" thickBot="1" x14ac:dyDescent="0.25">
      <c r="A43" s="167"/>
      <c r="B43" s="165"/>
      <c r="C43" s="226"/>
      <c r="D43" s="226"/>
      <c r="E43" s="226"/>
      <c r="F43" s="166"/>
      <c r="G43" s="241"/>
      <c r="H43" s="242"/>
    </row>
    <row r="44" spans="1:8" ht="17.25" thickTop="1" thickBot="1" x14ac:dyDescent="0.3">
      <c r="A44" s="174" t="s">
        <v>14</v>
      </c>
      <c r="B44" s="175"/>
      <c r="C44" s="228">
        <f>SUM(C40:C43)</f>
        <v>0</v>
      </c>
      <c r="D44" s="230">
        <f>SUM(D40:D43)</f>
        <v>0</v>
      </c>
      <c r="E44" s="271">
        <f>SUM(E40:E43)</f>
        <v>0</v>
      </c>
      <c r="F44" s="176">
        <v>0</v>
      </c>
      <c r="G44" s="245">
        <v>0</v>
      </c>
      <c r="H44" s="246">
        <v>0</v>
      </c>
    </row>
    <row r="45" spans="1:8" ht="15.75" thickTop="1" x14ac:dyDescent="0.2">
      <c r="A45" s="167"/>
      <c r="B45" s="168"/>
      <c r="C45" s="226"/>
      <c r="D45" s="226"/>
      <c r="E45" s="226"/>
      <c r="F45" s="166"/>
      <c r="G45" s="241"/>
      <c r="H45" s="242"/>
    </row>
    <row r="46" spans="1:8" ht="15.75" x14ac:dyDescent="0.25">
      <c r="A46" s="164" t="s">
        <v>67</v>
      </c>
      <c r="B46" s="165">
        <f>DATE(23,7,1)</f>
        <v>8583</v>
      </c>
      <c r="C46" s="226">
        <v>0</v>
      </c>
      <c r="D46" s="226">
        <v>0</v>
      </c>
      <c r="E46" s="226">
        <v>0</v>
      </c>
      <c r="F46" s="166">
        <v>0</v>
      </c>
      <c r="G46" s="241">
        <v>0</v>
      </c>
      <c r="H46" s="242">
        <v>0</v>
      </c>
    </row>
    <row r="47" spans="1:8" ht="15.75" x14ac:dyDescent="0.25">
      <c r="A47" s="164"/>
      <c r="B47" s="165">
        <f>DATE(23,8,1)</f>
        <v>8614</v>
      </c>
      <c r="C47" s="226">
        <v>0</v>
      </c>
      <c r="D47" s="226">
        <v>0</v>
      </c>
      <c r="E47" s="226">
        <v>0</v>
      </c>
      <c r="F47" s="166">
        <v>0</v>
      </c>
      <c r="G47" s="241">
        <v>0</v>
      </c>
      <c r="H47" s="242">
        <v>0</v>
      </c>
    </row>
    <row r="48" spans="1:8" ht="15.75" x14ac:dyDescent="0.25">
      <c r="A48" s="164"/>
      <c r="B48" s="165">
        <f>DATE(23,9,1)</f>
        <v>8645</v>
      </c>
      <c r="C48" s="226">
        <v>0</v>
      </c>
      <c r="D48" s="226">
        <v>0</v>
      </c>
      <c r="E48" s="226">
        <v>0</v>
      </c>
      <c r="F48" s="166">
        <v>0</v>
      </c>
      <c r="G48" s="241">
        <v>0</v>
      </c>
      <c r="H48" s="242">
        <v>0</v>
      </c>
    </row>
    <row r="49" spans="1:8" ht="15.75" thickBot="1" x14ac:dyDescent="0.25">
      <c r="A49" s="167"/>
      <c r="B49" s="165"/>
      <c r="C49" s="226"/>
      <c r="D49" s="226"/>
      <c r="E49" s="226"/>
      <c r="F49" s="166"/>
      <c r="G49" s="241"/>
      <c r="H49" s="242"/>
    </row>
    <row r="50" spans="1:8" ht="17.25" thickTop="1" thickBot="1" x14ac:dyDescent="0.3">
      <c r="A50" s="174" t="s">
        <v>14</v>
      </c>
      <c r="B50" s="175"/>
      <c r="C50" s="228">
        <f>SUM(C46:C49)</f>
        <v>0</v>
      </c>
      <c r="D50" s="230">
        <f>SUM(D46:D49)</f>
        <v>0</v>
      </c>
      <c r="E50" s="271">
        <f>SUM(E46:E49)</f>
        <v>0</v>
      </c>
      <c r="F50" s="176">
        <v>0</v>
      </c>
      <c r="G50" s="245">
        <v>0</v>
      </c>
      <c r="H50" s="246">
        <v>0</v>
      </c>
    </row>
    <row r="51" spans="1:8" ht="15.75" thickTop="1" x14ac:dyDescent="0.2">
      <c r="A51" s="167"/>
      <c r="B51" s="168"/>
      <c r="C51" s="226"/>
      <c r="D51" s="226"/>
      <c r="E51" s="226"/>
      <c r="F51" s="166"/>
      <c r="G51" s="241"/>
      <c r="H51" s="242"/>
    </row>
    <row r="52" spans="1:8" ht="15.75" x14ac:dyDescent="0.25">
      <c r="A52" s="164" t="s">
        <v>69</v>
      </c>
      <c r="B52" s="165">
        <f>DATE(23,7,1)</f>
        <v>8583</v>
      </c>
      <c r="C52" s="226">
        <v>0</v>
      </c>
      <c r="D52" s="226">
        <v>0</v>
      </c>
      <c r="E52" s="226">
        <v>0</v>
      </c>
      <c r="F52" s="166">
        <v>0</v>
      </c>
      <c r="G52" s="241">
        <v>0</v>
      </c>
      <c r="H52" s="242">
        <v>0</v>
      </c>
    </row>
    <row r="53" spans="1:8" ht="15.75" x14ac:dyDescent="0.25">
      <c r="A53" s="164"/>
      <c r="B53" s="165">
        <f>DATE(23,8,1)</f>
        <v>8614</v>
      </c>
      <c r="C53" s="226">
        <v>0</v>
      </c>
      <c r="D53" s="226">
        <v>0</v>
      </c>
      <c r="E53" s="226">
        <v>0</v>
      </c>
      <c r="F53" s="166">
        <v>0</v>
      </c>
      <c r="G53" s="241">
        <v>0</v>
      </c>
      <c r="H53" s="242">
        <v>0</v>
      </c>
    </row>
    <row r="54" spans="1:8" ht="15.75" x14ac:dyDescent="0.25">
      <c r="A54" s="164"/>
      <c r="B54" s="165">
        <f>DATE(23,9,1)</f>
        <v>8645</v>
      </c>
      <c r="C54" s="226">
        <v>0</v>
      </c>
      <c r="D54" s="226">
        <v>0</v>
      </c>
      <c r="E54" s="226">
        <v>0</v>
      </c>
      <c r="F54" s="166">
        <v>0</v>
      </c>
      <c r="G54" s="241">
        <v>0</v>
      </c>
      <c r="H54" s="242">
        <v>0</v>
      </c>
    </row>
    <row r="55" spans="1:8" ht="15.75" thickBot="1" x14ac:dyDescent="0.25">
      <c r="A55" s="167"/>
      <c r="B55" s="165"/>
      <c r="C55" s="226"/>
      <c r="D55" s="226"/>
      <c r="E55" s="226"/>
      <c r="F55" s="166"/>
      <c r="G55" s="241"/>
      <c r="H55" s="242"/>
    </row>
    <row r="56" spans="1:8" ht="17.25" thickTop="1" thickBot="1" x14ac:dyDescent="0.3">
      <c r="A56" s="174" t="s">
        <v>14</v>
      </c>
      <c r="B56" s="175"/>
      <c r="C56" s="228">
        <f>SUM(C52:C55)</f>
        <v>0</v>
      </c>
      <c r="D56" s="230">
        <f>SUM(D52:D55)</f>
        <v>0</v>
      </c>
      <c r="E56" s="271">
        <f>SUM(E52:E55)</f>
        <v>0</v>
      </c>
      <c r="F56" s="176">
        <v>0</v>
      </c>
      <c r="G56" s="249">
        <v>0</v>
      </c>
      <c r="H56" s="270">
        <v>0</v>
      </c>
    </row>
    <row r="57" spans="1:8" ht="15.75" thickTop="1" x14ac:dyDescent="0.2">
      <c r="A57" s="167"/>
      <c r="B57" s="179"/>
      <c r="C57" s="229"/>
      <c r="D57" s="229"/>
      <c r="E57" s="229"/>
      <c r="F57" s="180"/>
      <c r="G57" s="247"/>
      <c r="H57" s="248"/>
    </row>
    <row r="58" spans="1:8" ht="15.75" x14ac:dyDescent="0.25">
      <c r="A58" s="164" t="s">
        <v>16</v>
      </c>
      <c r="B58" s="165">
        <f>DATE(23,7,1)</f>
        <v>8583</v>
      </c>
      <c r="C58" s="226">
        <v>0</v>
      </c>
      <c r="D58" s="226">
        <v>0</v>
      </c>
      <c r="E58" s="226">
        <v>0</v>
      </c>
      <c r="F58" s="166">
        <v>0</v>
      </c>
      <c r="G58" s="241">
        <v>0</v>
      </c>
      <c r="H58" s="242">
        <v>0</v>
      </c>
    </row>
    <row r="59" spans="1:8" ht="15.75" x14ac:dyDescent="0.25">
      <c r="A59" s="164"/>
      <c r="B59" s="165">
        <f>DATE(23,8,1)</f>
        <v>8614</v>
      </c>
      <c r="C59" s="226">
        <v>0</v>
      </c>
      <c r="D59" s="226">
        <v>0</v>
      </c>
      <c r="E59" s="226">
        <v>0</v>
      </c>
      <c r="F59" s="166">
        <v>0</v>
      </c>
      <c r="G59" s="241">
        <v>0</v>
      </c>
      <c r="H59" s="242">
        <v>0</v>
      </c>
    </row>
    <row r="60" spans="1:8" ht="15.75" x14ac:dyDescent="0.25">
      <c r="A60" s="164"/>
      <c r="B60" s="165">
        <f>DATE(23,9,1)</f>
        <v>8645</v>
      </c>
      <c r="C60" s="226">
        <v>0</v>
      </c>
      <c r="D60" s="226">
        <v>0</v>
      </c>
      <c r="E60" s="226">
        <v>0</v>
      </c>
      <c r="F60" s="166">
        <v>0</v>
      </c>
      <c r="G60" s="241">
        <v>0</v>
      </c>
      <c r="H60" s="242">
        <v>0</v>
      </c>
    </row>
    <row r="61" spans="1:8" ht="16.5" thickBot="1" x14ac:dyDescent="0.3">
      <c r="A61" s="164"/>
      <c r="B61" s="165"/>
      <c r="C61" s="226"/>
      <c r="D61" s="226"/>
      <c r="E61" s="226"/>
      <c r="F61" s="166"/>
      <c r="G61" s="241"/>
      <c r="H61" s="242"/>
    </row>
    <row r="62" spans="1:8" ht="17.25" thickTop="1" thickBot="1" x14ac:dyDescent="0.3">
      <c r="A62" s="174" t="s">
        <v>14</v>
      </c>
      <c r="B62" s="181"/>
      <c r="C62" s="228">
        <f>SUM(C58:C61)</f>
        <v>0</v>
      </c>
      <c r="D62" s="228">
        <f>SUM(D58:D61)</f>
        <v>0</v>
      </c>
      <c r="E62" s="228">
        <f>SUM(E58:E61)</f>
        <v>0</v>
      </c>
      <c r="F62" s="176">
        <v>0</v>
      </c>
      <c r="G62" s="245">
        <v>0</v>
      </c>
      <c r="H62" s="246">
        <v>0</v>
      </c>
    </row>
    <row r="63" spans="1:8" ht="15.75" thickTop="1" x14ac:dyDescent="0.2">
      <c r="A63" s="171"/>
      <c r="B63" s="172"/>
      <c r="C63" s="227"/>
      <c r="D63" s="227"/>
      <c r="E63" s="227"/>
      <c r="F63" s="173"/>
      <c r="G63" s="243"/>
      <c r="H63" s="244"/>
    </row>
    <row r="64" spans="1:8" ht="15.75" x14ac:dyDescent="0.25">
      <c r="A64" s="164" t="s">
        <v>53</v>
      </c>
      <c r="B64" s="165">
        <f>DATE(23,7,1)</f>
        <v>8583</v>
      </c>
      <c r="C64" s="226">
        <v>0</v>
      </c>
      <c r="D64" s="226">
        <v>0</v>
      </c>
      <c r="E64" s="226">
        <v>0</v>
      </c>
      <c r="F64" s="166">
        <v>0</v>
      </c>
      <c r="G64" s="241">
        <v>0</v>
      </c>
      <c r="H64" s="242">
        <v>0</v>
      </c>
    </row>
    <row r="65" spans="1:8" ht="15.75" x14ac:dyDescent="0.25">
      <c r="A65" s="164"/>
      <c r="B65" s="165">
        <f>DATE(23,8,1)</f>
        <v>8614</v>
      </c>
      <c r="C65" s="226">
        <v>0</v>
      </c>
      <c r="D65" s="226">
        <v>0</v>
      </c>
      <c r="E65" s="226">
        <v>0</v>
      </c>
      <c r="F65" s="166">
        <v>0</v>
      </c>
      <c r="G65" s="241">
        <v>0</v>
      </c>
      <c r="H65" s="242">
        <v>0</v>
      </c>
    </row>
    <row r="66" spans="1:8" ht="15.75" x14ac:dyDescent="0.25">
      <c r="A66" s="164"/>
      <c r="B66" s="165">
        <f>DATE(23,9,1)</f>
        <v>8645</v>
      </c>
      <c r="C66" s="226">
        <v>0</v>
      </c>
      <c r="D66" s="226">
        <v>0</v>
      </c>
      <c r="E66" s="226">
        <v>0</v>
      </c>
      <c r="F66" s="166">
        <v>0</v>
      </c>
      <c r="G66" s="241">
        <v>0</v>
      </c>
      <c r="H66" s="242">
        <v>0</v>
      </c>
    </row>
    <row r="67" spans="1:8" ht="15.75" thickBot="1" x14ac:dyDescent="0.25">
      <c r="A67" s="167"/>
      <c r="B67" s="168"/>
      <c r="C67" s="226"/>
      <c r="D67" s="226"/>
      <c r="E67" s="226"/>
      <c r="F67" s="166"/>
      <c r="G67" s="241"/>
      <c r="H67" s="242"/>
    </row>
    <row r="68" spans="1:8" ht="17.25" thickTop="1" thickBot="1" x14ac:dyDescent="0.3">
      <c r="A68" s="174" t="s">
        <v>14</v>
      </c>
      <c r="B68" s="175"/>
      <c r="C68" s="228">
        <f>SUM(C64:C67)</f>
        <v>0</v>
      </c>
      <c r="D68" s="228">
        <f>SUM(D64:D67)</f>
        <v>0</v>
      </c>
      <c r="E68" s="228">
        <f>SUM(E64:E67)</f>
        <v>0</v>
      </c>
      <c r="F68" s="176">
        <v>0</v>
      </c>
      <c r="G68" s="245">
        <v>0</v>
      </c>
      <c r="H68" s="246">
        <v>0</v>
      </c>
    </row>
    <row r="69" spans="1:8" ht="15.75" thickTop="1" x14ac:dyDescent="0.2">
      <c r="A69" s="167"/>
      <c r="B69" s="168"/>
      <c r="C69" s="226"/>
      <c r="D69" s="226"/>
      <c r="E69" s="226"/>
      <c r="F69" s="166"/>
      <c r="G69" s="241"/>
      <c r="H69" s="242"/>
    </row>
    <row r="70" spans="1:8" ht="15.75" x14ac:dyDescent="0.25">
      <c r="A70" s="164" t="s">
        <v>54</v>
      </c>
      <c r="B70" s="165">
        <f>DATE(23,7,1)</f>
        <v>8583</v>
      </c>
      <c r="C70" s="226">
        <v>0</v>
      </c>
      <c r="D70" s="226">
        <v>0</v>
      </c>
      <c r="E70" s="226">
        <v>0</v>
      </c>
      <c r="F70" s="166">
        <v>0</v>
      </c>
      <c r="G70" s="241">
        <v>0</v>
      </c>
      <c r="H70" s="242">
        <v>0</v>
      </c>
    </row>
    <row r="71" spans="1:8" ht="15.75" x14ac:dyDescent="0.25">
      <c r="A71" s="164"/>
      <c r="B71" s="165">
        <f>DATE(23,8,1)</f>
        <v>8614</v>
      </c>
      <c r="C71" s="226">
        <v>0</v>
      </c>
      <c r="D71" s="226">
        <v>0</v>
      </c>
      <c r="E71" s="226">
        <v>0</v>
      </c>
      <c r="F71" s="166">
        <v>0</v>
      </c>
      <c r="G71" s="241">
        <v>0</v>
      </c>
      <c r="H71" s="242">
        <v>0</v>
      </c>
    </row>
    <row r="72" spans="1:8" ht="15.75" x14ac:dyDescent="0.25">
      <c r="A72" s="164"/>
      <c r="B72" s="165">
        <f>DATE(23,9,1)</f>
        <v>8645</v>
      </c>
      <c r="C72" s="226">
        <v>0</v>
      </c>
      <c r="D72" s="226">
        <v>0</v>
      </c>
      <c r="E72" s="226">
        <v>0</v>
      </c>
      <c r="F72" s="166">
        <v>0</v>
      </c>
      <c r="G72" s="241">
        <v>0</v>
      </c>
      <c r="H72" s="242">
        <v>0</v>
      </c>
    </row>
    <row r="73" spans="1:8" ht="15.75" thickBot="1" x14ac:dyDescent="0.25">
      <c r="A73" s="167"/>
      <c r="B73" s="168"/>
      <c r="C73" s="226"/>
      <c r="D73" s="226"/>
      <c r="E73" s="226"/>
      <c r="F73" s="166"/>
      <c r="G73" s="241"/>
      <c r="H73" s="242"/>
    </row>
    <row r="74" spans="1:8" ht="17.25" thickTop="1" thickBot="1" x14ac:dyDescent="0.3">
      <c r="A74" s="182" t="s">
        <v>14</v>
      </c>
      <c r="B74" s="183"/>
      <c r="C74" s="230">
        <f>SUM(C70:C73)</f>
        <v>0</v>
      </c>
      <c r="D74" s="230">
        <f>SUM(D70:D73)</f>
        <v>0</v>
      </c>
      <c r="E74" s="230">
        <f>SUM(E70:E73)</f>
        <v>0</v>
      </c>
      <c r="F74" s="176">
        <v>0</v>
      </c>
      <c r="G74" s="245">
        <v>0</v>
      </c>
      <c r="H74" s="246">
        <v>0</v>
      </c>
    </row>
    <row r="75" spans="1:8" ht="15.75" thickTop="1" x14ac:dyDescent="0.2">
      <c r="A75" s="167"/>
      <c r="B75" s="168"/>
      <c r="C75" s="226"/>
      <c r="D75" s="226"/>
      <c r="E75" s="226"/>
      <c r="F75" s="166"/>
      <c r="G75" s="241"/>
      <c r="H75" s="242"/>
    </row>
    <row r="76" spans="1:8" ht="15.75" x14ac:dyDescent="0.25">
      <c r="A76" s="164" t="s">
        <v>37</v>
      </c>
      <c r="B76" s="165">
        <f>DATE(23,7,1)</f>
        <v>8583</v>
      </c>
      <c r="C76" s="226">
        <v>3921585</v>
      </c>
      <c r="D76" s="226">
        <v>179389.2</v>
      </c>
      <c r="E76" s="226">
        <v>215844.68</v>
      </c>
      <c r="F76" s="166">
        <f>+(D76-E76)/E76</f>
        <v>-0.16889681969460624</v>
      </c>
      <c r="G76" s="241">
        <f>+D76/C76</f>
        <v>4.5744055018570304E-2</v>
      </c>
      <c r="H76" s="289">
        <f>1-G76</f>
        <v>0.95425594498142974</v>
      </c>
    </row>
    <row r="77" spans="1:8" ht="15.75" x14ac:dyDescent="0.25">
      <c r="A77" s="164"/>
      <c r="B77" s="165">
        <f>DATE(23,8,1)</f>
        <v>8614</v>
      </c>
      <c r="C77" s="226">
        <v>4810863</v>
      </c>
      <c r="D77" s="226">
        <v>198288.36</v>
      </c>
      <c r="E77" s="226">
        <v>222475.66</v>
      </c>
      <c r="F77" s="166">
        <f>+(D77-E77)/E77</f>
        <v>-0.10871885940241741</v>
      </c>
      <c r="G77" s="241">
        <f>+D77/C77</f>
        <v>4.1216796238013845E-2</v>
      </c>
      <c r="H77" s="289">
        <f>1-G77</f>
        <v>0.95878320376198611</v>
      </c>
    </row>
    <row r="78" spans="1:8" ht="15.75" x14ac:dyDescent="0.25">
      <c r="A78" s="164"/>
      <c r="B78" s="165">
        <f>DATE(23,9,1)</f>
        <v>8645</v>
      </c>
      <c r="C78" s="226">
        <v>4650603.5</v>
      </c>
      <c r="D78" s="226">
        <v>223122.42</v>
      </c>
      <c r="E78" s="226">
        <v>213180.35</v>
      </c>
      <c r="F78" s="166">
        <f>+(D78-E78)/E78</f>
        <v>4.6636896880974284E-2</v>
      </c>
      <c r="G78" s="241">
        <f>+D78/C78</f>
        <v>4.797708942506064E-2</v>
      </c>
      <c r="H78" s="289">
        <f>1-G78</f>
        <v>0.95202291057493937</v>
      </c>
    </row>
    <row r="79" spans="1:8" ht="15.75" thickBot="1" x14ac:dyDescent="0.25">
      <c r="A79" s="167"/>
      <c r="B79" s="168"/>
      <c r="C79" s="226"/>
      <c r="D79" s="226"/>
      <c r="E79" s="226"/>
      <c r="F79" s="166"/>
      <c r="G79" s="241"/>
      <c r="H79" s="242"/>
    </row>
    <row r="80" spans="1:8" ht="17.25" thickTop="1" thickBot="1" x14ac:dyDescent="0.3">
      <c r="A80" s="174" t="s">
        <v>14</v>
      </c>
      <c r="B80" s="175"/>
      <c r="C80" s="228">
        <f>SUM(C76:C79)</f>
        <v>13383051.5</v>
      </c>
      <c r="D80" s="228">
        <f>SUM(D76:D79)</f>
        <v>600799.98</v>
      </c>
      <c r="E80" s="228">
        <f>SUM(E76:E79)</f>
        <v>651500.68999999994</v>
      </c>
      <c r="F80" s="176">
        <f>+(D80-E80)/E80</f>
        <v>-7.7821421800796514E-2</v>
      </c>
      <c r="G80" s="245">
        <f>+D80/C80</f>
        <v>4.4892600166710858E-2</v>
      </c>
      <c r="H80" s="246">
        <f>1-G80</f>
        <v>0.95510739983328918</v>
      </c>
    </row>
    <row r="81" spans="1:8" ht="15.75" thickTop="1" x14ac:dyDescent="0.2">
      <c r="A81" s="167"/>
      <c r="B81" s="168"/>
      <c r="C81" s="226"/>
      <c r="D81" s="226"/>
      <c r="E81" s="226"/>
      <c r="F81" s="166"/>
      <c r="G81" s="241"/>
      <c r="H81" s="242"/>
    </row>
    <row r="82" spans="1:8" ht="15.75" x14ac:dyDescent="0.25">
      <c r="A82" s="164" t="s">
        <v>57</v>
      </c>
      <c r="B82" s="165">
        <f>DATE(23,7,1)</f>
        <v>8583</v>
      </c>
      <c r="C82" s="226">
        <v>0</v>
      </c>
      <c r="D82" s="226">
        <v>0</v>
      </c>
      <c r="E82" s="226">
        <v>0</v>
      </c>
      <c r="F82" s="166">
        <v>0</v>
      </c>
      <c r="G82" s="241">
        <v>0</v>
      </c>
      <c r="H82" s="242">
        <v>0</v>
      </c>
    </row>
    <row r="83" spans="1:8" ht="15.75" x14ac:dyDescent="0.25">
      <c r="A83" s="164"/>
      <c r="B83" s="165">
        <f>DATE(23,8,1)</f>
        <v>8614</v>
      </c>
      <c r="C83" s="226">
        <v>0</v>
      </c>
      <c r="D83" s="226">
        <v>0</v>
      </c>
      <c r="E83" s="226">
        <v>0</v>
      </c>
      <c r="F83" s="166">
        <v>0</v>
      </c>
      <c r="G83" s="241">
        <v>0</v>
      </c>
      <c r="H83" s="242">
        <v>0</v>
      </c>
    </row>
    <row r="84" spans="1:8" ht="15.75" x14ac:dyDescent="0.25">
      <c r="A84" s="164"/>
      <c r="B84" s="165">
        <f>DATE(23,9,1)</f>
        <v>8645</v>
      </c>
      <c r="C84" s="226">
        <v>0</v>
      </c>
      <c r="D84" s="226">
        <v>0</v>
      </c>
      <c r="E84" s="226">
        <v>0</v>
      </c>
      <c r="F84" s="166">
        <v>0</v>
      </c>
      <c r="G84" s="241">
        <v>0</v>
      </c>
      <c r="H84" s="242">
        <v>0</v>
      </c>
    </row>
    <row r="85" spans="1:8" ht="15.75" thickBot="1" x14ac:dyDescent="0.25">
      <c r="A85" s="167"/>
      <c r="B85" s="168"/>
      <c r="C85" s="226"/>
      <c r="D85" s="226"/>
      <c r="E85" s="226"/>
      <c r="F85" s="166"/>
      <c r="G85" s="241"/>
      <c r="H85" s="242"/>
    </row>
    <row r="86" spans="1:8" ht="17.25" thickTop="1" thickBot="1" x14ac:dyDescent="0.3">
      <c r="A86" s="169" t="s">
        <v>14</v>
      </c>
      <c r="B86" s="155"/>
      <c r="C86" s="223">
        <f>SUM(C82:C85)</f>
        <v>0</v>
      </c>
      <c r="D86" s="223">
        <f>SUM(D82:D85)</f>
        <v>0</v>
      </c>
      <c r="E86" s="223">
        <f>SUM(E82:E85)</f>
        <v>0</v>
      </c>
      <c r="F86" s="176">
        <v>0</v>
      </c>
      <c r="G86" s="245">
        <v>0</v>
      </c>
      <c r="H86" s="246">
        <v>0</v>
      </c>
    </row>
    <row r="87" spans="1:8" ht="16.5" thickTop="1" thickBot="1" x14ac:dyDescent="0.25">
      <c r="A87" s="171"/>
      <c r="B87" s="172"/>
      <c r="C87" s="227"/>
      <c r="D87" s="227"/>
      <c r="E87" s="227"/>
      <c r="F87" s="173"/>
      <c r="G87" s="243"/>
      <c r="H87" s="244"/>
    </row>
    <row r="88" spans="1:8" ht="17.25" thickTop="1" thickBot="1" x14ac:dyDescent="0.3">
      <c r="A88" s="184" t="s">
        <v>38</v>
      </c>
      <c r="B88" s="155"/>
      <c r="C88" s="223">
        <f>C86+C80+C62+C50+C38+C26+C14+C32+C74+C20+C56+C68+C44</f>
        <v>13383051.5</v>
      </c>
      <c r="D88" s="223">
        <f>D86+D80+D62+D50+D38+D26+D14+D32+D74+D20+D56+D68+D44</f>
        <v>600799.98</v>
      </c>
      <c r="E88" s="223">
        <f>E86+E80+E62+E50+E38+E26+E14+E32+E74+E20+E56+E68+E44</f>
        <v>1440334.43</v>
      </c>
      <c r="F88" s="176">
        <f>+(D88-E88)/E88</f>
        <v>-0.5828746661287546</v>
      </c>
      <c r="G88" s="236">
        <f>D88/C88</f>
        <v>4.4892600166710858E-2</v>
      </c>
      <c r="H88" s="237">
        <f>1-G88</f>
        <v>0.95510739983328918</v>
      </c>
    </row>
    <row r="89" spans="1:8" ht="17.25" thickTop="1" thickBot="1" x14ac:dyDescent="0.3">
      <c r="A89" s="184"/>
      <c r="B89" s="155"/>
      <c r="C89" s="223"/>
      <c r="D89" s="223"/>
      <c r="E89" s="223"/>
      <c r="F89" s="170"/>
      <c r="G89" s="236"/>
      <c r="H89" s="237"/>
    </row>
    <row r="90" spans="1:8" ht="17.25" thickTop="1" thickBot="1" x14ac:dyDescent="0.3">
      <c r="A90" s="184" t="s">
        <v>39</v>
      </c>
      <c r="B90" s="155"/>
      <c r="C90" s="223">
        <f>+C12+C18+C24+C30+C36+C42+C48+C54+C60+C66+C72+C78+C84</f>
        <v>4650603.5</v>
      </c>
      <c r="D90" s="223">
        <f>+D12+D18+D24+D30+D36+D42+D48+D54+D60+D66+D72+D78+D84</f>
        <v>223122.42</v>
      </c>
      <c r="E90" s="223">
        <f>+E12+E18+E24+E30+E36+E42+E48+E54+E60+E66+E72+E78+E84</f>
        <v>445805.03</v>
      </c>
      <c r="F90" s="176">
        <f>+(D90-E90)/E90</f>
        <v>-0.4995067238249869</v>
      </c>
      <c r="G90" s="236">
        <f>D90/C90</f>
        <v>4.797708942506064E-2</v>
      </c>
      <c r="H90" s="246">
        <f>1-G90</f>
        <v>0.95202291057493937</v>
      </c>
    </row>
    <row r="91" spans="1:8" ht="16.5" thickTop="1" x14ac:dyDescent="0.25">
      <c r="A91" s="185"/>
      <c r="B91" s="186"/>
      <c r="C91" s="231"/>
      <c r="D91" s="231"/>
      <c r="E91" s="231"/>
      <c r="F91" s="187"/>
      <c r="G91" s="250"/>
      <c r="H91" s="250"/>
    </row>
    <row r="92" spans="1:8" ht="18.75" x14ac:dyDescent="0.3">
      <c r="A92" s="188" t="s">
        <v>49</v>
      </c>
      <c r="B92" s="189"/>
      <c r="C92" s="232"/>
      <c r="D92" s="232"/>
      <c r="E92" s="232"/>
      <c r="F92" s="190"/>
      <c r="G92" s="251"/>
      <c r="H92" s="251"/>
    </row>
    <row r="93" spans="1:8" ht="15.75" x14ac:dyDescent="0.25">
      <c r="A93" s="191"/>
      <c r="B93" s="189"/>
      <c r="C93" s="232"/>
      <c r="D93" s="232"/>
      <c r="E93" s="232"/>
      <c r="F93" s="190"/>
      <c r="G93" s="257"/>
      <c r="H93" s="257"/>
    </row>
  </sheetData>
  <printOptions horizontalCentered="1"/>
  <pageMargins left="0.7" right="0.45" top="0.25" bottom="0.25" header="0.3" footer="0.3"/>
  <pageSetup scale="56" orientation="landscape" r:id="rId1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94"/>
  <sheetViews>
    <sheetView showOutlineSymbols="0" zoomScaleNormal="100" workbookViewId="0">
      <selection activeCell="A10" sqref="A10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76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79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DATE(23,7,1)</f>
        <v>8583</v>
      </c>
      <c r="C10" s="226">
        <v>130294533.33</v>
      </c>
      <c r="D10" s="226">
        <v>12225071.779999999</v>
      </c>
      <c r="E10" s="226">
        <v>12857023.68</v>
      </c>
      <c r="F10" s="166">
        <f>(+D10-E10)/E10</f>
        <v>-4.915227005321969E-2</v>
      </c>
      <c r="G10" s="241">
        <f>D10/C10</f>
        <v>9.3826436670503097E-2</v>
      </c>
      <c r="H10" s="242">
        <f>1-G10</f>
        <v>0.90617356332949694</v>
      </c>
      <c r="I10" s="157"/>
    </row>
    <row r="11" spans="1:9" ht="15.75" x14ac:dyDescent="0.25">
      <c r="A11" s="164"/>
      <c r="B11" s="165">
        <f>DATE(23,8,1)</f>
        <v>8614</v>
      </c>
      <c r="C11" s="226">
        <v>121966832.73999999</v>
      </c>
      <c r="D11" s="226">
        <v>11145204.02</v>
      </c>
      <c r="E11" s="226">
        <v>11827521.810000001</v>
      </c>
      <c r="F11" s="166">
        <f>(+D11-E11)/E11</f>
        <v>-5.7688990217977111E-2</v>
      </c>
      <c r="G11" s="241">
        <f>D11/C11</f>
        <v>9.1378973853970064E-2</v>
      </c>
      <c r="H11" s="242">
        <f>1-G11</f>
        <v>0.90862102614602991</v>
      </c>
      <c r="I11" s="157"/>
    </row>
    <row r="12" spans="1:9" ht="15.75" x14ac:dyDescent="0.25">
      <c r="A12" s="164"/>
      <c r="B12" s="165">
        <f>DATE(23,9,1)</f>
        <v>8645</v>
      </c>
      <c r="C12" s="226">
        <v>119569753.25</v>
      </c>
      <c r="D12" s="226">
        <v>10888864.68</v>
      </c>
      <c r="E12" s="226">
        <v>11779242.130000001</v>
      </c>
      <c r="F12" s="166">
        <f>(+D12-E12)/E12</f>
        <v>-7.5588687300377363E-2</v>
      </c>
      <c r="G12" s="241">
        <f>D12/C12</f>
        <v>9.1067049851923987E-2</v>
      </c>
      <c r="H12" s="242">
        <f>1-G12</f>
        <v>0.90893295014807607</v>
      </c>
      <c r="I12" s="157"/>
    </row>
    <row r="13" spans="1:9" ht="15.75" thickBot="1" x14ac:dyDescent="0.25">
      <c r="A13" s="167"/>
      <c r="B13" s="168"/>
      <c r="C13" s="226"/>
      <c r="D13" s="226"/>
      <c r="E13" s="226"/>
      <c r="F13" s="166"/>
      <c r="G13" s="241"/>
      <c r="H13" s="242"/>
      <c r="I13" s="157"/>
    </row>
    <row r="14" spans="1:9" ht="17.25" thickTop="1" thickBot="1" x14ac:dyDescent="0.3">
      <c r="A14" s="169" t="s">
        <v>14</v>
      </c>
      <c r="B14" s="155"/>
      <c r="C14" s="223">
        <f>SUM(C10:C13)</f>
        <v>371831119.31999999</v>
      </c>
      <c r="D14" s="223">
        <f>SUM(D10:D13)</f>
        <v>34259140.479999997</v>
      </c>
      <c r="E14" s="223">
        <f>SUM(E10:E13)</f>
        <v>36463787.620000005</v>
      </c>
      <c r="F14" s="170">
        <f>(+D14-E14)/E14</f>
        <v>-6.046127634834024E-2</v>
      </c>
      <c r="G14" s="236">
        <f>D14/C14</f>
        <v>9.2136291719350102E-2</v>
      </c>
      <c r="H14" s="237">
        <f>1-G14</f>
        <v>0.90786370828064988</v>
      </c>
      <c r="I14" s="157"/>
    </row>
    <row r="15" spans="1:9" ht="15.75" thickTop="1" x14ac:dyDescent="0.2">
      <c r="A15" s="171"/>
      <c r="B15" s="172"/>
      <c r="C15" s="227"/>
      <c r="D15" s="227"/>
      <c r="E15" s="227"/>
      <c r="F15" s="173"/>
      <c r="G15" s="243"/>
      <c r="H15" s="244"/>
      <c r="I15" s="157"/>
    </row>
    <row r="16" spans="1:9" ht="15.75" x14ac:dyDescent="0.25">
      <c r="A16" s="19" t="s">
        <v>48</v>
      </c>
      <c r="B16" s="165">
        <f>DATE(23,7,1)</f>
        <v>8583</v>
      </c>
      <c r="C16" s="226">
        <v>75800127.310000002</v>
      </c>
      <c r="D16" s="226">
        <v>7585441.2699999996</v>
      </c>
      <c r="E16" s="226">
        <v>7757914.71</v>
      </c>
      <c r="F16" s="166">
        <f>(+D16-E16)/E16</f>
        <v>-2.2231932993241221E-2</v>
      </c>
      <c r="G16" s="241">
        <f>D16/C16</f>
        <v>0.10007161648921509</v>
      </c>
      <c r="H16" s="242">
        <f>1-G16</f>
        <v>0.89992838351078497</v>
      </c>
      <c r="I16" s="157"/>
    </row>
    <row r="17" spans="1:9" ht="15.75" x14ac:dyDescent="0.25">
      <c r="A17" s="19"/>
      <c r="B17" s="165">
        <f>DATE(23,8,1)</f>
        <v>8614</v>
      </c>
      <c r="C17" s="226">
        <v>70452827.459999993</v>
      </c>
      <c r="D17" s="226">
        <v>7113779.0899999999</v>
      </c>
      <c r="E17" s="226">
        <v>6870200.0300000003</v>
      </c>
      <c r="F17" s="166">
        <f>(+D17-E17)/E17</f>
        <v>3.5454434941685327E-2</v>
      </c>
      <c r="G17" s="241">
        <f>D17/C17</f>
        <v>0.10097222988018316</v>
      </c>
      <c r="H17" s="242">
        <f>1-G17</f>
        <v>0.89902777011981683</v>
      </c>
      <c r="I17" s="157"/>
    </row>
    <row r="18" spans="1:9" ht="15.75" x14ac:dyDescent="0.25">
      <c r="A18" s="19"/>
      <c r="B18" s="165">
        <f>DATE(23,9,1)</f>
        <v>8645</v>
      </c>
      <c r="C18" s="226">
        <v>66505879.869999997</v>
      </c>
      <c r="D18" s="226">
        <v>6608716.9299999997</v>
      </c>
      <c r="E18" s="226">
        <v>7013550.54</v>
      </c>
      <c r="F18" s="166">
        <f>(+D18-E18)/E18</f>
        <v>-5.7721635809300141E-2</v>
      </c>
      <c r="G18" s="241">
        <f>D18/C18</f>
        <v>9.9370415712387444E-2</v>
      </c>
      <c r="H18" s="242">
        <f>1-G18</f>
        <v>0.90062958428761253</v>
      </c>
      <c r="I18" s="157"/>
    </row>
    <row r="19" spans="1:9" ht="15.75" thickBot="1" x14ac:dyDescent="0.25">
      <c r="A19" s="167"/>
      <c r="B19" s="165"/>
      <c r="C19" s="226"/>
      <c r="D19" s="226"/>
      <c r="E19" s="226"/>
      <c r="F19" s="166"/>
      <c r="G19" s="241"/>
      <c r="H19" s="242"/>
      <c r="I19" s="157"/>
    </row>
    <row r="20" spans="1:9" ht="17.25" thickTop="1" thickBot="1" x14ac:dyDescent="0.3">
      <c r="A20" s="169" t="s">
        <v>14</v>
      </c>
      <c r="B20" s="155"/>
      <c r="C20" s="223">
        <f>SUM(C16:C19)</f>
        <v>212758834.63999999</v>
      </c>
      <c r="D20" s="223">
        <f>SUM(D16:D19)</f>
        <v>21307937.289999999</v>
      </c>
      <c r="E20" s="223">
        <f>SUM(E16:E19)</f>
        <v>21641665.280000001</v>
      </c>
      <c r="F20" s="170">
        <f>(+D20-E20)/E20</f>
        <v>-1.5420624322676987E-2</v>
      </c>
      <c r="G20" s="236">
        <f>D20/C20</f>
        <v>0.10015065802580767</v>
      </c>
      <c r="H20" s="237">
        <f>1-G20</f>
        <v>0.89984934197419231</v>
      </c>
      <c r="I20" s="157"/>
    </row>
    <row r="21" spans="1:9" ht="15.75" thickTop="1" x14ac:dyDescent="0.2">
      <c r="A21" s="171"/>
      <c r="B21" s="172"/>
      <c r="C21" s="227"/>
      <c r="D21" s="227"/>
      <c r="E21" s="227"/>
      <c r="F21" s="173"/>
      <c r="G21" s="243"/>
      <c r="H21" s="244"/>
      <c r="I21" s="157"/>
    </row>
    <row r="22" spans="1:9" ht="15.75" x14ac:dyDescent="0.25">
      <c r="A22" s="19" t="s">
        <v>62</v>
      </c>
      <c r="B22" s="165">
        <f>DATE(23,7,1)</f>
        <v>8583</v>
      </c>
      <c r="C22" s="226">
        <v>37126873.899999999</v>
      </c>
      <c r="D22" s="226">
        <v>3728602.99</v>
      </c>
      <c r="E22" s="226">
        <v>3537425.2</v>
      </c>
      <c r="F22" s="166">
        <f>(+D22-E22)/E22</f>
        <v>5.4044334280199065E-2</v>
      </c>
      <c r="G22" s="241">
        <f>D22/C22</f>
        <v>0.10042868139242933</v>
      </c>
      <c r="H22" s="242">
        <f>1-G22</f>
        <v>0.89957131860757067</v>
      </c>
      <c r="I22" s="157"/>
    </row>
    <row r="23" spans="1:9" ht="15.75" x14ac:dyDescent="0.25">
      <c r="A23" s="19"/>
      <c r="B23" s="165">
        <f>DATE(23,8,1)</f>
        <v>8614</v>
      </c>
      <c r="C23" s="226">
        <v>33173547.440000001</v>
      </c>
      <c r="D23" s="226">
        <v>3492885.71</v>
      </c>
      <c r="E23" s="226">
        <v>3224518.01</v>
      </c>
      <c r="F23" s="166">
        <f>(+D23-E23)/E23</f>
        <v>8.3227229361947402E-2</v>
      </c>
      <c r="G23" s="241">
        <f>D23/C23</f>
        <v>0.10529129320032708</v>
      </c>
      <c r="H23" s="242">
        <f>1-G23</f>
        <v>0.89470870679967296</v>
      </c>
      <c r="I23" s="157"/>
    </row>
    <row r="24" spans="1:9" ht="15.75" x14ac:dyDescent="0.25">
      <c r="A24" s="19"/>
      <c r="B24" s="165">
        <f>DATE(23,9,1)</f>
        <v>8645</v>
      </c>
      <c r="C24" s="226">
        <v>34343922.799999997</v>
      </c>
      <c r="D24" s="226">
        <v>3669671.06</v>
      </c>
      <c r="E24" s="226">
        <v>3285954.25</v>
      </c>
      <c r="F24" s="166">
        <f>(+D24-E24)/E24</f>
        <v>0.11677484858469958</v>
      </c>
      <c r="G24" s="241">
        <f>D24/C24</f>
        <v>0.10685066704144817</v>
      </c>
      <c r="H24" s="242">
        <f>1-G24</f>
        <v>0.89314933295855181</v>
      </c>
      <c r="I24" s="157"/>
    </row>
    <row r="25" spans="1:9" ht="15.75" thickBot="1" x14ac:dyDescent="0.25">
      <c r="A25" s="167"/>
      <c r="B25" s="165"/>
      <c r="C25" s="226"/>
      <c r="D25" s="226"/>
      <c r="E25" s="226"/>
      <c r="F25" s="166"/>
      <c r="G25" s="241"/>
      <c r="H25" s="242"/>
      <c r="I25" s="157"/>
    </row>
    <row r="26" spans="1:9" ht="17.25" thickTop="1" thickBot="1" x14ac:dyDescent="0.3">
      <c r="A26" s="174" t="s">
        <v>14</v>
      </c>
      <c r="B26" s="175"/>
      <c r="C26" s="228">
        <f>SUM(C22:C25)</f>
        <v>104644344.14</v>
      </c>
      <c r="D26" s="228">
        <f>SUM(D22:D25)</f>
        <v>10891159.76</v>
      </c>
      <c r="E26" s="228">
        <f>SUM(E22:E25)</f>
        <v>10047897.460000001</v>
      </c>
      <c r="F26" s="176">
        <f>(+D26-E26)/E26</f>
        <v>8.3924254139432553E-2</v>
      </c>
      <c r="G26" s="245">
        <f>D26/C26</f>
        <v>0.10407786344791935</v>
      </c>
      <c r="H26" s="246">
        <f>1-G26</f>
        <v>0.89592213655208064</v>
      </c>
      <c r="I26" s="157"/>
    </row>
    <row r="27" spans="1:9" ht="15.75" thickTop="1" x14ac:dyDescent="0.2">
      <c r="A27" s="167"/>
      <c r="B27" s="168"/>
      <c r="C27" s="226"/>
      <c r="D27" s="226"/>
      <c r="E27" s="226"/>
      <c r="F27" s="166"/>
      <c r="G27" s="241"/>
      <c r="H27" s="242"/>
      <c r="I27" s="157"/>
    </row>
    <row r="28" spans="1:9" ht="15.75" x14ac:dyDescent="0.25">
      <c r="A28" s="177" t="s">
        <v>58</v>
      </c>
      <c r="B28" s="165">
        <f>DATE(23,7,1)</f>
        <v>8583</v>
      </c>
      <c r="C28" s="226">
        <v>203652069.36000001</v>
      </c>
      <c r="D28" s="226">
        <v>18456668.579999998</v>
      </c>
      <c r="E28" s="226">
        <v>17880290.199999999</v>
      </c>
      <c r="F28" s="166">
        <f>(+D28-E28)/E28</f>
        <v>3.2235404098754444E-2</v>
      </c>
      <c r="G28" s="241">
        <f>D28/C28</f>
        <v>9.0628436224597153E-2</v>
      </c>
      <c r="H28" s="242">
        <f>1-G28</f>
        <v>0.90937156377540285</v>
      </c>
      <c r="I28" s="157"/>
    </row>
    <row r="29" spans="1:9" ht="15.75" x14ac:dyDescent="0.25">
      <c r="A29" s="177"/>
      <c r="B29" s="165">
        <f>DATE(23,8,1)</f>
        <v>8614</v>
      </c>
      <c r="C29" s="226">
        <v>191968973.33000001</v>
      </c>
      <c r="D29" s="226">
        <v>17397451.300000001</v>
      </c>
      <c r="E29" s="226">
        <v>17060867.379999999</v>
      </c>
      <c r="F29" s="166">
        <f>(+D29-E29)/E29</f>
        <v>1.9728417817406526E-2</v>
      </c>
      <c r="G29" s="241">
        <f>D29/C29</f>
        <v>9.0626370492138314E-2</v>
      </c>
      <c r="H29" s="242">
        <f>1-G29</f>
        <v>0.90937362950786171</v>
      </c>
      <c r="I29" s="157"/>
    </row>
    <row r="30" spans="1:9" ht="15.75" x14ac:dyDescent="0.25">
      <c r="A30" s="177"/>
      <c r="B30" s="165">
        <f>DATE(23,9,1)</f>
        <v>8645</v>
      </c>
      <c r="C30" s="226">
        <v>188961524.24000001</v>
      </c>
      <c r="D30" s="226">
        <v>17402399.579999998</v>
      </c>
      <c r="E30" s="226">
        <v>17061917.539999999</v>
      </c>
      <c r="F30" s="166">
        <f>(+D30-E30)/E30</f>
        <v>1.9955672579109133E-2</v>
      </c>
      <c r="G30" s="241">
        <f>D30/C30</f>
        <v>9.2094936522089083E-2</v>
      </c>
      <c r="H30" s="242">
        <f>1-G30</f>
        <v>0.90790506347791089</v>
      </c>
      <c r="I30" s="157"/>
    </row>
    <row r="31" spans="1:9" ht="15.75" thickBot="1" x14ac:dyDescent="0.25">
      <c r="A31" s="167"/>
      <c r="B31" s="168"/>
      <c r="C31" s="226"/>
      <c r="D31" s="226"/>
      <c r="E31" s="226"/>
      <c r="F31" s="166"/>
      <c r="G31" s="241"/>
      <c r="H31" s="242"/>
      <c r="I31" s="157"/>
    </row>
    <row r="32" spans="1:9" ht="17.25" thickTop="1" thickBot="1" x14ac:dyDescent="0.3">
      <c r="A32" s="174" t="s">
        <v>14</v>
      </c>
      <c r="B32" s="178"/>
      <c r="C32" s="228">
        <f>SUM(C28:C31)</f>
        <v>584582566.93000007</v>
      </c>
      <c r="D32" s="228">
        <f>SUM(D28:D31)</f>
        <v>53256519.459999993</v>
      </c>
      <c r="E32" s="228">
        <f>SUM(E28:E31)</f>
        <v>52003075.119999997</v>
      </c>
      <c r="F32" s="176">
        <f>(+D32-E32)/E32</f>
        <v>2.4103273452725699E-2</v>
      </c>
      <c r="G32" s="245">
        <f>D32/C32</f>
        <v>9.1101792069651494E-2</v>
      </c>
      <c r="H32" s="246">
        <f>1-G32</f>
        <v>0.90889820793034848</v>
      </c>
      <c r="I32" s="157"/>
    </row>
    <row r="33" spans="1:9" ht="15.75" thickTop="1" x14ac:dyDescent="0.2">
      <c r="A33" s="167"/>
      <c r="B33" s="168"/>
      <c r="C33" s="226"/>
      <c r="D33" s="226"/>
      <c r="E33" s="226"/>
      <c r="F33" s="166"/>
      <c r="G33" s="241"/>
      <c r="H33" s="242"/>
      <c r="I33" s="157"/>
    </row>
    <row r="34" spans="1:9" ht="15.75" x14ac:dyDescent="0.25">
      <c r="A34" s="164" t="s">
        <v>60</v>
      </c>
      <c r="B34" s="165">
        <f>DATE(23,7,1)</f>
        <v>8583</v>
      </c>
      <c r="C34" s="226">
        <v>121881486.05</v>
      </c>
      <c r="D34" s="226">
        <v>12067335.59</v>
      </c>
      <c r="E34" s="226">
        <v>11877741.560000001</v>
      </c>
      <c r="F34" s="166">
        <f>(+D34-E34)/E34</f>
        <v>1.5962127904725964E-2</v>
      </c>
      <c r="G34" s="241">
        <f>D34/C34</f>
        <v>9.9008766475406795E-2</v>
      </c>
      <c r="H34" s="242">
        <f>1-G34</f>
        <v>0.9009912335245932</v>
      </c>
      <c r="I34" s="157"/>
    </row>
    <row r="35" spans="1:9" ht="15.75" x14ac:dyDescent="0.25">
      <c r="A35" s="164"/>
      <c r="B35" s="165">
        <f>DATE(23,8,1)</f>
        <v>8614</v>
      </c>
      <c r="C35" s="226">
        <v>115554383.93000001</v>
      </c>
      <c r="D35" s="226">
        <v>10973674.99</v>
      </c>
      <c r="E35" s="226">
        <v>11399779.33</v>
      </c>
      <c r="F35" s="166">
        <f>(+D35-E35)/E35</f>
        <v>-3.7378297216565493E-2</v>
      </c>
      <c r="G35" s="241">
        <f>D35/C35</f>
        <v>9.4965457966939462E-2</v>
      </c>
      <c r="H35" s="242">
        <f>1-G35</f>
        <v>0.90503454203306055</v>
      </c>
      <c r="I35" s="157"/>
    </row>
    <row r="36" spans="1:9" ht="15.75" x14ac:dyDescent="0.25">
      <c r="A36" s="164"/>
      <c r="B36" s="165">
        <f>DATE(23,9,1)</f>
        <v>8645</v>
      </c>
      <c r="C36" s="226">
        <v>112575369.23999999</v>
      </c>
      <c r="D36" s="226">
        <v>10801103.67</v>
      </c>
      <c r="E36" s="226">
        <v>10069352.810000001</v>
      </c>
      <c r="F36" s="166">
        <f>(+D36-E36)/E36</f>
        <v>7.2671091559458362E-2</v>
      </c>
      <c r="G36" s="241">
        <f>D36/C36</f>
        <v>9.5945531806101145E-2</v>
      </c>
      <c r="H36" s="242">
        <f>1-G36</f>
        <v>0.9040544681938989</v>
      </c>
      <c r="I36" s="157"/>
    </row>
    <row r="37" spans="1:9" ht="15.75" thickBot="1" x14ac:dyDescent="0.25">
      <c r="A37" s="167"/>
      <c r="B37" s="165"/>
      <c r="C37" s="226"/>
      <c r="D37" s="226"/>
      <c r="E37" s="226"/>
      <c r="F37" s="166"/>
      <c r="G37" s="241"/>
      <c r="H37" s="242"/>
      <c r="I37" s="157"/>
    </row>
    <row r="38" spans="1:9" ht="17.25" thickTop="1" thickBot="1" x14ac:dyDescent="0.3">
      <c r="A38" s="174" t="s">
        <v>14</v>
      </c>
      <c r="B38" s="175"/>
      <c r="C38" s="228">
        <f>SUM(C34:C37)</f>
        <v>350011239.22000003</v>
      </c>
      <c r="D38" s="230">
        <f>SUM(D34:D37)</f>
        <v>33842114.25</v>
      </c>
      <c r="E38" s="271">
        <f>SUM(E34:E37)</f>
        <v>33346873.700000003</v>
      </c>
      <c r="F38" s="272">
        <f>(+D38-E38)/E38</f>
        <v>1.4851183785783102E-2</v>
      </c>
      <c r="G38" s="249">
        <f>D38/C38</f>
        <v>9.6688650128541997E-2</v>
      </c>
      <c r="H38" s="270">
        <f>1-G38</f>
        <v>0.903311349871458</v>
      </c>
      <c r="I38" s="157"/>
    </row>
    <row r="39" spans="1:9" ht="15.75" thickTop="1" x14ac:dyDescent="0.2">
      <c r="A39" s="167"/>
      <c r="B39" s="168"/>
      <c r="C39" s="226"/>
      <c r="D39" s="226"/>
      <c r="E39" s="226"/>
      <c r="F39" s="166"/>
      <c r="G39" s="241"/>
      <c r="H39" s="242"/>
      <c r="I39" s="157"/>
    </row>
    <row r="40" spans="1:9" ht="15.75" x14ac:dyDescent="0.25">
      <c r="A40" s="164" t="s">
        <v>64</v>
      </c>
      <c r="B40" s="165">
        <f>DATE(23,7,1)</f>
        <v>8583</v>
      </c>
      <c r="C40" s="226">
        <v>53239780.990000002</v>
      </c>
      <c r="D40" s="226">
        <v>5575819.8300000001</v>
      </c>
      <c r="E40" s="226">
        <v>5559220.0999999996</v>
      </c>
      <c r="F40" s="166">
        <f>(+D40-E40)/E40</f>
        <v>2.9859817926619686E-3</v>
      </c>
      <c r="G40" s="241">
        <f>D40/C40</f>
        <v>0.10473032995848167</v>
      </c>
      <c r="H40" s="242">
        <f>1-G40</f>
        <v>0.89526967004151836</v>
      </c>
      <c r="I40" s="157"/>
    </row>
    <row r="41" spans="1:9" ht="15.75" x14ac:dyDescent="0.25">
      <c r="A41" s="164"/>
      <c r="B41" s="165">
        <f>DATE(23,8,1)</f>
        <v>8614</v>
      </c>
      <c r="C41" s="226">
        <v>49967048.579999998</v>
      </c>
      <c r="D41" s="226">
        <v>5122977.68</v>
      </c>
      <c r="E41" s="226">
        <v>4834999.09</v>
      </c>
      <c r="F41" s="166">
        <f>(+D41-E41)/E41</f>
        <v>5.9561250093223876E-2</v>
      </c>
      <c r="G41" s="241">
        <f>D41/C41</f>
        <v>0.10252712188509254</v>
      </c>
      <c r="H41" s="242">
        <f>1-G41</f>
        <v>0.8974728781149075</v>
      </c>
      <c r="I41" s="157"/>
    </row>
    <row r="42" spans="1:9" ht="15.75" x14ac:dyDescent="0.25">
      <c r="A42" s="164"/>
      <c r="B42" s="165">
        <f>DATE(23,9,1)</f>
        <v>8645</v>
      </c>
      <c r="C42" s="226">
        <v>48479872.609999999</v>
      </c>
      <c r="D42" s="226">
        <v>4693957.13</v>
      </c>
      <c r="E42" s="226">
        <v>4841899.8</v>
      </c>
      <c r="F42" s="166">
        <f>(+D42-E42)/E42</f>
        <v>-3.0554674014526266E-2</v>
      </c>
      <c r="G42" s="241">
        <f>D42/C42</f>
        <v>9.6822802480544715E-2</v>
      </c>
      <c r="H42" s="242">
        <f>1-G42</f>
        <v>0.90317719751945524</v>
      </c>
      <c r="I42" s="157"/>
    </row>
    <row r="43" spans="1:9" ht="15.75" thickBot="1" x14ac:dyDescent="0.25">
      <c r="A43" s="167"/>
      <c r="B43" s="165"/>
      <c r="C43" s="226"/>
      <c r="D43" s="226"/>
      <c r="E43" s="226"/>
      <c r="F43" s="166"/>
      <c r="G43" s="241"/>
      <c r="H43" s="242"/>
      <c r="I43" s="157"/>
    </row>
    <row r="44" spans="1:9" ht="17.25" thickTop="1" thickBot="1" x14ac:dyDescent="0.3">
      <c r="A44" s="174" t="s">
        <v>14</v>
      </c>
      <c r="B44" s="175"/>
      <c r="C44" s="228">
        <f>SUM(C40:C43)</f>
        <v>151686702.18000001</v>
      </c>
      <c r="D44" s="230">
        <f>SUM(D40:D43)</f>
        <v>15392754.640000001</v>
      </c>
      <c r="E44" s="271">
        <f>SUM(E40:E43)</f>
        <v>15236118.989999998</v>
      </c>
      <c r="F44" s="272">
        <f>(+D44-E44)/E44</f>
        <v>1.028054782867E-2</v>
      </c>
      <c r="G44" s="249">
        <f>D44/C44</f>
        <v>0.10147728455282842</v>
      </c>
      <c r="H44" s="270">
        <f>1-G44</f>
        <v>0.89852271544717155</v>
      </c>
      <c r="I44" s="157"/>
    </row>
    <row r="45" spans="1:9" ht="15.75" thickTop="1" x14ac:dyDescent="0.2">
      <c r="A45" s="167"/>
      <c r="B45" s="168"/>
      <c r="C45" s="226"/>
      <c r="D45" s="226"/>
      <c r="E45" s="226"/>
      <c r="F45" s="166"/>
      <c r="G45" s="241"/>
      <c r="H45" s="242"/>
      <c r="I45" s="157"/>
    </row>
    <row r="46" spans="1:9" ht="15.75" x14ac:dyDescent="0.25">
      <c r="A46" s="290" t="s">
        <v>67</v>
      </c>
      <c r="B46" s="165">
        <f>DATE(23,7,1)</f>
        <v>8583</v>
      </c>
      <c r="C46" s="226">
        <v>89298695.370000005</v>
      </c>
      <c r="D46" s="226">
        <v>9977929.8800000008</v>
      </c>
      <c r="E46" s="226">
        <v>9654928.8200000003</v>
      </c>
      <c r="F46" s="166">
        <f>(+D46-E46)/E46</f>
        <v>3.3454525250451353E-2</v>
      </c>
      <c r="G46" s="241">
        <f>D46/C46</f>
        <v>0.11173656948354586</v>
      </c>
      <c r="H46" s="242">
        <f>1-G46</f>
        <v>0.88826343051645418</v>
      </c>
      <c r="I46" s="157"/>
    </row>
    <row r="47" spans="1:9" ht="15.75" x14ac:dyDescent="0.25">
      <c r="A47" s="290"/>
      <c r="B47" s="165">
        <f>DATE(23,8,1)</f>
        <v>8614</v>
      </c>
      <c r="C47" s="226">
        <v>89627706.310000002</v>
      </c>
      <c r="D47" s="226">
        <v>9956028.8800000008</v>
      </c>
      <c r="E47" s="226">
        <v>9270730.9700000007</v>
      </c>
      <c r="F47" s="166">
        <f>(+D47-E47)/E47</f>
        <v>7.3920590751432425E-2</v>
      </c>
      <c r="G47" s="241">
        <f>D47/C47</f>
        <v>0.11108204471466186</v>
      </c>
      <c r="H47" s="242">
        <f>1-G47</f>
        <v>0.88891795528533812</v>
      </c>
      <c r="I47" s="157"/>
    </row>
    <row r="48" spans="1:9" ht="15.75" x14ac:dyDescent="0.25">
      <c r="A48" s="290"/>
      <c r="B48" s="165">
        <f>DATE(23,9,1)</f>
        <v>8645</v>
      </c>
      <c r="C48" s="226">
        <v>95510709.879999995</v>
      </c>
      <c r="D48" s="226">
        <v>10479555.779999999</v>
      </c>
      <c r="E48" s="226">
        <v>9440089.3000000007</v>
      </c>
      <c r="F48" s="166">
        <f>(+D48-E48)/E48</f>
        <v>0.11011193294537992</v>
      </c>
      <c r="G48" s="241">
        <f>D48/C48</f>
        <v>0.10972126364851179</v>
      </c>
      <c r="H48" s="242">
        <f>1-G48</f>
        <v>0.89027873635148824</v>
      </c>
      <c r="I48" s="157"/>
    </row>
    <row r="49" spans="1:9" ht="15.75" thickBot="1" x14ac:dyDescent="0.25">
      <c r="A49" s="167"/>
      <c r="B49" s="165"/>
      <c r="C49" s="226"/>
      <c r="D49" s="226"/>
      <c r="E49" s="226"/>
      <c r="F49" s="166"/>
      <c r="G49" s="241"/>
      <c r="H49" s="242"/>
      <c r="I49" s="157"/>
    </row>
    <row r="50" spans="1:9" ht="17.25" thickTop="1" thickBot="1" x14ac:dyDescent="0.3">
      <c r="A50" s="174" t="s">
        <v>14</v>
      </c>
      <c r="B50" s="175"/>
      <c r="C50" s="228">
        <f>SUM(C46:C49)</f>
        <v>274437111.56</v>
      </c>
      <c r="D50" s="230">
        <f>SUM(D46:D49)</f>
        <v>30413514.539999999</v>
      </c>
      <c r="E50" s="271">
        <f>SUM(E46:E49)</f>
        <v>28365749.09</v>
      </c>
      <c r="F50" s="272">
        <f>(+D50-E50)/E50</f>
        <v>7.2191481476578181E-2</v>
      </c>
      <c r="G50" s="249">
        <f>D50/C50</f>
        <v>0.11082143507165834</v>
      </c>
      <c r="H50" s="270">
        <f>1-G50</f>
        <v>0.88917856492834169</v>
      </c>
      <c r="I50" s="157"/>
    </row>
    <row r="51" spans="1:9" ht="15.75" thickTop="1" x14ac:dyDescent="0.2">
      <c r="A51" s="167"/>
      <c r="B51" s="168"/>
      <c r="C51" s="226"/>
      <c r="D51" s="226"/>
      <c r="E51" s="226"/>
      <c r="F51" s="166"/>
      <c r="G51" s="241"/>
      <c r="H51" s="242"/>
      <c r="I51" s="157"/>
    </row>
    <row r="52" spans="1:9" ht="15.75" x14ac:dyDescent="0.25">
      <c r="A52" s="164" t="s">
        <v>69</v>
      </c>
      <c r="B52" s="165">
        <f>DATE(23,7,1)</f>
        <v>8583</v>
      </c>
      <c r="C52" s="226">
        <v>121213119.26000001</v>
      </c>
      <c r="D52" s="226">
        <v>12329543.52</v>
      </c>
      <c r="E52" s="226">
        <v>11762621.74</v>
      </c>
      <c r="F52" s="166">
        <f>(+D52-E52)/E52</f>
        <v>4.8196889480184822E-2</v>
      </c>
      <c r="G52" s="241">
        <f>D52/C52</f>
        <v>0.10171789650552054</v>
      </c>
      <c r="H52" s="242">
        <f>1-G52</f>
        <v>0.89828210349447946</v>
      </c>
      <c r="I52" s="157"/>
    </row>
    <row r="53" spans="1:9" ht="15.75" x14ac:dyDescent="0.25">
      <c r="A53" s="164"/>
      <c r="B53" s="165">
        <f>DATE(23,8,1)</f>
        <v>8614</v>
      </c>
      <c r="C53" s="226">
        <v>112407031.68000001</v>
      </c>
      <c r="D53" s="226">
        <v>11665095.210000001</v>
      </c>
      <c r="E53" s="226">
        <v>12540537.029999999</v>
      </c>
      <c r="F53" s="166">
        <f>(+D53-E53)/E53</f>
        <v>-6.9808957774753169E-2</v>
      </c>
      <c r="G53" s="241">
        <f>D53/C53</f>
        <v>0.10377549371829477</v>
      </c>
      <c r="H53" s="242">
        <f>1-G53</f>
        <v>0.89622450628170525</v>
      </c>
      <c r="I53" s="157"/>
    </row>
    <row r="54" spans="1:9" ht="15.75" x14ac:dyDescent="0.25">
      <c r="A54" s="164"/>
      <c r="B54" s="165">
        <f>DATE(23,9,1)</f>
        <v>8645</v>
      </c>
      <c r="C54" s="226">
        <v>114671749.77</v>
      </c>
      <c r="D54" s="226">
        <v>12009719.560000001</v>
      </c>
      <c r="E54" s="226">
        <v>12203478.51</v>
      </c>
      <c r="F54" s="166">
        <f>(+D54-E54)/E54</f>
        <v>-1.58773541364641E-2</v>
      </c>
      <c r="G54" s="241">
        <f>D54/C54</f>
        <v>0.10473128372147626</v>
      </c>
      <c r="H54" s="242">
        <f>1-G54</f>
        <v>0.89526871627852378</v>
      </c>
      <c r="I54" s="157"/>
    </row>
    <row r="55" spans="1:9" ht="15.75" thickBot="1" x14ac:dyDescent="0.25">
      <c r="A55" s="167"/>
      <c r="B55" s="165"/>
      <c r="C55" s="226"/>
      <c r="D55" s="226"/>
      <c r="E55" s="226"/>
      <c r="F55" s="166"/>
      <c r="G55" s="241"/>
      <c r="H55" s="242"/>
      <c r="I55" s="157"/>
    </row>
    <row r="56" spans="1:9" ht="17.25" thickTop="1" thickBot="1" x14ac:dyDescent="0.3">
      <c r="A56" s="174" t="s">
        <v>14</v>
      </c>
      <c r="B56" s="175"/>
      <c r="C56" s="228">
        <f>SUM(C52:C55)</f>
        <v>348291900.70999998</v>
      </c>
      <c r="D56" s="230">
        <f>SUM(D52:D55)</f>
        <v>36004358.289999999</v>
      </c>
      <c r="E56" s="271">
        <f>SUM(E52:E55)</f>
        <v>36506637.280000001</v>
      </c>
      <c r="F56" s="176">
        <f>(+D56-E56)/E56</f>
        <v>-1.375856631624555E-2</v>
      </c>
      <c r="G56" s="249">
        <f>D56/C56</f>
        <v>0.10337408999923454</v>
      </c>
      <c r="H56" s="270">
        <f>1-G56</f>
        <v>0.89662591000076541</v>
      </c>
      <c r="I56" s="157"/>
    </row>
    <row r="57" spans="1:9" ht="15.75" thickTop="1" x14ac:dyDescent="0.2">
      <c r="A57" s="167"/>
      <c r="B57" s="179"/>
      <c r="C57" s="229"/>
      <c r="D57" s="229"/>
      <c r="E57" s="229"/>
      <c r="F57" s="180"/>
      <c r="G57" s="247"/>
      <c r="H57" s="248"/>
      <c r="I57" s="157"/>
    </row>
    <row r="58" spans="1:9" ht="15.75" x14ac:dyDescent="0.25">
      <c r="A58" s="164" t="s">
        <v>16</v>
      </c>
      <c r="B58" s="165">
        <f>DATE(23,7,1)</f>
        <v>8583</v>
      </c>
      <c r="C58" s="226">
        <v>160295640.59</v>
      </c>
      <c r="D58" s="226">
        <v>15534932.51</v>
      </c>
      <c r="E58" s="226">
        <v>15914314.48</v>
      </c>
      <c r="F58" s="166">
        <f>(+D58-E58)/E58</f>
        <v>-2.383903940548501E-2</v>
      </c>
      <c r="G58" s="241">
        <f>D58/C58</f>
        <v>9.691425451634611E-2</v>
      </c>
      <c r="H58" s="242">
        <f>1-G58</f>
        <v>0.90308574548365383</v>
      </c>
      <c r="I58" s="157"/>
    </row>
    <row r="59" spans="1:9" ht="15.75" x14ac:dyDescent="0.25">
      <c r="A59" s="164"/>
      <c r="B59" s="165">
        <f>DATE(23,8,1)</f>
        <v>8614</v>
      </c>
      <c r="C59" s="226">
        <v>149700012.46000001</v>
      </c>
      <c r="D59" s="226">
        <v>14573354.48</v>
      </c>
      <c r="E59" s="226">
        <v>14340389.18</v>
      </c>
      <c r="F59" s="166">
        <f>(+D59-E59)/E59</f>
        <v>1.6245395928648064E-2</v>
      </c>
      <c r="G59" s="241">
        <f>D59/C59</f>
        <v>9.7350389225211428E-2</v>
      </c>
      <c r="H59" s="242">
        <f>1-G59</f>
        <v>0.90264961077478856</v>
      </c>
      <c r="I59" s="157"/>
    </row>
    <row r="60" spans="1:9" ht="15.75" x14ac:dyDescent="0.25">
      <c r="A60" s="164"/>
      <c r="B60" s="165">
        <f>DATE(23,9,1)</f>
        <v>8645</v>
      </c>
      <c r="C60" s="226">
        <v>152315348.52000001</v>
      </c>
      <c r="D60" s="226">
        <v>14733622.32</v>
      </c>
      <c r="E60" s="226">
        <v>15068846.289999999</v>
      </c>
      <c r="F60" s="166">
        <f>(+D60-E60)/E60</f>
        <v>-2.2246160293138063E-2</v>
      </c>
      <c r="G60" s="241">
        <f>D60/C60</f>
        <v>9.6731041639348508E-2</v>
      </c>
      <c r="H60" s="242">
        <f>1-G60</f>
        <v>0.90326895836065146</v>
      </c>
      <c r="I60" s="157"/>
    </row>
    <row r="61" spans="1:9" ht="15.75" customHeight="1" thickBot="1" x14ac:dyDescent="0.3">
      <c r="A61" s="164"/>
      <c r="B61" s="165"/>
      <c r="C61" s="226"/>
      <c r="D61" s="226"/>
      <c r="E61" s="226"/>
      <c r="F61" s="166"/>
      <c r="G61" s="241"/>
      <c r="H61" s="242"/>
      <c r="I61" s="157"/>
    </row>
    <row r="62" spans="1:9" ht="17.25" thickTop="1" thickBot="1" x14ac:dyDescent="0.3">
      <c r="A62" s="174" t="s">
        <v>14</v>
      </c>
      <c r="B62" s="181"/>
      <c r="C62" s="228">
        <f>SUM(C58:C61)</f>
        <v>462311001.57000005</v>
      </c>
      <c r="D62" s="228">
        <f>SUM(D58:D61)</f>
        <v>44841909.310000002</v>
      </c>
      <c r="E62" s="228">
        <f>SUM(E58:E61)</f>
        <v>45323549.950000003</v>
      </c>
      <c r="F62" s="176">
        <f>(+D62-E62)/E62</f>
        <v>-1.0626719233849434E-2</v>
      </c>
      <c r="G62" s="245">
        <f>D62/C62</f>
        <v>9.6995116183083818E-2</v>
      </c>
      <c r="H62" s="246">
        <f>1-G62</f>
        <v>0.90300488381691624</v>
      </c>
      <c r="I62" s="157"/>
    </row>
    <row r="63" spans="1:9" ht="15.75" thickTop="1" x14ac:dyDescent="0.2">
      <c r="A63" s="171"/>
      <c r="B63" s="172"/>
      <c r="C63" s="227"/>
      <c r="D63" s="227"/>
      <c r="E63" s="227"/>
      <c r="F63" s="173"/>
      <c r="G63" s="243"/>
      <c r="H63" s="244"/>
      <c r="I63" s="157"/>
    </row>
    <row r="64" spans="1:9" ht="15.75" x14ac:dyDescent="0.25">
      <c r="A64" s="164" t="s">
        <v>53</v>
      </c>
      <c r="B64" s="165">
        <f>DATE(23,7,1)</f>
        <v>8583</v>
      </c>
      <c r="C64" s="226">
        <v>214046132.72999999</v>
      </c>
      <c r="D64" s="226">
        <v>19538214.289999999</v>
      </c>
      <c r="E64" s="226">
        <v>19656587.449999999</v>
      </c>
      <c r="F64" s="166">
        <f>(+D64-E64)/E64</f>
        <v>-6.022060558634767E-3</v>
      </c>
      <c r="G64" s="241">
        <f>D64/C64</f>
        <v>9.1280389142305629E-2</v>
      </c>
      <c r="H64" s="242">
        <f>1-G64</f>
        <v>0.90871961085769437</v>
      </c>
      <c r="I64" s="157"/>
    </row>
    <row r="65" spans="1:9" ht="15.75" x14ac:dyDescent="0.25">
      <c r="A65" s="164"/>
      <c r="B65" s="165">
        <f>DATE(23,8,1)</f>
        <v>8614</v>
      </c>
      <c r="C65" s="226">
        <v>203623905.31</v>
      </c>
      <c r="D65" s="226">
        <v>18436883.300000001</v>
      </c>
      <c r="E65" s="226">
        <v>17776767.91</v>
      </c>
      <c r="F65" s="166">
        <f>(+D65-E65)/E65</f>
        <v>3.7133600063972518E-2</v>
      </c>
      <c r="G65" s="241">
        <f>D65/C65</f>
        <v>9.0543805610306019E-2</v>
      </c>
      <c r="H65" s="242">
        <f>1-G65</f>
        <v>0.90945619438969394</v>
      </c>
      <c r="I65" s="157"/>
    </row>
    <row r="66" spans="1:9" ht="15.75" x14ac:dyDescent="0.25">
      <c r="A66" s="164"/>
      <c r="B66" s="165">
        <f>DATE(23,9,1)</f>
        <v>8645</v>
      </c>
      <c r="C66" s="226">
        <v>197195020.69</v>
      </c>
      <c r="D66" s="226">
        <v>17898589.149999999</v>
      </c>
      <c r="E66" s="226">
        <v>17845168.100000001</v>
      </c>
      <c r="F66" s="166">
        <f>(+D66-E66)/E66</f>
        <v>2.9935862582318299E-3</v>
      </c>
      <c r="G66" s="241">
        <f>D66/C66</f>
        <v>9.0765928507583554E-2</v>
      </c>
      <c r="H66" s="242">
        <f>1-G66</f>
        <v>0.90923407149241642</v>
      </c>
      <c r="I66" s="157"/>
    </row>
    <row r="67" spans="1:9" ht="15.75" thickBot="1" x14ac:dyDescent="0.25">
      <c r="A67" s="167"/>
      <c r="B67" s="168"/>
      <c r="C67" s="226"/>
      <c r="D67" s="226"/>
      <c r="E67" s="226"/>
      <c r="F67" s="166"/>
      <c r="G67" s="241"/>
      <c r="H67" s="242"/>
      <c r="I67" s="157"/>
    </row>
    <row r="68" spans="1:9" ht="17.25" thickTop="1" thickBot="1" x14ac:dyDescent="0.3">
      <c r="A68" s="174" t="s">
        <v>14</v>
      </c>
      <c r="B68" s="175"/>
      <c r="C68" s="228">
        <f>SUM(C64:C67)</f>
        <v>614865058.73000002</v>
      </c>
      <c r="D68" s="228">
        <f>SUM(D64:D67)</f>
        <v>55873686.740000002</v>
      </c>
      <c r="E68" s="228">
        <f>SUM(E64:E67)</f>
        <v>55278523.460000001</v>
      </c>
      <c r="F68" s="176">
        <f>(+D68-E68)/E68</f>
        <v>1.0766627665637022E-2</v>
      </c>
      <c r="G68" s="249">
        <f>D68/C68</f>
        <v>9.087146187068551E-2</v>
      </c>
      <c r="H68" s="270">
        <f>1-G68</f>
        <v>0.90912853812931449</v>
      </c>
      <c r="I68" s="157"/>
    </row>
    <row r="69" spans="1:9" ht="15.75" thickTop="1" x14ac:dyDescent="0.2">
      <c r="A69" s="167"/>
      <c r="B69" s="168"/>
      <c r="C69" s="226"/>
      <c r="D69" s="226"/>
      <c r="E69" s="226"/>
      <c r="F69" s="166"/>
      <c r="G69" s="241"/>
      <c r="H69" s="242"/>
      <c r="I69" s="157"/>
    </row>
    <row r="70" spans="1:9" ht="15.75" x14ac:dyDescent="0.25">
      <c r="A70" s="164" t="s">
        <v>54</v>
      </c>
      <c r="B70" s="165">
        <f>DATE(23,7,1)</f>
        <v>8583</v>
      </c>
      <c r="C70" s="226">
        <v>28158647.050000001</v>
      </c>
      <c r="D70" s="226">
        <v>3124210.48</v>
      </c>
      <c r="E70" s="226">
        <v>3220140.18</v>
      </c>
      <c r="F70" s="166">
        <f>(+D70-E70)/E70</f>
        <v>-2.9790535392158046E-2</v>
      </c>
      <c r="G70" s="241">
        <f>D70/C70</f>
        <v>0.11095030505025631</v>
      </c>
      <c r="H70" s="242">
        <f>1-G70</f>
        <v>0.88904969494974373</v>
      </c>
      <c r="I70" s="157"/>
    </row>
    <row r="71" spans="1:9" ht="15.75" x14ac:dyDescent="0.25">
      <c r="A71" s="164"/>
      <c r="B71" s="165">
        <f>DATE(23,8,1)</f>
        <v>8614</v>
      </c>
      <c r="C71" s="226">
        <v>24636212.309999999</v>
      </c>
      <c r="D71" s="226">
        <v>2824739.23</v>
      </c>
      <c r="E71" s="226">
        <v>2910388.06</v>
      </c>
      <c r="F71" s="166">
        <f>(+D71-E71)/E71</f>
        <v>-2.94286632003294E-2</v>
      </c>
      <c r="G71" s="241">
        <f>D71/C71</f>
        <v>0.11465801619404863</v>
      </c>
      <c r="H71" s="242">
        <f>1-G71</f>
        <v>0.88534198380595142</v>
      </c>
      <c r="I71" s="157"/>
    </row>
    <row r="72" spans="1:9" ht="15.75" x14ac:dyDescent="0.25">
      <c r="A72" s="164"/>
      <c r="B72" s="165">
        <f>DATE(23,9,1)</f>
        <v>8645</v>
      </c>
      <c r="C72" s="226">
        <v>25252043.170000002</v>
      </c>
      <c r="D72" s="226">
        <v>2831375.91</v>
      </c>
      <c r="E72" s="226">
        <v>3079109.35</v>
      </c>
      <c r="F72" s="166">
        <f>(+D72-E72)/E72</f>
        <v>-8.045620075168812E-2</v>
      </c>
      <c r="G72" s="241">
        <f>D72/C72</f>
        <v>0.11212462654759511</v>
      </c>
      <c r="H72" s="242">
        <f>1-G72</f>
        <v>0.88787537345240486</v>
      </c>
      <c r="I72" s="157"/>
    </row>
    <row r="73" spans="1:9" ht="15.75" thickBot="1" x14ac:dyDescent="0.25">
      <c r="A73" s="167"/>
      <c r="B73" s="168"/>
      <c r="C73" s="226"/>
      <c r="D73" s="226"/>
      <c r="E73" s="226"/>
      <c r="F73" s="166"/>
      <c r="G73" s="241"/>
      <c r="H73" s="242"/>
      <c r="I73" s="157"/>
    </row>
    <row r="74" spans="1:9" ht="17.25" thickTop="1" thickBot="1" x14ac:dyDescent="0.3">
      <c r="A74" s="182" t="s">
        <v>14</v>
      </c>
      <c r="B74" s="183"/>
      <c r="C74" s="230">
        <f>SUM(C70:C73)</f>
        <v>78046902.530000001</v>
      </c>
      <c r="D74" s="230">
        <f>SUM(D70:D73)</f>
        <v>8780325.620000001</v>
      </c>
      <c r="E74" s="230">
        <f>SUM(E70:E73)</f>
        <v>9209637.5899999999</v>
      </c>
      <c r="F74" s="176">
        <f>(+D74-E74)/E74</f>
        <v>-4.6615511827105327E-2</v>
      </c>
      <c r="G74" s="249">
        <f>D74/C74</f>
        <v>0.1125006289214999</v>
      </c>
      <c r="H74" s="246">
        <f>1-G74</f>
        <v>0.88749937107850008</v>
      </c>
      <c r="I74" s="157"/>
    </row>
    <row r="75" spans="1:9" ht="15.75" thickTop="1" x14ac:dyDescent="0.2">
      <c r="A75" s="167"/>
      <c r="B75" s="168"/>
      <c r="C75" s="226"/>
      <c r="D75" s="226"/>
      <c r="E75" s="226"/>
      <c r="F75" s="166"/>
      <c r="G75" s="241"/>
      <c r="H75" s="242"/>
      <c r="I75" s="157"/>
    </row>
    <row r="76" spans="1:9" ht="15.75" x14ac:dyDescent="0.25">
      <c r="A76" s="164" t="s">
        <v>37</v>
      </c>
      <c r="B76" s="165">
        <f>DATE(23,7,1)</f>
        <v>8583</v>
      </c>
      <c r="C76" s="226">
        <v>221709382.90000001</v>
      </c>
      <c r="D76" s="226">
        <v>20800777.710000001</v>
      </c>
      <c r="E76" s="226">
        <v>21735779.219999999</v>
      </c>
      <c r="F76" s="166">
        <f>(+D76-E76)/E76</f>
        <v>-4.3016700737356771E-2</v>
      </c>
      <c r="G76" s="241">
        <f>D76/C76</f>
        <v>9.3820015363905468E-2</v>
      </c>
      <c r="H76" s="242">
        <f>1-G76</f>
        <v>0.9061799846360945</v>
      </c>
      <c r="I76" s="157"/>
    </row>
    <row r="77" spans="1:9" ht="15.75" x14ac:dyDescent="0.25">
      <c r="A77" s="164"/>
      <c r="B77" s="165">
        <f>DATE(23,8,1)</f>
        <v>8614</v>
      </c>
      <c r="C77" s="226">
        <v>209669300.15000001</v>
      </c>
      <c r="D77" s="226">
        <v>20038616.34</v>
      </c>
      <c r="E77" s="226">
        <v>20453352.670000002</v>
      </c>
      <c r="F77" s="166">
        <f>(+D77-E77)/E77</f>
        <v>-2.0277180797274245E-2</v>
      </c>
      <c r="G77" s="241">
        <f>D77/C77</f>
        <v>9.5572486413910501E-2</v>
      </c>
      <c r="H77" s="242">
        <f>1-G77</f>
        <v>0.90442751358608953</v>
      </c>
      <c r="I77" s="157"/>
    </row>
    <row r="78" spans="1:9" ht="15.75" x14ac:dyDescent="0.25">
      <c r="A78" s="164"/>
      <c r="B78" s="165">
        <f>DATE(23,9,1)</f>
        <v>8645</v>
      </c>
      <c r="C78" s="226">
        <v>204140702.06999999</v>
      </c>
      <c r="D78" s="226">
        <v>19545369.489999998</v>
      </c>
      <c r="E78" s="226">
        <v>19785542.02</v>
      </c>
      <c r="F78" s="166">
        <f>(+D78-E78)/E78</f>
        <v>-1.2138789513940301E-2</v>
      </c>
      <c r="G78" s="241">
        <f>D78/C78</f>
        <v>9.574459817081396E-2</v>
      </c>
      <c r="H78" s="242">
        <f>1-G78</f>
        <v>0.90425540182918607</v>
      </c>
      <c r="I78" s="157"/>
    </row>
    <row r="79" spans="1:9" ht="15.75" thickBot="1" x14ac:dyDescent="0.25">
      <c r="A79" s="167"/>
      <c r="B79" s="168"/>
      <c r="C79" s="226"/>
      <c r="D79" s="226"/>
      <c r="E79" s="226"/>
      <c r="F79" s="166"/>
      <c r="G79" s="241"/>
      <c r="H79" s="242"/>
      <c r="I79" s="157"/>
    </row>
    <row r="80" spans="1:9" ht="17.25" thickTop="1" thickBot="1" x14ac:dyDescent="0.3">
      <c r="A80" s="174" t="s">
        <v>14</v>
      </c>
      <c r="B80" s="175"/>
      <c r="C80" s="228">
        <f>SUM(C76:C79)</f>
        <v>635519385.12</v>
      </c>
      <c r="D80" s="228">
        <f>SUM(D76:D79)</f>
        <v>60384763.539999992</v>
      </c>
      <c r="E80" s="228">
        <f>SUM(E76:E79)</f>
        <v>61974673.909999996</v>
      </c>
      <c r="F80" s="176">
        <f>(+D80-E80)/E80</f>
        <v>-2.5654195007284466E-2</v>
      </c>
      <c r="G80" s="245">
        <f>D80/C80</f>
        <v>9.5016399112039712E-2</v>
      </c>
      <c r="H80" s="246">
        <f>1-G80</f>
        <v>0.90498360088796026</v>
      </c>
      <c r="I80" s="157"/>
    </row>
    <row r="81" spans="1:9" ht="15.75" thickTop="1" x14ac:dyDescent="0.2">
      <c r="A81" s="167"/>
      <c r="B81" s="168"/>
      <c r="C81" s="226"/>
      <c r="D81" s="226"/>
      <c r="E81" s="226"/>
      <c r="F81" s="166"/>
      <c r="G81" s="241"/>
      <c r="H81" s="242"/>
      <c r="I81" s="157"/>
    </row>
    <row r="82" spans="1:9" ht="15.75" x14ac:dyDescent="0.25">
      <c r="A82" s="164" t="s">
        <v>57</v>
      </c>
      <c r="B82" s="165">
        <f>DATE(23,7,1)</f>
        <v>8583</v>
      </c>
      <c r="C82" s="226">
        <v>33435275.829999998</v>
      </c>
      <c r="D82" s="226">
        <v>3743935.17</v>
      </c>
      <c r="E82" s="226">
        <v>3941098.7</v>
      </c>
      <c r="F82" s="166">
        <f>(+D82-E82)/E82</f>
        <v>-5.0027554498952347E-2</v>
      </c>
      <c r="G82" s="241">
        <f>D82/C82</f>
        <v>0.11197560292416467</v>
      </c>
      <c r="H82" s="242">
        <f>1-G82</f>
        <v>0.88802439707583536</v>
      </c>
      <c r="I82" s="157"/>
    </row>
    <row r="83" spans="1:9" ht="15.75" x14ac:dyDescent="0.25">
      <c r="A83" s="164"/>
      <c r="B83" s="165">
        <f>DATE(23,8,1)</f>
        <v>8614</v>
      </c>
      <c r="C83" s="226">
        <v>32794629.890000001</v>
      </c>
      <c r="D83" s="226">
        <v>3650833.47</v>
      </c>
      <c r="E83" s="226">
        <v>3508347.49</v>
      </c>
      <c r="F83" s="166">
        <f>(+D83-E83)/E83</f>
        <v>4.0613417116216154E-2</v>
      </c>
      <c r="G83" s="241">
        <f>D83/C83</f>
        <v>0.11132412478035746</v>
      </c>
      <c r="H83" s="242">
        <f>1-G83</f>
        <v>0.88867587521964253</v>
      </c>
      <c r="I83" s="157"/>
    </row>
    <row r="84" spans="1:9" ht="15.75" x14ac:dyDescent="0.25">
      <c r="A84" s="164"/>
      <c r="B84" s="165">
        <f>DATE(23,9,1)</f>
        <v>8645</v>
      </c>
      <c r="C84" s="226">
        <v>29987636.98</v>
      </c>
      <c r="D84" s="226">
        <v>3571965.85</v>
      </c>
      <c r="E84" s="226">
        <v>3766686.61</v>
      </c>
      <c r="F84" s="166">
        <f>(+D84-E84)/E84</f>
        <v>-5.16955032794724E-2</v>
      </c>
      <c r="G84" s="241">
        <f>D84/C84</f>
        <v>0.1191146155458095</v>
      </c>
      <c r="H84" s="242">
        <f>1-G84</f>
        <v>0.88088538445419051</v>
      </c>
      <c r="I84" s="157"/>
    </row>
    <row r="85" spans="1:9" ht="15.75" thickBot="1" x14ac:dyDescent="0.25">
      <c r="A85" s="167"/>
      <c r="B85" s="168"/>
      <c r="C85" s="226"/>
      <c r="D85" s="226"/>
      <c r="E85" s="226"/>
      <c r="F85" s="166"/>
      <c r="G85" s="241"/>
      <c r="H85" s="242"/>
      <c r="I85" s="157"/>
    </row>
    <row r="86" spans="1:9" ht="17.25" thickTop="1" thickBot="1" x14ac:dyDescent="0.3">
      <c r="A86" s="169" t="s">
        <v>14</v>
      </c>
      <c r="B86" s="155"/>
      <c r="C86" s="223">
        <f>SUM(C82:C85)</f>
        <v>96217542.700000003</v>
      </c>
      <c r="D86" s="223">
        <f>SUM(D82:D85)</f>
        <v>10966734.49</v>
      </c>
      <c r="E86" s="223">
        <f>SUM(E82:E85)</f>
        <v>11216132.800000001</v>
      </c>
      <c r="F86" s="176">
        <f>(+D86-E86)/E86</f>
        <v>-2.2235677345047174E-2</v>
      </c>
      <c r="G86" s="245">
        <f>D86/C86</f>
        <v>0.11397853429071204</v>
      </c>
      <c r="H86" s="246">
        <f>1-G86</f>
        <v>0.88602146570928797</v>
      </c>
      <c r="I86" s="157"/>
    </row>
    <row r="87" spans="1:9" ht="16.5" thickTop="1" thickBot="1" x14ac:dyDescent="0.25">
      <c r="A87" s="171"/>
      <c r="B87" s="172"/>
      <c r="C87" s="227"/>
      <c r="D87" s="227"/>
      <c r="E87" s="227"/>
      <c r="F87" s="173"/>
      <c r="G87" s="243"/>
      <c r="H87" s="244"/>
      <c r="I87" s="157"/>
    </row>
    <row r="88" spans="1:9" ht="17.25" thickTop="1" thickBot="1" x14ac:dyDescent="0.3">
      <c r="A88" s="184" t="s">
        <v>38</v>
      </c>
      <c r="B88" s="155"/>
      <c r="C88" s="223">
        <f>C86+C80+C62+C50+C38+C26+C14+C32+C74+C20+C56+C68+C44</f>
        <v>4285203709.3500004</v>
      </c>
      <c r="D88" s="223">
        <f>D86+D80+D62+D50+D38+D26+D14+D32+D74+D20+D56+D68+D44</f>
        <v>416214918.41000003</v>
      </c>
      <c r="E88" s="223">
        <f>E86+E80+E62+E50+E38+E26+E14+E32+E74+E20+E56+E68+E44</f>
        <v>416614322.24999994</v>
      </c>
      <c r="F88" s="170">
        <f>(+D88-E88)/E88</f>
        <v>-9.5868965292134588E-4</v>
      </c>
      <c r="G88" s="236">
        <f>D88/C88</f>
        <v>9.7128385635868272E-2</v>
      </c>
      <c r="H88" s="237">
        <f>1-G88</f>
        <v>0.90287161436413177</v>
      </c>
      <c r="I88" s="157"/>
    </row>
    <row r="89" spans="1:9" ht="17.25" thickTop="1" thickBot="1" x14ac:dyDescent="0.3">
      <c r="A89" s="184"/>
      <c r="B89" s="155"/>
      <c r="C89" s="223"/>
      <c r="D89" s="223"/>
      <c r="E89" s="223"/>
      <c r="F89" s="170"/>
      <c r="G89" s="236"/>
      <c r="H89" s="237"/>
      <c r="I89" s="157"/>
    </row>
    <row r="90" spans="1:9" ht="17.25" thickTop="1" thickBot="1" x14ac:dyDescent="0.3">
      <c r="A90" s="184" t="s">
        <v>39</v>
      </c>
      <c r="B90" s="155"/>
      <c r="C90" s="223">
        <f>+C12+C18+C24+C30+C36+C42+C48+C60+C54+C66+C72+C78+C84</f>
        <v>1389509533.0899999</v>
      </c>
      <c r="D90" s="223">
        <f>+D12+D18+D24+D30+D36+D42+D48+D60+D54+D66+D72+D78+D84</f>
        <v>135134911.11000001</v>
      </c>
      <c r="E90" s="223">
        <f>+E12+E18+E24+E30+E36+E42+E48+E60+E54+E66+E72+E78+E84</f>
        <v>135240837.25</v>
      </c>
      <c r="F90" s="170">
        <f>(+D90-E90)/E90</f>
        <v>-7.8324078846225636E-4</v>
      </c>
      <c r="G90" s="236">
        <f>D90/C90</f>
        <v>9.7253676849187329E-2</v>
      </c>
      <c r="H90" s="246">
        <f>1-G90</f>
        <v>0.90274632315081271</v>
      </c>
      <c r="I90" s="157"/>
    </row>
    <row r="91" spans="1:9" ht="16.5" thickTop="1" x14ac:dyDescent="0.25">
      <c r="A91" s="185"/>
      <c r="B91" s="186"/>
      <c r="C91" s="231"/>
      <c r="D91" s="231"/>
      <c r="E91" s="231"/>
      <c r="F91" s="187"/>
      <c r="G91" s="250"/>
      <c r="H91" s="250"/>
      <c r="I91" s="151"/>
    </row>
    <row r="92" spans="1:9" ht="16.5" customHeight="1" x14ac:dyDescent="0.3">
      <c r="A92" s="188" t="s">
        <v>49</v>
      </c>
      <c r="B92" s="189"/>
      <c r="C92" s="232"/>
      <c r="D92" s="232"/>
      <c r="E92" s="232"/>
      <c r="F92" s="190"/>
      <c r="G92" s="251"/>
      <c r="H92" s="251"/>
      <c r="I92" s="151"/>
    </row>
    <row r="93" spans="1:9" ht="15.75" x14ac:dyDescent="0.25">
      <c r="A93" s="191"/>
      <c r="B93" s="189"/>
      <c r="C93" s="232"/>
      <c r="D93" s="232"/>
      <c r="E93" s="232"/>
      <c r="F93" s="190"/>
      <c r="G93" s="257"/>
      <c r="H93" s="257"/>
      <c r="I93" s="151"/>
    </row>
    <row r="94" spans="1:9" ht="15.75" x14ac:dyDescent="0.25">
      <c r="A94" s="72"/>
      <c r="I94" s="151"/>
    </row>
  </sheetData>
  <phoneticPr fontId="0" type="noConversion"/>
  <printOptions horizontalCentered="1"/>
  <pageMargins left="0.75" right="0.25" top="0.31940000000000002" bottom="0.2" header="0.5" footer="0.5"/>
  <pageSetup scale="55" orientation="landscape" r:id="rId1"/>
  <headerFooter alignWithMargins="0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2023-10-05T12:36:44Z</cp:lastPrinted>
  <dcterms:created xsi:type="dcterms:W3CDTF">2003-09-09T14:41:43Z</dcterms:created>
  <dcterms:modified xsi:type="dcterms:W3CDTF">2023-10-06T14:04:28Z</dcterms:modified>
</cp:coreProperties>
</file>