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 2024\Optimized\"/>
    </mc:Choice>
  </mc:AlternateContent>
  <bookViews>
    <workbookView xWindow="90" yWindow="150" windowWidth="7530" windowHeight="4050" activeTab="4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STATS'!$A$1:$M$182</definedName>
    <definedName name="_xlnm.Print_Area" localSheetId="4">'SLOT STATS'!$A$1:$I$183</definedName>
    <definedName name="_xlnm.Print_Area" localSheetId="2">'TABLE STATS'!$A$1:$H$182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E181" i="4" l="1"/>
  <c r="D181" i="4"/>
  <c r="C181" i="4"/>
  <c r="F175" i="4"/>
  <c r="G175" i="4"/>
  <c r="H175" i="4"/>
  <c r="F162" i="4"/>
  <c r="G162" i="4"/>
  <c r="H162" i="4"/>
  <c r="F149" i="4"/>
  <c r="G149" i="4"/>
  <c r="H149" i="4"/>
  <c r="F136" i="4"/>
  <c r="G136" i="4"/>
  <c r="H136" i="4"/>
  <c r="F123" i="4"/>
  <c r="G123" i="4"/>
  <c r="H123" i="4"/>
  <c r="F110" i="4"/>
  <c r="G110" i="4"/>
  <c r="H110" i="4"/>
  <c r="F97" i="4"/>
  <c r="G97" i="4"/>
  <c r="H97" i="4"/>
  <c r="F84" i="4"/>
  <c r="G84" i="4"/>
  <c r="H84" i="4"/>
  <c r="F71" i="4"/>
  <c r="G71" i="4"/>
  <c r="H71" i="4"/>
  <c r="F58" i="4"/>
  <c r="G58" i="4"/>
  <c r="H58" i="4"/>
  <c r="F45" i="4"/>
  <c r="G45" i="4"/>
  <c r="H45" i="4"/>
  <c r="F32" i="4"/>
  <c r="G32" i="4"/>
  <c r="H32" i="4"/>
  <c r="F19" i="4"/>
  <c r="G19" i="4"/>
  <c r="H19" i="4"/>
  <c r="B175" i="4"/>
  <c r="B162" i="4"/>
  <c r="B149" i="4"/>
  <c r="B136" i="4"/>
  <c r="B123" i="4"/>
  <c r="B110" i="4"/>
  <c r="B97" i="4"/>
  <c r="B84" i="4"/>
  <c r="B71" i="4"/>
  <c r="B58" i="4"/>
  <c r="B45" i="4"/>
  <c r="B32" i="4"/>
  <c r="B19" i="4"/>
  <c r="E181" i="5"/>
  <c r="D181" i="5"/>
  <c r="C181" i="5"/>
  <c r="G181" i="5"/>
  <c r="H181" i="5"/>
  <c r="H136" i="5"/>
  <c r="G136" i="5"/>
  <c r="F162" i="5"/>
  <c r="B175" i="5"/>
  <c r="B162" i="5"/>
  <c r="B149" i="5"/>
  <c r="B136" i="5"/>
  <c r="B123" i="5"/>
  <c r="B110" i="5"/>
  <c r="B97" i="5"/>
  <c r="B84" i="5"/>
  <c r="B71" i="5"/>
  <c r="B58" i="5"/>
  <c r="B45" i="5"/>
  <c r="B32" i="5"/>
  <c r="B19" i="5"/>
  <c r="E180" i="3"/>
  <c r="F180" i="3"/>
  <c r="D180" i="3"/>
  <c r="C180" i="3"/>
  <c r="G180" i="3"/>
  <c r="F174" i="3"/>
  <c r="G174" i="3"/>
  <c r="F161" i="3"/>
  <c r="G161" i="3"/>
  <c r="F148" i="3"/>
  <c r="F135" i="3"/>
  <c r="G135" i="3"/>
  <c r="F122" i="3"/>
  <c r="G122" i="3"/>
  <c r="F109" i="3"/>
  <c r="G109" i="3"/>
  <c r="F96" i="3"/>
  <c r="G96" i="3"/>
  <c r="F83" i="3"/>
  <c r="G83" i="3"/>
  <c r="F70" i="3"/>
  <c r="G70" i="3"/>
  <c r="F57" i="3"/>
  <c r="G57" i="3"/>
  <c r="F44" i="3"/>
  <c r="G44" i="3"/>
  <c r="F31" i="3"/>
  <c r="G31" i="3"/>
  <c r="F18" i="3"/>
  <c r="G18" i="3"/>
  <c r="B174" i="3"/>
  <c r="B161" i="3"/>
  <c r="B148" i="3"/>
  <c r="B135" i="3"/>
  <c r="B122" i="3"/>
  <c r="B109" i="3"/>
  <c r="B96" i="3"/>
  <c r="B83" i="3"/>
  <c r="B70" i="3"/>
  <c r="B57" i="3"/>
  <c r="B44" i="3"/>
  <c r="B31" i="3"/>
  <c r="B18" i="3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40" i="2"/>
  <c r="A19" i="2"/>
  <c r="F39" i="1"/>
  <c r="F66" i="1"/>
  <c r="F82" i="1"/>
  <c r="H82" i="1"/>
  <c r="F106" i="1"/>
  <c r="F108" i="1"/>
  <c r="F155" i="1"/>
  <c r="F157" i="1"/>
  <c r="F160" i="1"/>
  <c r="J160" i="1"/>
  <c r="L180" i="1"/>
  <c r="K180" i="1"/>
  <c r="I180" i="1"/>
  <c r="G180" i="1"/>
  <c r="H180" i="1"/>
  <c r="F180" i="1"/>
  <c r="D180" i="1"/>
  <c r="C180" i="1"/>
  <c r="H174" i="1"/>
  <c r="M174" i="1"/>
  <c r="I174" i="1"/>
  <c r="J174" i="1"/>
  <c r="G174" i="1"/>
  <c r="G176" i="1"/>
  <c r="F174" i="1"/>
  <c r="E174" i="1"/>
  <c r="H161" i="1"/>
  <c r="M161" i="1"/>
  <c r="I161" i="1"/>
  <c r="J161" i="1"/>
  <c r="G161" i="1"/>
  <c r="G163" i="1"/>
  <c r="F161" i="1"/>
  <c r="E161" i="1"/>
  <c r="H148" i="1"/>
  <c r="M148" i="1"/>
  <c r="I148" i="1"/>
  <c r="J148" i="1"/>
  <c r="G148" i="1"/>
  <c r="G150" i="1"/>
  <c r="F148" i="1"/>
  <c r="F150" i="1"/>
  <c r="E148" i="1"/>
  <c r="H135" i="1"/>
  <c r="M135" i="1"/>
  <c r="I135" i="1"/>
  <c r="J135" i="1"/>
  <c r="G135" i="1"/>
  <c r="F135" i="1"/>
  <c r="F137" i="1"/>
  <c r="E135" i="1"/>
  <c r="H122" i="1"/>
  <c r="M122" i="1"/>
  <c r="I122" i="1"/>
  <c r="J122" i="1"/>
  <c r="G122" i="1"/>
  <c r="G124" i="1"/>
  <c r="H124" i="1"/>
  <c r="F122" i="1"/>
  <c r="E122" i="1"/>
  <c r="H109" i="1"/>
  <c r="M109" i="1"/>
  <c r="I109" i="1"/>
  <c r="J109" i="1"/>
  <c r="G109" i="1"/>
  <c r="F109" i="1"/>
  <c r="E109" i="1"/>
  <c r="H96" i="1"/>
  <c r="M96" i="1"/>
  <c r="I96" i="1"/>
  <c r="J96" i="1"/>
  <c r="G96" i="1"/>
  <c r="G98" i="1"/>
  <c r="F96" i="1"/>
  <c r="E96" i="1"/>
  <c r="H83" i="1"/>
  <c r="M83" i="1"/>
  <c r="I83" i="1"/>
  <c r="J83" i="1"/>
  <c r="G83" i="1"/>
  <c r="G85" i="1"/>
  <c r="F83" i="1"/>
  <c r="E83" i="1"/>
  <c r="H70" i="1"/>
  <c r="M70" i="1"/>
  <c r="I70" i="1"/>
  <c r="J70" i="1"/>
  <c r="G70" i="1"/>
  <c r="F70" i="1"/>
  <c r="E70" i="1"/>
  <c r="H57" i="1"/>
  <c r="M57" i="1"/>
  <c r="I57" i="1"/>
  <c r="J57" i="1"/>
  <c r="G57" i="1"/>
  <c r="F57" i="1"/>
  <c r="E57" i="1"/>
  <c r="H44" i="1"/>
  <c r="M44" i="1"/>
  <c r="I44" i="1"/>
  <c r="J44" i="1"/>
  <c r="G44" i="1"/>
  <c r="G46" i="1"/>
  <c r="F44" i="1"/>
  <c r="E44" i="1"/>
  <c r="H31" i="1"/>
  <c r="M31" i="1"/>
  <c r="I31" i="1"/>
  <c r="J31" i="1"/>
  <c r="G31" i="1"/>
  <c r="F31" i="1"/>
  <c r="F33" i="1"/>
  <c r="E31" i="1"/>
  <c r="H18" i="1"/>
  <c r="M18" i="1"/>
  <c r="I18" i="1"/>
  <c r="J18" i="1"/>
  <c r="G18" i="1"/>
  <c r="F18" i="1"/>
  <c r="E18" i="1"/>
  <c r="B174" i="1"/>
  <c r="B161" i="1"/>
  <c r="B148" i="1"/>
  <c r="B135" i="1"/>
  <c r="B122" i="1"/>
  <c r="B109" i="1"/>
  <c r="B96" i="1"/>
  <c r="B83" i="1"/>
  <c r="B70" i="1"/>
  <c r="B57" i="1"/>
  <c r="B44" i="1"/>
  <c r="B31" i="1"/>
  <c r="B18" i="1"/>
  <c r="F174" i="4"/>
  <c r="G174" i="4"/>
  <c r="H174" i="4"/>
  <c r="F161" i="4"/>
  <c r="G161" i="4"/>
  <c r="H161" i="4"/>
  <c r="F148" i="4"/>
  <c r="G148" i="4"/>
  <c r="H148" i="4"/>
  <c r="F135" i="4"/>
  <c r="G135" i="4"/>
  <c r="H135" i="4"/>
  <c r="F122" i="4"/>
  <c r="G122" i="4"/>
  <c r="H122" i="4"/>
  <c r="F109" i="4"/>
  <c r="G109" i="4"/>
  <c r="H109" i="4"/>
  <c r="F96" i="4"/>
  <c r="G96" i="4"/>
  <c r="H96" i="4"/>
  <c r="F83" i="4"/>
  <c r="G83" i="4"/>
  <c r="H83" i="4"/>
  <c r="F70" i="4"/>
  <c r="G70" i="4"/>
  <c r="H70" i="4"/>
  <c r="F57" i="4"/>
  <c r="G57" i="4"/>
  <c r="H57" i="4"/>
  <c r="F44" i="4"/>
  <c r="G44" i="4"/>
  <c r="H44" i="4"/>
  <c r="F31" i="4"/>
  <c r="G31" i="4"/>
  <c r="H31" i="4"/>
  <c r="F18" i="4"/>
  <c r="G18" i="4"/>
  <c r="H18" i="4"/>
  <c r="B174" i="4"/>
  <c r="B161" i="4"/>
  <c r="B148" i="4"/>
  <c r="B135" i="4"/>
  <c r="B122" i="4"/>
  <c r="B109" i="4"/>
  <c r="B96" i="4"/>
  <c r="B83" i="4"/>
  <c r="B70" i="4"/>
  <c r="B57" i="4"/>
  <c r="B44" i="4"/>
  <c r="B31" i="4"/>
  <c r="B18" i="4"/>
  <c r="G135" i="5"/>
  <c r="H135" i="5"/>
  <c r="F161" i="5"/>
  <c r="B174" i="5"/>
  <c r="B161" i="5"/>
  <c r="B148" i="5"/>
  <c r="B135" i="5"/>
  <c r="B122" i="5"/>
  <c r="B109" i="5"/>
  <c r="B96" i="5"/>
  <c r="B83" i="5"/>
  <c r="B70" i="5"/>
  <c r="B57" i="5"/>
  <c r="B44" i="5"/>
  <c r="B31" i="5"/>
  <c r="B18" i="5"/>
  <c r="F173" i="3"/>
  <c r="G173" i="3"/>
  <c r="F160" i="3"/>
  <c r="G160" i="3"/>
  <c r="F147" i="3"/>
  <c r="F134" i="3"/>
  <c r="G134" i="3"/>
  <c r="F121" i="3"/>
  <c r="G121" i="3"/>
  <c r="F108" i="3"/>
  <c r="G108" i="3"/>
  <c r="F95" i="3"/>
  <c r="G95" i="3"/>
  <c r="F82" i="3"/>
  <c r="G82" i="3"/>
  <c r="F69" i="3"/>
  <c r="G69" i="3"/>
  <c r="F56" i="3"/>
  <c r="G56" i="3"/>
  <c r="F43" i="3"/>
  <c r="G43" i="3"/>
  <c r="F30" i="3"/>
  <c r="G30" i="3"/>
  <c r="F17" i="3"/>
  <c r="G17" i="3"/>
  <c r="B173" i="3"/>
  <c r="B160" i="3"/>
  <c r="B147" i="3"/>
  <c r="B134" i="3"/>
  <c r="B121" i="3"/>
  <c r="B108" i="3"/>
  <c r="B95" i="3"/>
  <c r="B82" i="3"/>
  <c r="B69" i="3"/>
  <c r="B56" i="3"/>
  <c r="B43" i="3"/>
  <c r="B30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F129" i="1"/>
  <c r="H173" i="1"/>
  <c r="M173" i="1"/>
  <c r="I173" i="1"/>
  <c r="J173" i="1"/>
  <c r="G173" i="1"/>
  <c r="F173" i="1"/>
  <c r="E173" i="1"/>
  <c r="M160" i="1"/>
  <c r="I160" i="1"/>
  <c r="G160" i="1"/>
  <c r="E160" i="1"/>
  <c r="H147" i="1"/>
  <c r="M147" i="1"/>
  <c r="I147" i="1"/>
  <c r="J147" i="1"/>
  <c r="G147" i="1"/>
  <c r="F147" i="1"/>
  <c r="E147" i="1"/>
  <c r="F130" i="1"/>
  <c r="J130" i="1"/>
  <c r="E130" i="1"/>
  <c r="F132" i="1"/>
  <c r="J132" i="1"/>
  <c r="H134" i="1"/>
  <c r="M134" i="1"/>
  <c r="I134" i="1"/>
  <c r="J134" i="1"/>
  <c r="G134" i="1"/>
  <c r="F134" i="1"/>
  <c r="E134" i="1"/>
  <c r="H121" i="1"/>
  <c r="M121" i="1"/>
  <c r="I121" i="1"/>
  <c r="J121" i="1"/>
  <c r="G121" i="1"/>
  <c r="F121" i="1"/>
  <c r="E121" i="1"/>
  <c r="M108" i="1"/>
  <c r="I108" i="1"/>
  <c r="G108" i="1"/>
  <c r="G111" i="1"/>
  <c r="E108" i="1"/>
  <c r="H95" i="1"/>
  <c r="M95" i="1"/>
  <c r="I95" i="1"/>
  <c r="J95" i="1"/>
  <c r="G95" i="1"/>
  <c r="F95" i="1"/>
  <c r="E95" i="1"/>
  <c r="M82" i="1"/>
  <c r="I82" i="1"/>
  <c r="G82" i="1"/>
  <c r="E82" i="1"/>
  <c r="H69" i="1"/>
  <c r="M69" i="1"/>
  <c r="I69" i="1"/>
  <c r="J69" i="1"/>
  <c r="G69" i="1"/>
  <c r="G72" i="1"/>
  <c r="F69" i="1"/>
  <c r="E69" i="1"/>
  <c r="F54" i="1"/>
  <c r="H54" i="1"/>
  <c r="H56" i="1"/>
  <c r="M56" i="1"/>
  <c r="I56" i="1"/>
  <c r="J56" i="1"/>
  <c r="G56" i="1"/>
  <c r="F56" i="1"/>
  <c r="E56" i="1"/>
  <c r="H43" i="1"/>
  <c r="M43" i="1"/>
  <c r="I43" i="1"/>
  <c r="J43" i="1"/>
  <c r="G43" i="1"/>
  <c r="F43" i="1"/>
  <c r="E43" i="1"/>
  <c r="F26" i="1"/>
  <c r="H30" i="1"/>
  <c r="M30" i="1"/>
  <c r="I30" i="1"/>
  <c r="J30" i="1"/>
  <c r="G30" i="1"/>
  <c r="F30" i="1"/>
  <c r="E30" i="1"/>
  <c r="F11" i="1"/>
  <c r="H11" i="1"/>
  <c r="F12" i="1"/>
  <c r="H17" i="1"/>
  <c r="M17" i="1"/>
  <c r="I17" i="1"/>
  <c r="J17" i="1"/>
  <c r="G17" i="1"/>
  <c r="F17" i="1"/>
  <c r="E17" i="1"/>
  <c r="B173" i="1"/>
  <c r="B160" i="1"/>
  <c r="B147" i="1"/>
  <c r="B134" i="1"/>
  <c r="B121" i="1"/>
  <c r="B108" i="1"/>
  <c r="B95" i="1"/>
  <c r="B82" i="1"/>
  <c r="B69" i="1"/>
  <c r="B56" i="1"/>
  <c r="B43" i="1"/>
  <c r="B30" i="1"/>
  <c r="B17" i="1"/>
  <c r="F41" i="1"/>
  <c r="H41" i="1"/>
  <c r="F120" i="1"/>
  <c r="J120" i="1"/>
  <c r="G172" i="1"/>
  <c r="G159" i="1"/>
  <c r="G146" i="1"/>
  <c r="H146" i="1"/>
  <c r="G133" i="1"/>
  <c r="H133" i="1"/>
  <c r="G120" i="1"/>
  <c r="G107" i="1"/>
  <c r="H107" i="1"/>
  <c r="G94" i="1"/>
  <c r="G81" i="1"/>
  <c r="G68" i="1"/>
  <c r="G55" i="1"/>
  <c r="G42" i="1"/>
  <c r="H42" i="1"/>
  <c r="G29" i="1"/>
  <c r="G33" i="1"/>
  <c r="G16" i="1"/>
  <c r="F172" i="1"/>
  <c r="F176" i="1"/>
  <c r="F159" i="1"/>
  <c r="J159" i="1"/>
  <c r="F146" i="1"/>
  <c r="F133" i="1"/>
  <c r="J133" i="1"/>
  <c r="F107" i="1"/>
  <c r="J107" i="1"/>
  <c r="F93" i="1"/>
  <c r="F94" i="1"/>
  <c r="J94" i="1"/>
  <c r="F81" i="1"/>
  <c r="J81" i="1"/>
  <c r="F68" i="1"/>
  <c r="H68" i="1"/>
  <c r="F55" i="1"/>
  <c r="J55" i="1"/>
  <c r="F42" i="1"/>
  <c r="F29" i="1"/>
  <c r="J29" i="1"/>
  <c r="F16" i="1"/>
  <c r="G173" i="4"/>
  <c r="H173" i="4"/>
  <c r="F173" i="4"/>
  <c r="G160" i="4"/>
  <c r="H160" i="4"/>
  <c r="F160" i="4"/>
  <c r="G147" i="4"/>
  <c r="H147" i="4"/>
  <c r="F147" i="4"/>
  <c r="G134" i="4"/>
  <c r="H134" i="4"/>
  <c r="F134" i="4"/>
  <c r="G121" i="4"/>
  <c r="H121" i="4"/>
  <c r="F121" i="4"/>
  <c r="G108" i="4"/>
  <c r="H108" i="4"/>
  <c r="F108" i="4"/>
  <c r="G95" i="4"/>
  <c r="H95" i="4"/>
  <c r="F95" i="4"/>
  <c r="G82" i="4"/>
  <c r="H82" i="4"/>
  <c r="F82" i="4"/>
  <c r="G69" i="4"/>
  <c r="H69" i="4"/>
  <c r="F69" i="4"/>
  <c r="G56" i="4"/>
  <c r="H56" i="4"/>
  <c r="F56" i="4"/>
  <c r="G43" i="4"/>
  <c r="H43" i="4"/>
  <c r="F43" i="4"/>
  <c r="G30" i="4"/>
  <c r="H30" i="4"/>
  <c r="F30" i="4"/>
  <c r="G17" i="4"/>
  <c r="H17" i="4"/>
  <c r="F17" i="4"/>
  <c r="B173" i="4"/>
  <c r="B160" i="4"/>
  <c r="B147" i="4"/>
  <c r="B134" i="4"/>
  <c r="B121" i="4"/>
  <c r="B108" i="4"/>
  <c r="B95" i="4"/>
  <c r="B82" i="4"/>
  <c r="B69" i="4"/>
  <c r="B56" i="4"/>
  <c r="B43" i="4"/>
  <c r="B30" i="4"/>
  <c r="B17" i="4"/>
  <c r="F181" i="5"/>
  <c r="G134" i="5"/>
  <c r="H134" i="5"/>
  <c r="B173" i="5"/>
  <c r="B147" i="5"/>
  <c r="B134" i="5"/>
  <c r="B121" i="5"/>
  <c r="B108" i="5"/>
  <c r="B95" i="5"/>
  <c r="B82" i="5"/>
  <c r="B69" i="5"/>
  <c r="B43" i="5"/>
  <c r="B30" i="5"/>
  <c r="B17" i="5"/>
  <c r="B160" i="5"/>
  <c r="F160" i="5"/>
  <c r="B56" i="5"/>
  <c r="G172" i="3"/>
  <c r="F172" i="3"/>
  <c r="G159" i="3"/>
  <c r="F159" i="3"/>
  <c r="F146" i="3"/>
  <c r="G133" i="3"/>
  <c r="F133" i="3"/>
  <c r="G120" i="3"/>
  <c r="F120" i="3"/>
  <c r="G107" i="3"/>
  <c r="F107" i="3"/>
  <c r="G94" i="3"/>
  <c r="F94" i="3"/>
  <c r="G81" i="3"/>
  <c r="F81" i="3"/>
  <c r="G68" i="3"/>
  <c r="F68" i="3"/>
  <c r="G55" i="3"/>
  <c r="F55" i="3"/>
  <c r="G42" i="3"/>
  <c r="F42" i="3"/>
  <c r="G29" i="3"/>
  <c r="F29" i="3"/>
  <c r="G16" i="3"/>
  <c r="F16" i="3"/>
  <c r="B172" i="3"/>
  <c r="B159" i="3"/>
  <c r="B146" i="3"/>
  <c r="B133" i="3"/>
  <c r="B120" i="3"/>
  <c r="B107" i="3"/>
  <c r="B94" i="3"/>
  <c r="B81" i="3"/>
  <c r="B68" i="3"/>
  <c r="B55" i="3"/>
  <c r="B42" i="3"/>
  <c r="B29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M172" i="1"/>
  <c r="I172" i="1"/>
  <c r="H172" i="1"/>
  <c r="E172" i="1"/>
  <c r="M159" i="1"/>
  <c r="I159" i="1"/>
  <c r="E159" i="1"/>
  <c r="M146" i="1"/>
  <c r="J146" i="1"/>
  <c r="I146" i="1"/>
  <c r="E146" i="1"/>
  <c r="M133" i="1"/>
  <c r="I133" i="1"/>
  <c r="E133" i="1"/>
  <c r="M120" i="1"/>
  <c r="I120" i="1"/>
  <c r="E120" i="1"/>
  <c r="M107" i="1"/>
  <c r="I107" i="1"/>
  <c r="E107" i="1"/>
  <c r="M94" i="1"/>
  <c r="I94" i="1"/>
  <c r="H94" i="1"/>
  <c r="E94" i="1"/>
  <c r="M81" i="1"/>
  <c r="I81" i="1"/>
  <c r="E81" i="1"/>
  <c r="M68" i="1"/>
  <c r="I68" i="1"/>
  <c r="E68" i="1"/>
  <c r="M55" i="1"/>
  <c r="I55" i="1"/>
  <c r="H55" i="1"/>
  <c r="E55" i="1"/>
  <c r="M42" i="1"/>
  <c r="I42" i="1"/>
  <c r="E42" i="1"/>
  <c r="M29" i="1"/>
  <c r="I29" i="1"/>
  <c r="H29" i="1"/>
  <c r="E29" i="1"/>
  <c r="M16" i="1"/>
  <c r="I16" i="1"/>
  <c r="H16" i="1"/>
  <c r="E16" i="1"/>
  <c r="B172" i="1"/>
  <c r="B159" i="1"/>
  <c r="B146" i="1"/>
  <c r="B133" i="1"/>
  <c r="B120" i="1"/>
  <c r="B107" i="1"/>
  <c r="B94" i="1"/>
  <c r="B81" i="1"/>
  <c r="B68" i="1"/>
  <c r="B55" i="1"/>
  <c r="B42" i="1"/>
  <c r="B29" i="1"/>
  <c r="B16" i="1"/>
  <c r="G171" i="1"/>
  <c r="F171" i="1"/>
  <c r="G158" i="1"/>
  <c r="F158" i="1"/>
  <c r="G145" i="1"/>
  <c r="F145" i="1"/>
  <c r="G132" i="1"/>
  <c r="G119" i="1"/>
  <c r="F118" i="1"/>
  <c r="F119" i="1"/>
  <c r="G106" i="1"/>
  <c r="F111" i="1"/>
  <c r="G93" i="1"/>
  <c r="F92" i="1"/>
  <c r="J93" i="1"/>
  <c r="G80" i="1"/>
  <c r="F80" i="1"/>
  <c r="G67" i="1"/>
  <c r="F67" i="1"/>
  <c r="G54" i="1"/>
  <c r="G41" i="1"/>
  <c r="J39" i="1"/>
  <c r="F40" i="1"/>
  <c r="G28" i="1"/>
  <c r="F27" i="1"/>
  <c r="F28" i="1"/>
  <c r="G15" i="1"/>
  <c r="F15" i="1"/>
  <c r="G172" i="4"/>
  <c r="H172" i="4"/>
  <c r="F172" i="4"/>
  <c r="G159" i="4"/>
  <c r="H159" i="4"/>
  <c r="F159" i="4"/>
  <c r="G146" i="4"/>
  <c r="H146" i="4"/>
  <c r="F146" i="4"/>
  <c r="G133" i="4"/>
  <c r="H133" i="4"/>
  <c r="F133" i="4"/>
  <c r="G120" i="4"/>
  <c r="H120" i="4"/>
  <c r="F120" i="4"/>
  <c r="G107" i="4"/>
  <c r="H107" i="4"/>
  <c r="F107" i="4"/>
  <c r="H94" i="4"/>
  <c r="G94" i="4"/>
  <c r="F94" i="4"/>
  <c r="G81" i="4"/>
  <c r="H81" i="4"/>
  <c r="F81" i="4"/>
  <c r="G68" i="4"/>
  <c r="H68" i="4"/>
  <c r="F68" i="4"/>
  <c r="G55" i="4"/>
  <c r="H55" i="4"/>
  <c r="F55" i="4"/>
  <c r="B172" i="4"/>
  <c r="B159" i="4"/>
  <c r="B146" i="4"/>
  <c r="B133" i="4"/>
  <c r="B120" i="4"/>
  <c r="B107" i="4"/>
  <c r="B94" i="4"/>
  <c r="B81" i="4"/>
  <c r="B68" i="4"/>
  <c r="B55" i="4"/>
  <c r="G42" i="4"/>
  <c r="H42" i="4"/>
  <c r="F42" i="4"/>
  <c r="B42" i="4"/>
  <c r="G29" i="4"/>
  <c r="H29" i="4"/>
  <c r="F29" i="4"/>
  <c r="B29" i="4"/>
  <c r="G16" i="4"/>
  <c r="H16" i="4"/>
  <c r="F16" i="4"/>
  <c r="B16" i="4"/>
  <c r="B172" i="5"/>
  <c r="F159" i="5"/>
  <c r="B159" i="5"/>
  <c r="B146" i="5"/>
  <c r="B133" i="5"/>
  <c r="B120" i="5"/>
  <c r="B107" i="5"/>
  <c r="B94" i="5"/>
  <c r="B81" i="5"/>
  <c r="B68" i="5"/>
  <c r="B55" i="5"/>
  <c r="B42" i="5"/>
  <c r="B29" i="5"/>
  <c r="B16" i="5"/>
  <c r="G171" i="3"/>
  <c r="F171" i="3"/>
  <c r="B171" i="3"/>
  <c r="G158" i="3"/>
  <c r="F158" i="3"/>
  <c r="B158" i="3"/>
  <c r="F145" i="3"/>
  <c r="B145" i="3"/>
  <c r="G132" i="3"/>
  <c r="F132" i="3"/>
  <c r="B132" i="3"/>
  <c r="G119" i="3"/>
  <c r="F119" i="3"/>
  <c r="B119" i="3"/>
  <c r="G106" i="3"/>
  <c r="F106" i="3"/>
  <c r="B106" i="3"/>
  <c r="G93" i="3"/>
  <c r="F93" i="3"/>
  <c r="B93" i="3"/>
  <c r="G80" i="3"/>
  <c r="F80" i="3"/>
  <c r="B80" i="3"/>
  <c r="G67" i="3"/>
  <c r="F67" i="3"/>
  <c r="G54" i="3"/>
  <c r="F54" i="3"/>
  <c r="B67" i="3"/>
  <c r="B54" i="3"/>
  <c r="G41" i="3"/>
  <c r="F41" i="3"/>
  <c r="G28" i="3"/>
  <c r="F28" i="3"/>
  <c r="B41" i="3"/>
  <c r="B28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71" i="1"/>
  <c r="J171" i="1"/>
  <c r="I171" i="1"/>
  <c r="H171" i="1"/>
  <c r="E171" i="1"/>
  <c r="M158" i="1"/>
  <c r="J158" i="1"/>
  <c r="I158" i="1"/>
  <c r="H158" i="1"/>
  <c r="E158" i="1"/>
  <c r="M145" i="1"/>
  <c r="J145" i="1"/>
  <c r="I145" i="1"/>
  <c r="H145" i="1"/>
  <c r="E145" i="1"/>
  <c r="M132" i="1"/>
  <c r="I132" i="1"/>
  <c r="E132" i="1"/>
  <c r="M119" i="1"/>
  <c r="J119" i="1"/>
  <c r="I119" i="1"/>
  <c r="H119" i="1"/>
  <c r="E119" i="1"/>
  <c r="M106" i="1"/>
  <c r="J106" i="1"/>
  <c r="I106" i="1"/>
  <c r="H106" i="1"/>
  <c r="E106" i="1"/>
  <c r="M93" i="1"/>
  <c r="I93" i="1"/>
  <c r="E93" i="1"/>
  <c r="M80" i="1"/>
  <c r="J80" i="1"/>
  <c r="I80" i="1"/>
  <c r="H80" i="1"/>
  <c r="E80" i="1"/>
  <c r="M67" i="1"/>
  <c r="J67" i="1"/>
  <c r="I67" i="1"/>
  <c r="H67" i="1"/>
  <c r="E67" i="1"/>
  <c r="M54" i="1"/>
  <c r="I54" i="1"/>
  <c r="E54" i="1"/>
  <c r="M41" i="1"/>
  <c r="I41" i="1"/>
  <c r="E41" i="1"/>
  <c r="M28" i="1"/>
  <c r="J28" i="1"/>
  <c r="I28" i="1"/>
  <c r="H28" i="1"/>
  <c r="E28" i="1"/>
  <c r="M15" i="1"/>
  <c r="J15" i="1"/>
  <c r="I15" i="1"/>
  <c r="H15" i="1"/>
  <c r="E15" i="1"/>
  <c r="B171" i="1"/>
  <c r="B158" i="1"/>
  <c r="B145" i="1"/>
  <c r="B132" i="1"/>
  <c r="B119" i="1"/>
  <c r="B106" i="1"/>
  <c r="B93" i="1"/>
  <c r="B80" i="1"/>
  <c r="B67" i="1"/>
  <c r="B54" i="1"/>
  <c r="B41" i="1"/>
  <c r="B28" i="1"/>
  <c r="B15" i="1"/>
  <c r="F171" i="4"/>
  <c r="G171" i="4"/>
  <c r="H171" i="4"/>
  <c r="F158" i="4"/>
  <c r="G158" i="4"/>
  <c r="H158" i="4"/>
  <c r="F145" i="4"/>
  <c r="G145" i="4"/>
  <c r="H145" i="4"/>
  <c r="F132" i="4"/>
  <c r="G132" i="4"/>
  <c r="H132" i="4"/>
  <c r="F119" i="4"/>
  <c r="G119" i="4"/>
  <c r="H119" i="4"/>
  <c r="F106" i="4"/>
  <c r="G106" i="4"/>
  <c r="H106" i="4"/>
  <c r="F93" i="4"/>
  <c r="G93" i="4"/>
  <c r="H93" i="4"/>
  <c r="F80" i="4"/>
  <c r="G80" i="4"/>
  <c r="H80" i="4"/>
  <c r="F67" i="4"/>
  <c r="G67" i="4"/>
  <c r="H67" i="4"/>
  <c r="F54" i="4"/>
  <c r="G54" i="4"/>
  <c r="H54" i="4"/>
  <c r="F41" i="4"/>
  <c r="G41" i="4"/>
  <c r="H41" i="4"/>
  <c r="F28" i="4"/>
  <c r="G28" i="4"/>
  <c r="H28" i="4"/>
  <c r="F15" i="4"/>
  <c r="G15" i="4"/>
  <c r="H15" i="4"/>
  <c r="B171" i="4"/>
  <c r="B158" i="4"/>
  <c r="B145" i="4"/>
  <c r="B132" i="4"/>
  <c r="B119" i="4"/>
  <c r="B106" i="4"/>
  <c r="B93" i="4"/>
  <c r="B80" i="4"/>
  <c r="B67" i="4"/>
  <c r="B54" i="4"/>
  <c r="B41" i="4"/>
  <c r="B28" i="4"/>
  <c r="B15" i="4"/>
  <c r="F158" i="5"/>
  <c r="B171" i="5"/>
  <c r="B158" i="5"/>
  <c r="B145" i="5"/>
  <c r="B132" i="5"/>
  <c r="B119" i="5"/>
  <c r="B106" i="5"/>
  <c r="B93" i="5"/>
  <c r="B80" i="5"/>
  <c r="B67" i="5"/>
  <c r="B54" i="5"/>
  <c r="B41" i="5"/>
  <c r="B28" i="5"/>
  <c r="B15" i="5"/>
  <c r="F170" i="3"/>
  <c r="G170" i="3"/>
  <c r="F157" i="3"/>
  <c r="G157" i="3"/>
  <c r="F144" i="3"/>
  <c r="F131" i="3"/>
  <c r="G131" i="3"/>
  <c r="F118" i="3"/>
  <c r="G118" i="3"/>
  <c r="F105" i="3"/>
  <c r="G105" i="3"/>
  <c r="F92" i="3"/>
  <c r="G92" i="3"/>
  <c r="F79" i="3"/>
  <c r="G79" i="3"/>
  <c r="F66" i="3"/>
  <c r="G66" i="3"/>
  <c r="F53" i="3"/>
  <c r="G53" i="3"/>
  <c r="F40" i="3"/>
  <c r="G40" i="3"/>
  <c r="F27" i="3"/>
  <c r="G27" i="3"/>
  <c r="F14" i="3"/>
  <c r="G14" i="3"/>
  <c r="B170" i="3"/>
  <c r="B157" i="3"/>
  <c r="B144" i="3"/>
  <c r="B131" i="3"/>
  <c r="B118" i="3"/>
  <c r="B105" i="3"/>
  <c r="B92" i="3"/>
  <c r="B79" i="3"/>
  <c r="B66" i="3"/>
  <c r="B53" i="3"/>
  <c r="B40" i="3"/>
  <c r="B27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117" i="1"/>
  <c r="J117" i="1"/>
  <c r="J129" i="1"/>
  <c r="F91" i="1"/>
  <c r="H91" i="1"/>
  <c r="F52" i="1"/>
  <c r="J52" i="1"/>
  <c r="H170" i="1"/>
  <c r="M170" i="1"/>
  <c r="I170" i="1"/>
  <c r="J170" i="1"/>
  <c r="G170" i="1"/>
  <c r="F170" i="1"/>
  <c r="E170" i="1"/>
  <c r="M157" i="1"/>
  <c r="I157" i="1"/>
  <c r="G157" i="1"/>
  <c r="H157" i="1"/>
  <c r="E157" i="1"/>
  <c r="H144" i="1"/>
  <c r="M144" i="1"/>
  <c r="I144" i="1"/>
  <c r="J144" i="1"/>
  <c r="G144" i="1"/>
  <c r="F144" i="1"/>
  <c r="E144" i="1"/>
  <c r="H131" i="1"/>
  <c r="M131" i="1"/>
  <c r="I131" i="1"/>
  <c r="J131" i="1"/>
  <c r="G131" i="1"/>
  <c r="F131" i="1"/>
  <c r="E131" i="1"/>
  <c r="M118" i="1"/>
  <c r="I118" i="1"/>
  <c r="G118" i="1"/>
  <c r="H118" i="1"/>
  <c r="E118" i="1"/>
  <c r="H105" i="1"/>
  <c r="M105" i="1"/>
  <c r="I105" i="1"/>
  <c r="J105" i="1"/>
  <c r="G105" i="1"/>
  <c r="F105" i="1"/>
  <c r="E105" i="1"/>
  <c r="M92" i="1"/>
  <c r="I92" i="1"/>
  <c r="G92" i="1"/>
  <c r="H92" i="1"/>
  <c r="E92" i="1"/>
  <c r="H79" i="1"/>
  <c r="M79" i="1"/>
  <c r="I79" i="1"/>
  <c r="J79" i="1"/>
  <c r="G79" i="1"/>
  <c r="F79" i="1"/>
  <c r="E79" i="1"/>
  <c r="H66" i="1"/>
  <c r="M66" i="1"/>
  <c r="I66" i="1"/>
  <c r="G66" i="1"/>
  <c r="F72" i="1"/>
  <c r="H72" i="1"/>
  <c r="E66" i="1"/>
  <c r="H53" i="1"/>
  <c r="M53" i="1"/>
  <c r="I53" i="1"/>
  <c r="J53" i="1"/>
  <c r="G53" i="1"/>
  <c r="F53" i="1"/>
  <c r="E53" i="1"/>
  <c r="H40" i="1"/>
  <c r="M40" i="1"/>
  <c r="I40" i="1"/>
  <c r="G40" i="1"/>
  <c r="J40" i="1"/>
  <c r="E40" i="1"/>
  <c r="M27" i="1"/>
  <c r="I27" i="1"/>
  <c r="G27" i="1"/>
  <c r="J27" i="1"/>
  <c r="E27" i="1"/>
  <c r="H14" i="1"/>
  <c r="M14" i="1"/>
  <c r="I14" i="1"/>
  <c r="J14" i="1"/>
  <c r="G14" i="1"/>
  <c r="F14" i="1"/>
  <c r="E14" i="1"/>
  <c r="B170" i="1"/>
  <c r="B157" i="1"/>
  <c r="B144" i="1"/>
  <c r="B131" i="1"/>
  <c r="B118" i="1"/>
  <c r="B105" i="1"/>
  <c r="B92" i="1"/>
  <c r="B79" i="1"/>
  <c r="B66" i="1"/>
  <c r="B53" i="1"/>
  <c r="B40" i="1"/>
  <c r="B27" i="1"/>
  <c r="B14" i="1"/>
  <c r="A35" i="2"/>
  <c r="A14" i="2"/>
  <c r="G169" i="1"/>
  <c r="H169" i="1"/>
  <c r="G156" i="1"/>
  <c r="G143" i="1"/>
  <c r="G130" i="1"/>
  <c r="G137" i="1"/>
  <c r="G117" i="1"/>
  <c r="G104" i="1"/>
  <c r="G91" i="1"/>
  <c r="G78" i="1"/>
  <c r="G65" i="1"/>
  <c r="H65" i="1"/>
  <c r="G52" i="1"/>
  <c r="G39" i="1"/>
  <c r="G26" i="1"/>
  <c r="G13" i="1"/>
  <c r="F169" i="1"/>
  <c r="F156" i="1"/>
  <c r="F143" i="1"/>
  <c r="F101" i="1"/>
  <c r="H101" i="1"/>
  <c r="F104" i="1"/>
  <c r="J104" i="1"/>
  <c r="F90" i="1"/>
  <c r="F78" i="1"/>
  <c r="J78" i="1"/>
  <c r="F65" i="1"/>
  <c r="J26" i="1"/>
  <c r="F13" i="1"/>
  <c r="G170" i="4"/>
  <c r="H170" i="4"/>
  <c r="F170" i="4"/>
  <c r="G157" i="4"/>
  <c r="H157" i="4"/>
  <c r="F157" i="4"/>
  <c r="G144" i="4"/>
  <c r="H144" i="4"/>
  <c r="F144" i="4"/>
  <c r="G131" i="4"/>
  <c r="H131" i="4"/>
  <c r="F131" i="4"/>
  <c r="G118" i="4"/>
  <c r="H118" i="4"/>
  <c r="F118" i="4"/>
  <c r="G105" i="4"/>
  <c r="H105" i="4"/>
  <c r="F105" i="4"/>
  <c r="G92" i="4"/>
  <c r="H92" i="4"/>
  <c r="F92" i="4"/>
  <c r="G79" i="4"/>
  <c r="H79" i="4"/>
  <c r="F79" i="4"/>
  <c r="G66" i="4"/>
  <c r="H66" i="4"/>
  <c r="F66" i="4"/>
  <c r="G53" i="4"/>
  <c r="H53" i="4"/>
  <c r="F53" i="4"/>
  <c r="G40" i="4"/>
  <c r="H40" i="4"/>
  <c r="F40" i="4"/>
  <c r="G27" i="4"/>
  <c r="H27" i="4"/>
  <c r="F27" i="4"/>
  <c r="G14" i="4"/>
  <c r="H14" i="4"/>
  <c r="F14" i="4"/>
  <c r="B170" i="4"/>
  <c r="B157" i="4"/>
  <c r="B144" i="4"/>
  <c r="B131" i="4"/>
  <c r="B118" i="4"/>
  <c r="B105" i="4"/>
  <c r="B92" i="4"/>
  <c r="B79" i="4"/>
  <c r="B66" i="4"/>
  <c r="B53" i="4"/>
  <c r="B40" i="4"/>
  <c r="B27" i="4"/>
  <c r="B14" i="4"/>
  <c r="G157" i="5"/>
  <c r="H157" i="5"/>
  <c r="F157" i="5"/>
  <c r="B170" i="5"/>
  <c r="B157" i="5"/>
  <c r="B144" i="5"/>
  <c r="B131" i="5"/>
  <c r="B118" i="5"/>
  <c r="B105" i="5"/>
  <c r="B92" i="5"/>
  <c r="B79" i="5"/>
  <c r="B66" i="5"/>
  <c r="B53" i="5"/>
  <c r="B40" i="5"/>
  <c r="B27" i="5"/>
  <c r="B14" i="5"/>
  <c r="G169" i="3"/>
  <c r="F169" i="3"/>
  <c r="G156" i="3"/>
  <c r="F156" i="3"/>
  <c r="G143" i="3"/>
  <c r="F143" i="3"/>
  <c r="G130" i="3"/>
  <c r="F130" i="3"/>
  <c r="G117" i="3"/>
  <c r="F117" i="3"/>
  <c r="G104" i="3"/>
  <c r="F104" i="3"/>
  <c r="G91" i="3"/>
  <c r="F91" i="3"/>
  <c r="G78" i="3"/>
  <c r="F78" i="3"/>
  <c r="G65" i="3"/>
  <c r="F65" i="3"/>
  <c r="G52" i="3"/>
  <c r="F52" i="3"/>
  <c r="G39" i="3"/>
  <c r="F39" i="3"/>
  <c r="G26" i="3"/>
  <c r="F26" i="3"/>
  <c r="G13" i="3"/>
  <c r="F13" i="3"/>
  <c r="B169" i="3"/>
  <c r="B156" i="3"/>
  <c r="B143" i="3"/>
  <c r="B130" i="3"/>
  <c r="B117" i="3"/>
  <c r="B104" i="3"/>
  <c r="B91" i="3"/>
  <c r="B78" i="3"/>
  <c r="B65" i="3"/>
  <c r="B52" i="3"/>
  <c r="B39" i="3"/>
  <c r="B26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69" i="1"/>
  <c r="J169" i="1"/>
  <c r="I169" i="1"/>
  <c r="E169" i="1"/>
  <c r="M156" i="1"/>
  <c r="J156" i="1"/>
  <c r="I156" i="1"/>
  <c r="E156" i="1"/>
  <c r="M143" i="1"/>
  <c r="J143" i="1"/>
  <c r="I143" i="1"/>
  <c r="E143" i="1"/>
  <c r="M130" i="1"/>
  <c r="I130" i="1"/>
  <c r="M117" i="1"/>
  <c r="I117" i="1"/>
  <c r="H117" i="1"/>
  <c r="E117" i="1"/>
  <c r="M104" i="1"/>
  <c r="I104" i="1"/>
  <c r="H104" i="1"/>
  <c r="E104" i="1"/>
  <c r="M91" i="1"/>
  <c r="I91" i="1"/>
  <c r="E91" i="1"/>
  <c r="M78" i="1"/>
  <c r="I78" i="1"/>
  <c r="E78" i="1"/>
  <c r="M65" i="1"/>
  <c r="I65" i="1"/>
  <c r="E65" i="1"/>
  <c r="M52" i="1"/>
  <c r="I52" i="1"/>
  <c r="E52" i="1"/>
  <c r="M39" i="1"/>
  <c r="I39" i="1"/>
  <c r="E39" i="1"/>
  <c r="M26" i="1"/>
  <c r="I26" i="1"/>
  <c r="E26" i="1"/>
  <c r="M13" i="1"/>
  <c r="J13" i="1"/>
  <c r="I13" i="1"/>
  <c r="E13" i="1"/>
  <c r="B169" i="1"/>
  <c r="B156" i="1"/>
  <c r="B143" i="1"/>
  <c r="B130" i="1"/>
  <c r="B117" i="1"/>
  <c r="B104" i="1"/>
  <c r="B91" i="1"/>
  <c r="B78" i="1"/>
  <c r="B65" i="1"/>
  <c r="B52" i="1"/>
  <c r="B39" i="1"/>
  <c r="B26" i="1"/>
  <c r="B13" i="1"/>
  <c r="G90" i="1"/>
  <c r="G168" i="1"/>
  <c r="G155" i="1"/>
  <c r="G142" i="1"/>
  <c r="G129" i="1"/>
  <c r="G116" i="1"/>
  <c r="G103" i="1"/>
  <c r="H103" i="1"/>
  <c r="G77" i="1"/>
  <c r="G64" i="1"/>
  <c r="G51" i="1"/>
  <c r="H51" i="1"/>
  <c r="G38" i="1"/>
  <c r="G25" i="1"/>
  <c r="G12" i="1"/>
  <c r="F20" i="1"/>
  <c r="J12" i="1"/>
  <c r="F168" i="1"/>
  <c r="J168" i="1"/>
  <c r="F154" i="1"/>
  <c r="J154" i="1"/>
  <c r="H155" i="1"/>
  <c r="F142" i="1"/>
  <c r="J142" i="1"/>
  <c r="H129" i="1"/>
  <c r="F116" i="1"/>
  <c r="J116" i="1"/>
  <c r="F103" i="1"/>
  <c r="J103" i="1"/>
  <c r="F77" i="1"/>
  <c r="J77" i="1"/>
  <c r="F63" i="1"/>
  <c r="F64" i="1"/>
  <c r="H64" i="1"/>
  <c r="F49" i="1"/>
  <c r="F48" i="1"/>
  <c r="H48" i="1"/>
  <c r="J48" i="1"/>
  <c r="F51" i="1"/>
  <c r="J51" i="1"/>
  <c r="F38" i="1"/>
  <c r="J38" i="1"/>
  <c r="F25" i="1"/>
  <c r="G169" i="4"/>
  <c r="H169" i="4"/>
  <c r="F169" i="4"/>
  <c r="G156" i="4"/>
  <c r="H156" i="4"/>
  <c r="F156" i="4"/>
  <c r="G143" i="4"/>
  <c r="H143" i="4"/>
  <c r="F143" i="4"/>
  <c r="G130" i="4"/>
  <c r="H130" i="4"/>
  <c r="F130" i="4"/>
  <c r="G117" i="4"/>
  <c r="H117" i="4"/>
  <c r="F117" i="4"/>
  <c r="G104" i="4"/>
  <c r="H104" i="4"/>
  <c r="F104" i="4"/>
  <c r="G91" i="4"/>
  <c r="H91" i="4"/>
  <c r="F91" i="4"/>
  <c r="G78" i="4"/>
  <c r="H78" i="4"/>
  <c r="F78" i="4"/>
  <c r="G65" i="4"/>
  <c r="H65" i="4"/>
  <c r="F65" i="4"/>
  <c r="G52" i="4"/>
  <c r="H52" i="4"/>
  <c r="F52" i="4"/>
  <c r="G39" i="4"/>
  <c r="H39" i="4"/>
  <c r="F39" i="4"/>
  <c r="G26" i="4"/>
  <c r="H26" i="4"/>
  <c r="F26" i="4"/>
  <c r="G13" i="4"/>
  <c r="H13" i="4"/>
  <c r="F13" i="4"/>
  <c r="B169" i="4"/>
  <c r="B156" i="4"/>
  <c r="B143" i="4"/>
  <c r="B130" i="4"/>
  <c r="B117" i="4"/>
  <c r="B104" i="4"/>
  <c r="B91" i="4"/>
  <c r="B78" i="4"/>
  <c r="B65" i="4"/>
  <c r="B52" i="4"/>
  <c r="B39" i="4"/>
  <c r="B26" i="4"/>
  <c r="B13" i="4"/>
  <c r="G156" i="5"/>
  <c r="H156" i="5"/>
  <c r="F156" i="5"/>
  <c r="B169" i="5"/>
  <c r="B156" i="5"/>
  <c r="B143" i="5"/>
  <c r="B130" i="5"/>
  <c r="B117" i="5"/>
  <c r="B104" i="5"/>
  <c r="B91" i="5"/>
  <c r="B78" i="5"/>
  <c r="B65" i="5"/>
  <c r="B52" i="5"/>
  <c r="B39" i="5"/>
  <c r="B26" i="5"/>
  <c r="B13" i="5"/>
  <c r="G168" i="3"/>
  <c r="F168" i="3"/>
  <c r="G155" i="3"/>
  <c r="F155" i="3"/>
  <c r="G142" i="3"/>
  <c r="F142" i="3"/>
  <c r="G129" i="3"/>
  <c r="F129" i="3"/>
  <c r="G116" i="3"/>
  <c r="F116" i="3"/>
  <c r="G103" i="3"/>
  <c r="F103" i="3"/>
  <c r="G90" i="3"/>
  <c r="F90" i="3"/>
  <c r="G77" i="3"/>
  <c r="F77" i="3"/>
  <c r="G64" i="3"/>
  <c r="F64" i="3"/>
  <c r="G51" i="3"/>
  <c r="F51" i="3"/>
  <c r="G38" i="3"/>
  <c r="F38" i="3"/>
  <c r="G25" i="3"/>
  <c r="F25" i="3"/>
  <c r="B168" i="3"/>
  <c r="B155" i="3"/>
  <c r="B142" i="3"/>
  <c r="B129" i="3"/>
  <c r="B116" i="3"/>
  <c r="B103" i="3"/>
  <c r="B90" i="3"/>
  <c r="B77" i="3"/>
  <c r="B64" i="3"/>
  <c r="B51" i="3"/>
  <c r="B38" i="3"/>
  <c r="B25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68" i="1"/>
  <c r="I168" i="1"/>
  <c r="H168" i="1"/>
  <c r="E168" i="1"/>
  <c r="M155" i="1"/>
  <c r="I155" i="1"/>
  <c r="E155" i="1"/>
  <c r="M142" i="1"/>
  <c r="I142" i="1"/>
  <c r="E142" i="1"/>
  <c r="M129" i="1"/>
  <c r="I129" i="1"/>
  <c r="E129" i="1"/>
  <c r="M116" i="1"/>
  <c r="I116" i="1"/>
  <c r="E116" i="1"/>
  <c r="M103" i="1"/>
  <c r="I103" i="1"/>
  <c r="E103" i="1"/>
  <c r="M90" i="1"/>
  <c r="I90" i="1"/>
  <c r="E90" i="1"/>
  <c r="M77" i="1"/>
  <c r="I77" i="1"/>
  <c r="E77" i="1"/>
  <c r="M64" i="1"/>
  <c r="J64" i="1"/>
  <c r="I64" i="1"/>
  <c r="E64" i="1"/>
  <c r="M51" i="1"/>
  <c r="I51" i="1"/>
  <c r="E51" i="1"/>
  <c r="M38" i="1"/>
  <c r="I38" i="1"/>
  <c r="H38" i="1"/>
  <c r="E38" i="1"/>
  <c r="M25" i="1"/>
  <c r="J25" i="1"/>
  <c r="I25" i="1"/>
  <c r="E25" i="1"/>
  <c r="M12" i="1"/>
  <c r="I12" i="1"/>
  <c r="H12" i="1"/>
  <c r="E12" i="1"/>
  <c r="B168" i="1"/>
  <c r="B155" i="1"/>
  <c r="B142" i="1"/>
  <c r="B129" i="1"/>
  <c r="B116" i="1"/>
  <c r="B103" i="1"/>
  <c r="B90" i="1"/>
  <c r="B77" i="1"/>
  <c r="B64" i="1"/>
  <c r="B51" i="1"/>
  <c r="B38" i="1"/>
  <c r="B25" i="1"/>
  <c r="B12" i="1"/>
  <c r="F89" i="1"/>
  <c r="H89" i="1"/>
  <c r="G167" i="1"/>
  <c r="G154" i="1"/>
  <c r="G141" i="1"/>
  <c r="G128" i="1"/>
  <c r="G115" i="1"/>
  <c r="G102" i="1"/>
  <c r="G89" i="1"/>
  <c r="G76" i="1"/>
  <c r="G63" i="1"/>
  <c r="G50" i="1"/>
  <c r="H50" i="1"/>
  <c r="G37" i="1"/>
  <c r="G24" i="1"/>
  <c r="G11" i="1"/>
  <c r="F167" i="1"/>
  <c r="F141" i="1"/>
  <c r="F128" i="1"/>
  <c r="F115" i="1"/>
  <c r="F102" i="1"/>
  <c r="F76" i="1"/>
  <c r="H63" i="1"/>
  <c r="F50" i="1"/>
  <c r="F37" i="1"/>
  <c r="H37" i="1"/>
  <c r="F24" i="1"/>
  <c r="J24" i="1"/>
  <c r="G168" i="4"/>
  <c r="H168" i="4"/>
  <c r="F168" i="4"/>
  <c r="G155" i="4"/>
  <c r="H155" i="4"/>
  <c r="F155" i="4"/>
  <c r="G142" i="4"/>
  <c r="H142" i="4"/>
  <c r="F142" i="4"/>
  <c r="G129" i="4"/>
  <c r="H129" i="4"/>
  <c r="F129" i="4"/>
  <c r="G116" i="4"/>
  <c r="H116" i="4"/>
  <c r="F116" i="4"/>
  <c r="G103" i="4"/>
  <c r="H103" i="4"/>
  <c r="F103" i="4"/>
  <c r="G90" i="4"/>
  <c r="H90" i="4"/>
  <c r="F90" i="4"/>
  <c r="G77" i="4"/>
  <c r="H77" i="4"/>
  <c r="F77" i="4"/>
  <c r="G64" i="4"/>
  <c r="H64" i="4"/>
  <c r="F64" i="4"/>
  <c r="G51" i="4"/>
  <c r="H51" i="4"/>
  <c r="F51" i="4"/>
  <c r="G38" i="4"/>
  <c r="H38" i="4"/>
  <c r="F38" i="4"/>
  <c r="G25" i="4"/>
  <c r="H25" i="4"/>
  <c r="F25" i="4"/>
  <c r="G12" i="4"/>
  <c r="H12" i="4"/>
  <c r="F12" i="4"/>
  <c r="B168" i="4"/>
  <c r="B155" i="4"/>
  <c r="B142" i="4"/>
  <c r="B129" i="4"/>
  <c r="B116" i="4"/>
  <c r="B103" i="4"/>
  <c r="B90" i="4"/>
  <c r="B77" i="4"/>
  <c r="B64" i="4"/>
  <c r="B51" i="4"/>
  <c r="B38" i="4"/>
  <c r="B25" i="4"/>
  <c r="B12" i="4"/>
  <c r="G155" i="5"/>
  <c r="H155" i="5"/>
  <c r="F155" i="5"/>
  <c r="B168" i="5"/>
  <c r="B155" i="5"/>
  <c r="B142" i="5"/>
  <c r="B129" i="5"/>
  <c r="B116" i="5"/>
  <c r="B103" i="5"/>
  <c r="B90" i="5"/>
  <c r="B77" i="5"/>
  <c r="B64" i="5"/>
  <c r="B51" i="5"/>
  <c r="B38" i="5"/>
  <c r="B25" i="5"/>
  <c r="B12" i="5"/>
  <c r="G167" i="3"/>
  <c r="F167" i="3"/>
  <c r="G154" i="3"/>
  <c r="F154" i="3"/>
  <c r="G141" i="3"/>
  <c r="F141" i="3"/>
  <c r="G128" i="3"/>
  <c r="F128" i="3"/>
  <c r="G115" i="3"/>
  <c r="F115" i="3"/>
  <c r="G102" i="3"/>
  <c r="F102" i="3"/>
  <c r="G89" i="3"/>
  <c r="F89" i="3"/>
  <c r="G76" i="3"/>
  <c r="F76" i="3"/>
  <c r="G63" i="3"/>
  <c r="F63" i="3"/>
  <c r="G50" i="3"/>
  <c r="F50" i="3"/>
  <c r="G37" i="3"/>
  <c r="F37" i="3"/>
  <c r="G24" i="3"/>
  <c r="F24" i="3"/>
  <c r="B167" i="3"/>
  <c r="B154" i="3"/>
  <c r="B141" i="3"/>
  <c r="B128" i="3"/>
  <c r="B115" i="3"/>
  <c r="B102" i="3"/>
  <c r="B89" i="3"/>
  <c r="B76" i="3"/>
  <c r="B63" i="3"/>
  <c r="B50" i="3"/>
  <c r="B37" i="3"/>
  <c r="B24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67" i="1"/>
  <c r="J167" i="1"/>
  <c r="I167" i="1"/>
  <c r="E167" i="1"/>
  <c r="M154" i="1"/>
  <c r="I154" i="1"/>
  <c r="E154" i="1"/>
  <c r="M141" i="1"/>
  <c r="J141" i="1"/>
  <c r="I141" i="1"/>
  <c r="E141" i="1"/>
  <c r="M128" i="1"/>
  <c r="J128" i="1"/>
  <c r="I128" i="1"/>
  <c r="E128" i="1"/>
  <c r="M115" i="1"/>
  <c r="J115" i="1"/>
  <c r="I115" i="1"/>
  <c r="H115" i="1"/>
  <c r="E115" i="1"/>
  <c r="M102" i="1"/>
  <c r="J102" i="1"/>
  <c r="I102" i="1"/>
  <c r="E102" i="1"/>
  <c r="M89" i="1"/>
  <c r="I89" i="1"/>
  <c r="E89" i="1"/>
  <c r="M76" i="1"/>
  <c r="J76" i="1"/>
  <c r="I76" i="1"/>
  <c r="E76" i="1"/>
  <c r="M63" i="1"/>
  <c r="J63" i="1"/>
  <c r="I63" i="1"/>
  <c r="E63" i="1"/>
  <c r="M50" i="1"/>
  <c r="J50" i="1"/>
  <c r="I50" i="1"/>
  <c r="E50" i="1"/>
  <c r="M37" i="1"/>
  <c r="J37" i="1"/>
  <c r="I37" i="1"/>
  <c r="E37" i="1"/>
  <c r="M24" i="1"/>
  <c r="I24" i="1"/>
  <c r="E24" i="1"/>
  <c r="M11" i="1"/>
  <c r="I11" i="1"/>
  <c r="E11" i="1"/>
  <c r="B167" i="1"/>
  <c r="B154" i="1"/>
  <c r="B141" i="1"/>
  <c r="B128" i="1"/>
  <c r="B115" i="1"/>
  <c r="B102" i="1"/>
  <c r="B89" i="1"/>
  <c r="B76" i="1"/>
  <c r="B63" i="1"/>
  <c r="B50" i="1"/>
  <c r="B37" i="1"/>
  <c r="B24" i="1"/>
  <c r="B11" i="1"/>
  <c r="G167" i="4"/>
  <c r="H167" i="4"/>
  <c r="F167" i="4"/>
  <c r="G154" i="4"/>
  <c r="H154" i="4"/>
  <c r="F154" i="4"/>
  <c r="G141" i="4"/>
  <c r="H141" i="4"/>
  <c r="F141" i="4"/>
  <c r="G128" i="4"/>
  <c r="H128" i="4"/>
  <c r="F128" i="4"/>
  <c r="G115" i="4"/>
  <c r="H115" i="4"/>
  <c r="F115" i="4"/>
  <c r="G102" i="4"/>
  <c r="H102" i="4"/>
  <c r="F102" i="4"/>
  <c r="G89" i="4"/>
  <c r="H89" i="4"/>
  <c r="F89" i="4"/>
  <c r="G76" i="4"/>
  <c r="H76" i="4"/>
  <c r="F76" i="4"/>
  <c r="G63" i="4"/>
  <c r="H63" i="4"/>
  <c r="F63" i="4"/>
  <c r="G50" i="4"/>
  <c r="H50" i="4"/>
  <c r="F50" i="4"/>
  <c r="G37" i="4"/>
  <c r="H37" i="4"/>
  <c r="F37" i="4"/>
  <c r="G24" i="4"/>
  <c r="H24" i="4"/>
  <c r="F24" i="4"/>
  <c r="G11" i="4"/>
  <c r="H11" i="4"/>
  <c r="F11" i="4"/>
  <c r="B167" i="4"/>
  <c r="B154" i="4"/>
  <c r="B141" i="4"/>
  <c r="B128" i="4"/>
  <c r="B115" i="4"/>
  <c r="B102" i="4"/>
  <c r="B89" i="4"/>
  <c r="B76" i="4"/>
  <c r="B63" i="4"/>
  <c r="B50" i="4"/>
  <c r="B37" i="4"/>
  <c r="B24" i="4"/>
  <c r="B11" i="4"/>
  <c r="G154" i="5"/>
  <c r="H154" i="5"/>
  <c r="F154" i="5"/>
  <c r="B167" i="5"/>
  <c r="B154" i="5"/>
  <c r="B141" i="5"/>
  <c r="B128" i="5"/>
  <c r="B115" i="5"/>
  <c r="B102" i="5"/>
  <c r="B89" i="5"/>
  <c r="B76" i="5"/>
  <c r="B63" i="5"/>
  <c r="B50" i="5"/>
  <c r="B37" i="5"/>
  <c r="B24" i="5"/>
  <c r="B11" i="5"/>
  <c r="G166" i="3"/>
  <c r="F166" i="3"/>
  <c r="G153" i="3"/>
  <c r="F153" i="3"/>
  <c r="G140" i="3"/>
  <c r="F140" i="3"/>
  <c r="G127" i="3"/>
  <c r="F127" i="3"/>
  <c r="G114" i="3"/>
  <c r="F114" i="3"/>
  <c r="G101" i="3"/>
  <c r="F101" i="3"/>
  <c r="G88" i="3"/>
  <c r="F88" i="3"/>
  <c r="G75" i="3"/>
  <c r="F75" i="3"/>
  <c r="G62" i="3"/>
  <c r="F62" i="3"/>
  <c r="G49" i="3"/>
  <c r="F49" i="3"/>
  <c r="G36" i="3"/>
  <c r="F36" i="3"/>
  <c r="G23" i="3"/>
  <c r="F23" i="3"/>
  <c r="G10" i="3"/>
  <c r="F10" i="3"/>
  <c r="B166" i="3"/>
  <c r="B153" i="3"/>
  <c r="B140" i="3"/>
  <c r="B127" i="3"/>
  <c r="B114" i="3"/>
  <c r="B101" i="3"/>
  <c r="B88" i="3"/>
  <c r="B75" i="3"/>
  <c r="B62" i="3"/>
  <c r="B49" i="3"/>
  <c r="B36" i="3"/>
  <c r="B23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100" i="1"/>
  <c r="M166" i="1"/>
  <c r="J166" i="1"/>
  <c r="I166" i="1"/>
  <c r="H166" i="1"/>
  <c r="E166" i="1"/>
  <c r="G166" i="1"/>
  <c r="F166" i="1"/>
  <c r="M153" i="1"/>
  <c r="J153" i="1"/>
  <c r="I153" i="1"/>
  <c r="H153" i="1"/>
  <c r="E153" i="1"/>
  <c r="G153" i="1"/>
  <c r="F153" i="1"/>
  <c r="M140" i="1"/>
  <c r="J140" i="1"/>
  <c r="I140" i="1"/>
  <c r="H140" i="1"/>
  <c r="E140" i="1"/>
  <c r="G140" i="1"/>
  <c r="F140" i="1"/>
  <c r="M127" i="1"/>
  <c r="J127" i="1"/>
  <c r="I127" i="1"/>
  <c r="H127" i="1"/>
  <c r="E127" i="1"/>
  <c r="G127" i="1"/>
  <c r="F127" i="1"/>
  <c r="M114" i="1"/>
  <c r="J114" i="1"/>
  <c r="I114" i="1"/>
  <c r="H114" i="1"/>
  <c r="E114" i="1"/>
  <c r="G114" i="1"/>
  <c r="F114" i="1"/>
  <c r="M101" i="1"/>
  <c r="I101" i="1"/>
  <c r="E101" i="1"/>
  <c r="G101" i="1"/>
  <c r="M88" i="1"/>
  <c r="J88" i="1"/>
  <c r="I88" i="1"/>
  <c r="H88" i="1"/>
  <c r="E88" i="1"/>
  <c r="G88" i="1"/>
  <c r="F88" i="1"/>
  <c r="M75" i="1"/>
  <c r="J75" i="1"/>
  <c r="I75" i="1"/>
  <c r="H75" i="1"/>
  <c r="E75" i="1"/>
  <c r="G75" i="1"/>
  <c r="F75" i="1"/>
  <c r="M62" i="1"/>
  <c r="J62" i="1"/>
  <c r="I62" i="1"/>
  <c r="H62" i="1"/>
  <c r="E62" i="1"/>
  <c r="G62" i="1"/>
  <c r="F62" i="1"/>
  <c r="M49" i="1"/>
  <c r="I49" i="1"/>
  <c r="E49" i="1"/>
  <c r="G49" i="1"/>
  <c r="J49" i="1"/>
  <c r="M36" i="1"/>
  <c r="J36" i="1"/>
  <c r="I36" i="1"/>
  <c r="H36" i="1"/>
  <c r="E36" i="1"/>
  <c r="G36" i="1"/>
  <c r="F36" i="1"/>
  <c r="M23" i="1"/>
  <c r="I23" i="1"/>
  <c r="E23" i="1"/>
  <c r="G23" i="1"/>
  <c r="F23" i="1"/>
  <c r="H23" i="1"/>
  <c r="M10" i="1"/>
  <c r="J10" i="1"/>
  <c r="I10" i="1"/>
  <c r="H10" i="1"/>
  <c r="E10" i="1"/>
  <c r="G10" i="1"/>
  <c r="F10" i="1"/>
  <c r="B166" i="1"/>
  <c r="B153" i="1"/>
  <c r="B140" i="1"/>
  <c r="B127" i="1"/>
  <c r="B114" i="1"/>
  <c r="B101" i="1"/>
  <c r="B88" i="1"/>
  <c r="B75" i="1"/>
  <c r="B62" i="1"/>
  <c r="B49" i="1"/>
  <c r="B36" i="1"/>
  <c r="B23" i="1"/>
  <c r="B10" i="1"/>
  <c r="B166" i="4"/>
  <c r="B153" i="4"/>
  <c r="B140" i="4"/>
  <c r="B127" i="4"/>
  <c r="B114" i="4"/>
  <c r="B101" i="4"/>
  <c r="B88" i="4"/>
  <c r="B75" i="4"/>
  <c r="B62" i="4"/>
  <c r="B49" i="4"/>
  <c r="B36" i="4"/>
  <c r="B23" i="4"/>
  <c r="B10" i="4"/>
  <c r="B166" i="5"/>
  <c r="B153" i="5"/>
  <c r="B140" i="5"/>
  <c r="B127" i="5"/>
  <c r="B114" i="5"/>
  <c r="B101" i="5"/>
  <c r="B88" i="5"/>
  <c r="B75" i="5"/>
  <c r="B62" i="5"/>
  <c r="B49" i="5"/>
  <c r="B36" i="5"/>
  <c r="B23" i="5"/>
  <c r="B10" i="5"/>
  <c r="B165" i="3"/>
  <c r="B152" i="3"/>
  <c r="B139" i="3"/>
  <c r="B126" i="3"/>
  <c r="B113" i="3"/>
  <c r="B100" i="3"/>
  <c r="B87" i="3"/>
  <c r="B74" i="3"/>
  <c r="B61" i="3"/>
  <c r="B48" i="3"/>
  <c r="B35" i="3"/>
  <c r="B22" i="3"/>
  <c r="B9" i="3"/>
  <c r="A31" i="2"/>
  <c r="A10" i="2"/>
  <c r="G165" i="1"/>
  <c r="F165" i="1"/>
  <c r="G152" i="1"/>
  <c r="F152" i="1"/>
  <c r="G139" i="1"/>
  <c r="F139" i="1"/>
  <c r="G126" i="1"/>
  <c r="F126" i="1"/>
  <c r="G113" i="1"/>
  <c r="F113" i="1"/>
  <c r="F100" i="1"/>
  <c r="G87" i="1"/>
  <c r="F87" i="1"/>
  <c r="G74" i="1"/>
  <c r="F74" i="1"/>
  <c r="G61" i="1"/>
  <c r="F61" i="1"/>
  <c r="G48" i="1"/>
  <c r="G35" i="1"/>
  <c r="F35" i="1"/>
  <c r="G22" i="1"/>
  <c r="F22" i="1"/>
  <c r="G9" i="1"/>
  <c r="F9" i="1"/>
  <c r="B165" i="1"/>
  <c r="B152" i="1"/>
  <c r="B139" i="1"/>
  <c r="B126" i="1"/>
  <c r="B113" i="1"/>
  <c r="B100" i="1"/>
  <c r="B87" i="1"/>
  <c r="B74" i="1"/>
  <c r="B61" i="1"/>
  <c r="B48" i="1"/>
  <c r="B35" i="1"/>
  <c r="B22" i="1"/>
  <c r="B9" i="1"/>
  <c r="J126" i="1"/>
  <c r="F153" i="5"/>
  <c r="J139" i="1"/>
  <c r="J74" i="1"/>
  <c r="G153" i="5"/>
  <c r="H153" i="5"/>
  <c r="B10" i="2"/>
  <c r="E177" i="5"/>
  <c r="D177" i="5"/>
  <c r="C177" i="5"/>
  <c r="E164" i="5"/>
  <c r="D164" i="5"/>
  <c r="C164" i="5"/>
  <c r="G164" i="5"/>
  <c r="H164" i="5"/>
  <c r="E151" i="5"/>
  <c r="D151" i="5"/>
  <c r="C151" i="5"/>
  <c r="E138" i="5"/>
  <c r="D138" i="5"/>
  <c r="G138" i="5"/>
  <c r="H138" i="5"/>
  <c r="C138" i="5"/>
  <c r="E125" i="5"/>
  <c r="D125" i="5"/>
  <c r="C125" i="5"/>
  <c r="E112" i="5"/>
  <c r="D112" i="5"/>
  <c r="C112" i="5"/>
  <c r="E99" i="5"/>
  <c r="D99" i="5"/>
  <c r="C99" i="5"/>
  <c r="E86" i="5"/>
  <c r="D86" i="5"/>
  <c r="C86" i="5"/>
  <c r="E73" i="5"/>
  <c r="D73" i="5"/>
  <c r="C73" i="5"/>
  <c r="E60" i="5"/>
  <c r="D60" i="5"/>
  <c r="F60" i="5"/>
  <c r="C60" i="5"/>
  <c r="E47" i="5"/>
  <c r="D47" i="5"/>
  <c r="C47" i="5"/>
  <c r="E34" i="5"/>
  <c r="D34" i="5"/>
  <c r="C34" i="5"/>
  <c r="E21" i="5"/>
  <c r="D21" i="5"/>
  <c r="F21" i="5"/>
  <c r="C21" i="5"/>
  <c r="L59" i="1"/>
  <c r="F75" i="4"/>
  <c r="F74" i="3"/>
  <c r="M74" i="1"/>
  <c r="E74" i="1"/>
  <c r="F166" i="4"/>
  <c r="F165" i="3"/>
  <c r="G31" i="2"/>
  <c r="G10" i="2"/>
  <c r="M165" i="1"/>
  <c r="E165" i="1"/>
  <c r="E86" i="4"/>
  <c r="D86" i="4"/>
  <c r="F86" i="4"/>
  <c r="C86" i="4"/>
  <c r="G75" i="4"/>
  <c r="H75" i="4"/>
  <c r="E85" i="3"/>
  <c r="D85" i="3"/>
  <c r="F85" i="3"/>
  <c r="C85" i="3"/>
  <c r="G74" i="3"/>
  <c r="L85" i="1"/>
  <c r="D85" i="1"/>
  <c r="C85" i="1"/>
  <c r="I74" i="1"/>
  <c r="G166" i="4"/>
  <c r="H166" i="4"/>
  <c r="G165" i="3"/>
  <c r="I165" i="1"/>
  <c r="D20" i="1"/>
  <c r="D33" i="1"/>
  <c r="D46" i="1"/>
  <c r="E46" i="1"/>
  <c r="D59" i="1"/>
  <c r="D72" i="1"/>
  <c r="D98" i="1"/>
  <c r="D111" i="1"/>
  <c r="D124" i="1"/>
  <c r="D137" i="1"/>
  <c r="D150" i="1"/>
  <c r="D163" i="1"/>
  <c r="D176" i="1"/>
  <c r="E176" i="1"/>
  <c r="C176" i="1"/>
  <c r="C177" i="4"/>
  <c r="D177" i="4"/>
  <c r="F177" i="4"/>
  <c r="C176" i="3"/>
  <c r="D176" i="3"/>
  <c r="G176" i="3"/>
  <c r="E21" i="4"/>
  <c r="E34" i="4"/>
  <c r="F34" i="4"/>
  <c r="E47" i="4"/>
  <c r="E60" i="4"/>
  <c r="F60" i="4"/>
  <c r="E73" i="4"/>
  <c r="F73" i="4"/>
  <c r="E99" i="4"/>
  <c r="E112" i="4"/>
  <c r="F112" i="4"/>
  <c r="E125" i="4"/>
  <c r="E138" i="4"/>
  <c r="F138" i="4"/>
  <c r="E151" i="4"/>
  <c r="E164" i="4"/>
  <c r="E177" i="4"/>
  <c r="D21" i="4"/>
  <c r="F21" i="4"/>
  <c r="D34" i="4"/>
  <c r="D47" i="4"/>
  <c r="D60" i="4"/>
  <c r="D73" i="4"/>
  <c r="D99" i="4"/>
  <c r="D112" i="4"/>
  <c r="D125" i="4"/>
  <c r="D138" i="4"/>
  <c r="D151" i="4"/>
  <c r="D164" i="4"/>
  <c r="C21" i="4"/>
  <c r="C34" i="4"/>
  <c r="C47" i="4"/>
  <c r="C60" i="4"/>
  <c r="G60" i="4"/>
  <c r="H60" i="4"/>
  <c r="C73" i="4"/>
  <c r="C99" i="4"/>
  <c r="G99" i="4"/>
  <c r="H99" i="4"/>
  <c r="C112" i="4"/>
  <c r="G112" i="4"/>
  <c r="H112" i="4"/>
  <c r="C125" i="4"/>
  <c r="C138" i="4"/>
  <c r="C151" i="4"/>
  <c r="C164" i="4"/>
  <c r="F127" i="4"/>
  <c r="E20" i="3"/>
  <c r="E33" i="3"/>
  <c r="E46" i="3"/>
  <c r="E59" i="3"/>
  <c r="E72" i="3"/>
  <c r="E98" i="3"/>
  <c r="E111" i="3"/>
  <c r="E124" i="3"/>
  <c r="F124" i="3"/>
  <c r="E137" i="3"/>
  <c r="E150" i="3"/>
  <c r="F150" i="3"/>
  <c r="E163" i="3"/>
  <c r="E176" i="3"/>
  <c r="D20" i="3"/>
  <c r="D33" i="3"/>
  <c r="D46" i="3"/>
  <c r="D59" i="3"/>
  <c r="G59" i="3"/>
  <c r="D72" i="3"/>
  <c r="D98" i="3"/>
  <c r="D111" i="3"/>
  <c r="D124" i="3"/>
  <c r="D137" i="3"/>
  <c r="G137" i="3"/>
  <c r="D150" i="3"/>
  <c r="D163" i="3"/>
  <c r="F163" i="3"/>
  <c r="C20" i="3"/>
  <c r="C33" i="3"/>
  <c r="C46" i="3"/>
  <c r="C59" i="3"/>
  <c r="C72" i="3"/>
  <c r="G72" i="3"/>
  <c r="C98" i="3"/>
  <c r="C111" i="3"/>
  <c r="G111" i="3"/>
  <c r="C124" i="3"/>
  <c r="C137" i="3"/>
  <c r="C150" i="3"/>
  <c r="C163" i="3"/>
  <c r="G163" i="3"/>
  <c r="F126" i="3"/>
  <c r="M126" i="1"/>
  <c r="E126" i="1"/>
  <c r="L20" i="1"/>
  <c r="L33" i="1"/>
  <c r="L46" i="1"/>
  <c r="L72" i="1"/>
  <c r="L98" i="1"/>
  <c r="L111" i="1"/>
  <c r="L137" i="1"/>
  <c r="L150" i="1"/>
  <c r="L163" i="1"/>
  <c r="K20" i="1"/>
  <c r="K33" i="1"/>
  <c r="M33" i="1"/>
  <c r="C20" i="1"/>
  <c r="I20" i="1"/>
  <c r="C33" i="1"/>
  <c r="I33" i="1"/>
  <c r="C46" i="1"/>
  <c r="C59" i="1"/>
  <c r="I59" i="1"/>
  <c r="C72" i="1"/>
  <c r="C98" i="1"/>
  <c r="E98" i="1"/>
  <c r="C111" i="1"/>
  <c r="C124" i="1"/>
  <c r="C137" i="1"/>
  <c r="C150" i="1"/>
  <c r="E150" i="1"/>
  <c r="C163" i="1"/>
  <c r="E139" i="1"/>
  <c r="I139" i="1"/>
  <c r="M139" i="1"/>
  <c r="K137" i="1"/>
  <c r="F153" i="4"/>
  <c r="K31" i="2"/>
  <c r="K10" i="2"/>
  <c r="K59" i="1"/>
  <c r="K72" i="1"/>
  <c r="M72" i="1"/>
  <c r="K98" i="1"/>
  <c r="M98" i="1"/>
  <c r="K111" i="1"/>
  <c r="M111" i="1"/>
  <c r="K124" i="1"/>
  <c r="J124" i="1"/>
  <c r="K163" i="1"/>
  <c r="M163" i="1"/>
  <c r="I126" i="1"/>
  <c r="G127" i="4"/>
  <c r="H127" i="4"/>
  <c r="G126" i="3"/>
  <c r="F101" i="4"/>
  <c r="F100" i="3"/>
  <c r="N31" i="2"/>
  <c r="M31" i="2"/>
  <c r="L31" i="2"/>
  <c r="J31" i="2"/>
  <c r="I31" i="2"/>
  <c r="H31" i="2"/>
  <c r="F31" i="2"/>
  <c r="E31" i="2"/>
  <c r="C31" i="2"/>
  <c r="B31" i="2"/>
  <c r="M100" i="1"/>
  <c r="E100" i="1"/>
  <c r="I10" i="2"/>
  <c r="G101" i="4"/>
  <c r="H101" i="4"/>
  <c r="G114" i="4"/>
  <c r="H114" i="4"/>
  <c r="F114" i="4"/>
  <c r="G100" i="3"/>
  <c r="I100" i="1"/>
  <c r="F10" i="4"/>
  <c r="G10" i="4"/>
  <c r="H10" i="4"/>
  <c r="I9" i="1"/>
  <c r="I22" i="1"/>
  <c r="I48" i="1"/>
  <c r="I61" i="1"/>
  <c r="I87" i="1"/>
  <c r="I113" i="1"/>
  <c r="I152" i="1"/>
  <c r="E9" i="1"/>
  <c r="M9" i="1"/>
  <c r="E22" i="1"/>
  <c r="M22" i="1"/>
  <c r="E35" i="1"/>
  <c r="E48" i="1"/>
  <c r="M48" i="1"/>
  <c r="E61" i="1"/>
  <c r="M61" i="1"/>
  <c r="E87" i="1"/>
  <c r="M87" i="1"/>
  <c r="E113" i="1"/>
  <c r="M113" i="1"/>
  <c r="E152" i="1"/>
  <c r="M152" i="1"/>
  <c r="F23" i="4"/>
  <c r="G23" i="4"/>
  <c r="H23" i="4"/>
  <c r="F36" i="4"/>
  <c r="G36" i="4"/>
  <c r="H36" i="4"/>
  <c r="F49" i="4"/>
  <c r="G49" i="4"/>
  <c r="H49" i="4"/>
  <c r="F62" i="4"/>
  <c r="G62" i="4"/>
  <c r="H62" i="4"/>
  <c r="F88" i="4"/>
  <c r="G88" i="4"/>
  <c r="H88" i="4"/>
  <c r="F140" i="4"/>
  <c r="G140" i="4"/>
  <c r="H140" i="4"/>
  <c r="G153" i="4"/>
  <c r="H153" i="4"/>
  <c r="F9" i="3"/>
  <c r="F22" i="3"/>
  <c r="G22" i="3"/>
  <c r="F35" i="3"/>
  <c r="G35" i="3"/>
  <c r="F48" i="3"/>
  <c r="G48" i="3"/>
  <c r="F61" i="3"/>
  <c r="G61" i="3"/>
  <c r="F87" i="3"/>
  <c r="G87" i="3"/>
  <c r="F113" i="3"/>
  <c r="G113" i="3"/>
  <c r="F139" i="3"/>
  <c r="G139" i="3"/>
  <c r="F152" i="3"/>
  <c r="G152" i="3"/>
  <c r="G9" i="3"/>
  <c r="C10" i="2"/>
  <c r="D10" i="2"/>
  <c r="E10" i="2"/>
  <c r="F10" i="2"/>
  <c r="H10" i="2"/>
  <c r="J10" i="2"/>
  <c r="L10" i="2"/>
  <c r="M10" i="2"/>
  <c r="N10" i="2"/>
  <c r="I35" i="1"/>
  <c r="M35" i="1"/>
  <c r="K46" i="1"/>
  <c r="D31" i="2"/>
  <c r="L176" i="1"/>
  <c r="K176" i="1"/>
  <c r="M176" i="1"/>
  <c r="K85" i="1"/>
  <c r="K150" i="1"/>
  <c r="J22" i="1"/>
  <c r="H74" i="1"/>
  <c r="J9" i="1"/>
  <c r="H22" i="1"/>
  <c r="J35" i="1"/>
  <c r="H35" i="1"/>
  <c r="H9" i="1"/>
  <c r="H126" i="1"/>
  <c r="H113" i="1"/>
  <c r="H87" i="1"/>
  <c r="H139" i="1"/>
  <c r="H152" i="1"/>
  <c r="H100" i="1"/>
  <c r="J87" i="1"/>
  <c r="J100" i="1"/>
  <c r="J61" i="1"/>
  <c r="J152" i="1"/>
  <c r="H61" i="1"/>
  <c r="J165" i="1"/>
  <c r="J113" i="1"/>
  <c r="H165" i="1"/>
  <c r="H167" i="1"/>
  <c r="H141" i="1"/>
  <c r="H128" i="1"/>
  <c r="H76" i="1"/>
  <c r="J23" i="1"/>
  <c r="H102" i="1"/>
  <c r="H24" i="1"/>
  <c r="J89" i="1"/>
  <c r="H77" i="1"/>
  <c r="G59" i="1"/>
  <c r="H59" i="1"/>
  <c r="H25" i="1"/>
  <c r="H154" i="1"/>
  <c r="H142" i="1"/>
  <c r="H116" i="1"/>
  <c r="H49" i="1"/>
  <c r="H143" i="1"/>
  <c r="H78" i="1"/>
  <c r="H13" i="1"/>
  <c r="H156" i="1"/>
  <c r="J101" i="1"/>
  <c r="H90" i="1"/>
  <c r="J90" i="1"/>
  <c r="J65" i="1"/>
  <c r="H26" i="1"/>
  <c r="J91" i="1"/>
  <c r="H52" i="1"/>
  <c r="J157" i="1"/>
  <c r="F124" i="1"/>
  <c r="J118" i="1"/>
  <c r="J92" i="1"/>
  <c r="H27" i="1"/>
  <c r="J41" i="1"/>
  <c r="H120" i="1"/>
  <c r="E59" i="1"/>
  <c r="E33" i="1"/>
  <c r="G20" i="1"/>
  <c r="J172" i="1"/>
  <c r="H159" i="1"/>
  <c r="H93" i="1"/>
  <c r="F98" i="1"/>
  <c r="H81" i="1"/>
  <c r="J68" i="1"/>
  <c r="J42" i="1"/>
  <c r="J16" i="1"/>
  <c r="F99" i="4"/>
  <c r="F181" i="4"/>
  <c r="G177" i="4"/>
  <c r="H177" i="4"/>
  <c r="G86" i="4"/>
  <c r="H86" i="4"/>
  <c r="F164" i="5"/>
  <c r="M59" i="1"/>
  <c r="H130" i="1"/>
  <c r="H132" i="1"/>
  <c r="E72" i="1"/>
  <c r="F59" i="1"/>
  <c r="J59" i="1"/>
  <c r="J54" i="1"/>
  <c r="J11" i="1"/>
  <c r="L124" i="1"/>
  <c r="G164" i="4"/>
  <c r="H164" i="4"/>
  <c r="G181" i="4"/>
  <c r="H181" i="4"/>
  <c r="F164" i="4"/>
  <c r="F151" i="4"/>
  <c r="G151" i="4"/>
  <c r="H151" i="4"/>
  <c r="G138" i="4"/>
  <c r="H138" i="4"/>
  <c r="F125" i="4"/>
  <c r="G125" i="4"/>
  <c r="H125" i="4"/>
  <c r="G73" i="4"/>
  <c r="H73" i="4"/>
  <c r="F47" i="4"/>
  <c r="G47" i="4"/>
  <c r="H47" i="4"/>
  <c r="E179" i="4"/>
  <c r="G34" i="4"/>
  <c r="H34" i="4"/>
  <c r="C179" i="4"/>
  <c r="D179" i="4"/>
  <c r="G21" i="4"/>
  <c r="H21" i="4"/>
  <c r="E179" i="5"/>
  <c r="D179" i="5"/>
  <c r="C179" i="5"/>
  <c r="F176" i="3"/>
  <c r="G150" i="3"/>
  <c r="F111" i="3"/>
  <c r="G98" i="3"/>
  <c r="F72" i="3"/>
  <c r="G46" i="3"/>
  <c r="F33" i="3"/>
  <c r="G33" i="3"/>
  <c r="G20" i="3"/>
  <c r="F20" i="3"/>
  <c r="E178" i="3"/>
  <c r="F98" i="3"/>
  <c r="G124" i="3"/>
  <c r="D178" i="3"/>
  <c r="C178" i="3"/>
  <c r="F59" i="3"/>
  <c r="F137" i="3"/>
  <c r="G85" i="3"/>
  <c r="F46" i="3"/>
  <c r="O40" i="2"/>
  <c r="D23" i="2"/>
  <c r="O19" i="2"/>
  <c r="F46" i="1"/>
  <c r="H46" i="1"/>
  <c r="H39" i="1"/>
  <c r="J66" i="1"/>
  <c r="F85" i="1"/>
  <c r="J85" i="1"/>
  <c r="J82" i="1"/>
  <c r="I111" i="1"/>
  <c r="H111" i="1"/>
  <c r="J111" i="1"/>
  <c r="J108" i="1"/>
  <c r="H108" i="1"/>
  <c r="M137" i="1"/>
  <c r="F163" i="1"/>
  <c r="J155" i="1"/>
  <c r="H160" i="1"/>
  <c r="E163" i="1"/>
  <c r="M180" i="1"/>
  <c r="J180" i="1"/>
  <c r="E180" i="1"/>
  <c r="I176" i="1"/>
  <c r="H176" i="1"/>
  <c r="J176" i="1"/>
  <c r="I163" i="1"/>
  <c r="H163" i="1"/>
  <c r="J163" i="1"/>
  <c r="M150" i="1"/>
  <c r="I150" i="1"/>
  <c r="H150" i="1"/>
  <c r="J150" i="1"/>
  <c r="I137" i="1"/>
  <c r="H137" i="1"/>
  <c r="J137" i="1"/>
  <c r="E137" i="1"/>
  <c r="M124" i="1"/>
  <c r="E124" i="1"/>
  <c r="I124" i="1"/>
  <c r="E111" i="1"/>
  <c r="H98" i="1"/>
  <c r="J98" i="1"/>
  <c r="I98" i="1"/>
  <c r="M85" i="1"/>
  <c r="L178" i="1"/>
  <c r="E85" i="1"/>
  <c r="I85" i="1"/>
  <c r="I72" i="1"/>
  <c r="J72" i="1"/>
  <c r="K178" i="1"/>
  <c r="M46" i="1"/>
  <c r="I46" i="1"/>
  <c r="G178" i="1"/>
  <c r="H33" i="1"/>
  <c r="J33" i="1"/>
  <c r="D178" i="1"/>
  <c r="C178" i="1"/>
  <c r="M20" i="1"/>
  <c r="H20" i="1"/>
  <c r="J20" i="1"/>
  <c r="E20" i="1"/>
  <c r="L23" i="2"/>
  <c r="C23" i="2"/>
  <c r="K23" i="2"/>
  <c r="E44" i="2"/>
  <c r="M44" i="2"/>
  <c r="G23" i="2"/>
  <c r="B23" i="2"/>
  <c r="J23" i="2"/>
  <c r="D44" i="2"/>
  <c r="L44" i="2"/>
  <c r="O36" i="2"/>
  <c r="I23" i="2"/>
  <c r="I44" i="2"/>
  <c r="O31" i="2"/>
  <c r="F23" i="2"/>
  <c r="N23" i="2"/>
  <c r="H44" i="2"/>
  <c r="O33" i="2"/>
  <c r="K44" i="2"/>
  <c r="O13" i="2"/>
  <c r="M23" i="2"/>
  <c r="O34" i="2"/>
  <c r="O14" i="2"/>
  <c r="O35" i="2"/>
  <c r="H23" i="2"/>
  <c r="B44" i="2"/>
  <c r="J44" i="2"/>
  <c r="O16" i="2"/>
  <c r="O37" i="2"/>
  <c r="O17" i="2"/>
  <c r="F44" i="2"/>
  <c r="N44" i="2"/>
  <c r="O18" i="2"/>
  <c r="O39" i="2"/>
  <c r="O12" i="2"/>
  <c r="C44" i="2"/>
  <c r="O11" i="2"/>
  <c r="O15" i="2"/>
  <c r="O32" i="2"/>
  <c r="G44" i="2"/>
  <c r="E23" i="2"/>
  <c r="O38" i="2"/>
  <c r="O10" i="2"/>
  <c r="F179" i="4"/>
  <c r="G179" i="4"/>
  <c r="H179" i="4"/>
  <c r="F179" i="5"/>
  <c r="G179" i="5"/>
  <c r="H179" i="5"/>
  <c r="F178" i="3"/>
  <c r="G178" i="3"/>
  <c r="J46" i="1"/>
  <c r="F178" i="1"/>
  <c r="H178" i="1"/>
  <c r="H85" i="1"/>
  <c r="M178" i="1"/>
  <c r="E178" i="1"/>
  <c r="I178" i="1"/>
  <c r="O44" i="2"/>
  <c r="O23" i="2"/>
  <c r="J178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<sst xmlns="http://schemas.openxmlformats.org/spreadsheetml/2006/main" count="241" uniqueCount="79">
  <si>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</si>
  <si>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</si>
  <si>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</si>
  <si>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</si>
  <si>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</si>
  <si>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</si>
  <si>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</si>
  <si>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</si>
  <si>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</si>
  <si>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</si>
  <si>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</si>
  <si>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</si>
  <si>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</si>
  <si>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</si>
  <si>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</si>
  <si>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</si>
  <si>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</si>
  <si>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</si>
  <si>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</si>
  <si>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</si>
  <si>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</si>
  <si>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</si>
  <si>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</si>
  <si>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</si>
  <si>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</si>
  <si>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</si>
  <si>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</si>
  <si>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</si>
  <si>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</si>
  <si>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</si>
  <si>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</si>
  <si>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</si>
  <si>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</si>
  <si>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</si>
  <si>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</si>
  <si>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</si>
  <si>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</si>
  <si>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</si>
  <si>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</si>
  <si>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</si>
  <si>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</si>
  <si>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</si>
  <si>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</si>
  <si>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</si>
  <si>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</si>
  <si>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</si>
  <si>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</si>
  <si>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</si>
  <si>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</si>
  <si>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</si>
  <si>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</si>
  <si>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</si>
  <si>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</si>
  <si>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</si>
  <si>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</si>
  <si>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</si>
  <si>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</si>
  <si>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</si>
  <si>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</si>
  <si>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</si>
  <si>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</si>
  <si>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</si>
  <si>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</si>
  <si>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</si>
  <si>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</si>
  <si>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</si>
  <si>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</si>
  <si>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</si>
  <si>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</si>
  <si>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</si>
  <si>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</si>
  <si>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</si>
  <si>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APRIL 30, 2024</t>
  </si>
  <si>
    <t>(as reported on the tax remittal database dtd 5/7/24)</t>
  </si>
  <si>
    <t>FOR THE MONTH ENDED:  APRIL 30, 2024</t>
  </si>
  <si>
    <t>THRU MONTH ENDED:   APRIL 30, 2024</t>
  </si>
  <si>
    <t>(as reported on the tax remittal database as of 5/7/24)</t>
  </si>
  <si>
    <t>THRU MONTH ENDED:    APRIL 30, 2024</t>
  </si>
  <si>
    <t>THRU MONTH ENDED:    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</si>
</sst>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8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7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7" fontId="2" fillId="0" borderId="5" xfId="1" applyNumberFormat="1" applyFont="1" applyFill="1" applyBorder="1" applyAlignment="1">
      <alignment horizontal="center"/>
    </xf>
    <xf numFmtId="3" fontId="17" fillId="0" borderId="5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/>
    <xf numFmtId="3" fontId="2" fillId="0" borderId="5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/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52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73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8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8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185491</v>
      </c>
      <c r="D11" s="22">
        <v>190853</v>
      </c>
      <c r="E11" s="23">
        <f t="shared" si="0"/>
        <v>-2.8094921222092395E-2</v>
      </c>
      <c r="F11" s="21">
        <f>+C11-86562</f>
        <v>98929</v>
      </c>
      <c r="G11" s="21">
        <f>+D11-90801</f>
        <v>100052</v>
      </c>
      <c r="H11" s="23">
        <f t="shared" si="1"/>
        <v>-1.1224163435013793E-2</v>
      </c>
      <c r="I11" s="24">
        <f t="shared" si="2"/>
        <v>68.920352901218919</v>
      </c>
      <c r="J11" s="24">
        <f t="shared" si="3"/>
        <v>129.22505210807751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169150</v>
      </c>
      <c r="D12" s="22">
        <v>191998</v>
      </c>
      <c r="E12" s="23">
        <f t="shared" si="0"/>
        <v>-0.1190012395962458</v>
      </c>
      <c r="F12" s="21">
        <f>+C12-77860</f>
        <v>91290</v>
      </c>
      <c r="G12" s="21">
        <f>+D12-90818</f>
        <v>101180</v>
      </c>
      <c r="H12" s="23">
        <f t="shared" si="1"/>
        <v>-9.7746590235224348E-2</v>
      </c>
      <c r="I12" s="24">
        <f t="shared" si="2"/>
        <v>76.039374933490976</v>
      </c>
      <c r="J12" s="24">
        <f t="shared" si="3"/>
        <v>140.89232413188739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204702</v>
      </c>
      <c r="D14" s="22">
        <v>198171</v>
      </c>
      <c r="E14" s="23">
        <f t="shared" si="0"/>
        <v>3.2956386151354135E-2</v>
      </c>
      <c r="F14" s="21">
        <f>+C14-98466</f>
        <v>106236</v>
      </c>
      <c r="G14" s="21">
        <f>+D14-94881</f>
        <v>103290</v>
      </c>
      <c r="H14" s="23">
        <f t="shared" si="1"/>
        <v>2.8521638106302642E-2</v>
      </c>
      <c r="I14" s="24">
        <f t="shared" si="2"/>
        <v>67.40296621430177</v>
      </c>
      <c r="J14" s="24">
        <f t="shared" si="3"/>
        <v>129.87614358597838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158832</v>
      </c>
      <c r="D15" s="22">
        <v>197003</v>
      </c>
      <c r="E15" s="23">
        <f t="shared" si="0"/>
        <v>-0.19375847068318758</v>
      </c>
      <c r="F15" s="21">
        <f>+C15-76421</f>
        <v>82411</v>
      </c>
      <c r="G15" s="21">
        <f>D15-95273</f>
        <v>101730</v>
      </c>
      <c r="H15" s="23">
        <f>(+F15-G15)/G15</f>
        <v>-0.18990464956256758</v>
      </c>
      <c r="I15" s="24">
        <f>K15/C15</f>
        <v>78.008131988516169</v>
      </c>
      <c r="J15" s="24">
        <f>K15/F15</f>
        <v>150.34628411255778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x14ac:dyDescent="0.25">
      <c r="A16" s="19"/>
      <c r="B16" s="20">
        <f>DATE(2024,2,1)</f>
        <v>45323</v>
      </c>
      <c r="C16" s="21">
        <v>185703</v>
      </c>
      <c r="D16" s="22">
        <v>191288</v>
      </c>
      <c r="E16" s="23">
        <f t="shared" si="0"/>
        <v>-2.9196813182217389E-2</v>
      </c>
      <c r="F16" s="21">
        <f>+C16-89848</f>
        <v>95855</v>
      </c>
      <c r="G16" s="21">
        <f>+D16-92919</f>
        <v>98369</v>
      </c>
      <c r="H16" s="23">
        <f>(+F16-G16)/G16</f>
        <v>-2.5556831928758045E-2</v>
      </c>
      <c r="I16" s="24">
        <f>K16/C16</f>
        <v>73.70802227212269</v>
      </c>
      <c r="J16" s="24">
        <f>K16/F16</f>
        <v>142.79694183923635</v>
      </c>
      <c r="K16" s="21">
        <v>13687800.859999999</v>
      </c>
      <c r="L16" s="21">
        <v>13954232.720000001</v>
      </c>
      <c r="M16" s="25">
        <f t="shared" si="4"/>
        <v>-1.909326477106376E-2</v>
      </c>
      <c r="N16" s="10"/>
      <c r="R16" s="2"/>
    </row>
    <row r="17" spans="1:18" ht="15.75" x14ac:dyDescent="0.25">
      <c r="A17" s="19"/>
      <c r="B17" s="20">
        <f>DATE(2024,3,1)</f>
        <v>45352</v>
      </c>
      <c r="C17" s="21">
        <v>209559</v>
      </c>
      <c r="D17" s="22">
        <v>217797</v>
      </c>
      <c r="E17" s="23">
        <f t="shared" si="0"/>
        <v>-3.782421245471701E-2</v>
      </c>
      <c r="F17" s="21">
        <f>+C17-100610</f>
        <v>108949</v>
      </c>
      <c r="G17" s="21">
        <f>+D17-105615</f>
        <v>112182</v>
      </c>
      <c r="H17" s="23">
        <f>(+F17-G17)/G17</f>
        <v>-2.8819240163306056E-2</v>
      </c>
      <c r="I17" s="24">
        <f>K17/C17</f>
        <v>78.06301576167094</v>
      </c>
      <c r="J17" s="24">
        <f>K17/F17</f>
        <v>150.15105710011105</v>
      </c>
      <c r="K17" s="21">
        <v>16358807.52</v>
      </c>
      <c r="L17" s="21">
        <v>15680989.529999999</v>
      </c>
      <c r="M17" s="25">
        <f t="shared" si="4"/>
        <v>4.3225460274891228E-2</v>
      </c>
      <c r="N17" s="10"/>
      <c r="R17" s="2"/>
    </row>
    <row r="18" spans="1:18" ht="15.75" x14ac:dyDescent="0.25">
      <c r="A18" s="19"/>
      <c r="B18" s="20">
        <f>DATE(2024,4,1)</f>
        <v>45383</v>
      </c>
      <c r="C18" s="21">
        <v>177813</v>
      </c>
      <c r="D18" s="22">
        <v>198066</v>
      </c>
      <c r="E18" s="23">
        <f t="shared" si="0"/>
        <v>-0.10225379418981552</v>
      </c>
      <c r="F18" s="21">
        <f>+C18-86394</f>
        <v>91419</v>
      </c>
      <c r="G18" s="21">
        <f>+D18-94196</f>
        <v>103870</v>
      </c>
      <c r="H18" s="23">
        <f>(+F18-G18)/G18</f>
        <v>-0.11987099258688745</v>
      </c>
      <c r="I18" s="24">
        <f>K18/C18</f>
        <v>78.183904045261031</v>
      </c>
      <c r="J18" s="24">
        <f>K18/F18</f>
        <v>152.07029753114779</v>
      </c>
      <c r="K18" s="21">
        <v>13902114.529999999</v>
      </c>
      <c r="L18" s="21">
        <v>14821726.869999999</v>
      </c>
      <c r="M18" s="25">
        <f t="shared" si="4"/>
        <v>-6.2044885057310456E-2</v>
      </c>
      <c r="N18" s="10"/>
      <c r="R18" s="2"/>
    </row>
    <row r="19" spans="1:18" ht="15.75" customHeight="1" thickBot="1" x14ac:dyDescent="0.3">
      <c r="A19" s="19"/>
      <c r="B19" s="20"/>
      <c r="C19" s="21"/>
      <c r="D19" s="21"/>
      <c r="E19" s="23"/>
      <c r="F19" s="21"/>
      <c r="G19" s="21"/>
      <c r="H19" s="23"/>
      <c r="I19" s="24"/>
      <c r="J19" s="24"/>
      <c r="K19" s="21"/>
      <c r="L19" s="21"/>
      <c r="M19" s="25"/>
      <c r="N19" s="10"/>
      <c r="R19" s="2"/>
    </row>
    <row r="20" spans="1:18" ht="17.25" thickTop="1" thickBot="1" x14ac:dyDescent="0.3">
      <c r="A20" s="26" t="s">
        <v>14</v>
      </c>
      <c r="B20" s="27"/>
      <c r="C20" s="28">
        <f>SUM(C9:C19)</f>
        <v>1851882</v>
      </c>
      <c r="D20" s="28">
        <f>SUM(D9:D19)</f>
        <v>1983892</v>
      </c>
      <c r="E20" s="279">
        <f>(+C20-D20)/D20</f>
        <v>-6.6540920574305454E-2</v>
      </c>
      <c r="F20" s="28">
        <f>SUM(F9:F19)</f>
        <v>968652</v>
      </c>
      <c r="G20" s="28">
        <f>SUM(G9:G19)</f>
        <v>1039075</v>
      </c>
      <c r="H20" s="30">
        <f>(+F20-G20)/G20</f>
        <v>-6.7774703462213995E-2</v>
      </c>
      <c r="I20" s="31">
        <f>K20/C20</f>
        <v>74.25543707428443</v>
      </c>
      <c r="J20" s="31">
        <f>K20/F20</f>
        <v>141.96254931595661</v>
      </c>
      <c r="K20" s="28">
        <f>SUM(K9:K19)</f>
        <v>137512307.31999999</v>
      </c>
      <c r="L20" s="28">
        <f>SUM(L9:L19)</f>
        <v>145409584.83000001</v>
      </c>
      <c r="M20" s="32">
        <f>(+K20-L20)/L20</f>
        <v>-5.4310570511791341E-2</v>
      </c>
      <c r="N20" s="10"/>
      <c r="R20" s="2"/>
    </row>
    <row r="21" spans="1:18" ht="15.75" customHeight="1" thickTop="1" x14ac:dyDescent="0.25">
      <c r="A21" s="15"/>
      <c r="B21" s="16"/>
      <c r="C21" s="16"/>
      <c r="D21" s="16"/>
      <c r="E21" s="17"/>
      <c r="F21" s="16"/>
      <c r="G21" s="16"/>
      <c r="H21" s="17"/>
      <c r="I21" s="16"/>
      <c r="J21" s="16"/>
      <c r="K21" s="195"/>
      <c r="L21" s="195"/>
      <c r="M21" s="18"/>
      <c r="N21" s="10"/>
      <c r="R21" s="2"/>
    </row>
    <row r="22" spans="1:18" ht="15.75" x14ac:dyDescent="0.25">
      <c r="A22" s="19" t="s">
        <v>15</v>
      </c>
      <c r="B22" s="20">
        <f>DATE(2023,7,1)</f>
        <v>45108</v>
      </c>
      <c r="C22" s="21">
        <v>114764</v>
      </c>
      <c r="D22" s="21">
        <v>114715</v>
      </c>
      <c r="E22" s="23">
        <f t="shared" ref="E22:E31" si="5">(+C22-D22)/D22</f>
        <v>4.2714553458571243E-4</v>
      </c>
      <c r="F22" s="21">
        <f>+C22-56037</f>
        <v>58727</v>
      </c>
      <c r="G22" s="21">
        <f>+D22-55568</f>
        <v>59147</v>
      </c>
      <c r="H22" s="23">
        <f t="shared" ref="H22:H27" si="6">(+F22-G22)/G22</f>
        <v>-7.1009518656905673E-3</v>
      </c>
      <c r="I22" s="24">
        <f t="shared" ref="I22:I27" si="7">K22/C22</f>
        <v>71.3647338886759</v>
      </c>
      <c r="J22" s="24">
        <f t="shared" ref="J22:J27" si="8">K22/F22</f>
        <v>139.46059427520561</v>
      </c>
      <c r="K22" s="21">
        <v>8190102.3200000003</v>
      </c>
      <c r="L22" s="21">
        <v>8395754.2100000009</v>
      </c>
      <c r="M22" s="25">
        <f t="shared" ref="M22:M31" si="9">(+K22-L22)/L22</f>
        <v>-2.4494748757062597E-2</v>
      </c>
      <c r="N22" s="10"/>
      <c r="R22" s="2"/>
    </row>
    <row r="23" spans="1:18" ht="15.75" x14ac:dyDescent="0.25">
      <c r="A23" s="19"/>
      <c r="B23" s="20">
        <f>DATE(2023,8,1)</f>
        <v>45139</v>
      </c>
      <c r="C23" s="21">
        <v>103488</v>
      </c>
      <c r="D23" s="21">
        <v>103784</v>
      </c>
      <c r="E23" s="23">
        <f t="shared" si="5"/>
        <v>-2.8520773915054346E-3</v>
      </c>
      <c r="F23" s="21">
        <f>+C23-50126</f>
        <v>53362</v>
      </c>
      <c r="G23" s="21">
        <f>+D23-49858</f>
        <v>53926</v>
      </c>
      <c r="H23" s="23">
        <f t="shared" si="6"/>
        <v>-1.0458776842339501E-2</v>
      </c>
      <c r="I23" s="24">
        <f t="shared" si="7"/>
        <v>72.262649099412499</v>
      </c>
      <c r="J23" s="24">
        <f t="shared" si="8"/>
        <v>140.14311738690455</v>
      </c>
      <c r="K23" s="21">
        <v>7478317.0300000003</v>
      </c>
      <c r="L23" s="21">
        <v>7565961.5300000003</v>
      </c>
      <c r="M23" s="25">
        <f t="shared" si="9"/>
        <v>-1.1584053084657965E-2</v>
      </c>
      <c r="N23" s="10"/>
      <c r="R23" s="2"/>
    </row>
    <row r="24" spans="1:18" ht="15.75" x14ac:dyDescent="0.25">
      <c r="A24" s="19"/>
      <c r="B24" s="20">
        <f>DATE(2023,9,1)</f>
        <v>45170</v>
      </c>
      <c r="C24" s="21">
        <v>100304</v>
      </c>
      <c r="D24" s="21">
        <v>107511</v>
      </c>
      <c r="E24" s="23">
        <f t="shared" si="5"/>
        <v>-6.7035001069657985E-2</v>
      </c>
      <c r="F24" s="21">
        <f>+C24-48762</f>
        <v>51542</v>
      </c>
      <c r="G24" s="21">
        <f>+D24-51983</f>
        <v>55528</v>
      </c>
      <c r="H24" s="23">
        <f t="shared" si="6"/>
        <v>-7.1783604667915279E-2</v>
      </c>
      <c r="I24" s="24">
        <f t="shared" si="7"/>
        <v>71.829193551603126</v>
      </c>
      <c r="J24" s="24">
        <f t="shared" si="8"/>
        <v>139.78416495285398</v>
      </c>
      <c r="K24" s="21">
        <v>7204755.4299999997</v>
      </c>
      <c r="L24" s="21">
        <v>7793918.54</v>
      </c>
      <c r="M24" s="25">
        <f t="shared" si="9"/>
        <v>-7.559266971758731E-2</v>
      </c>
      <c r="N24" s="10"/>
      <c r="R24" s="2"/>
    </row>
    <row r="25" spans="1:18" ht="15.75" x14ac:dyDescent="0.25">
      <c r="A25" s="19"/>
      <c r="B25" s="20">
        <f>DATE(2023,10,1)</f>
        <v>45200</v>
      </c>
      <c r="C25" s="21">
        <v>93178</v>
      </c>
      <c r="D25" s="21">
        <v>104490</v>
      </c>
      <c r="E25" s="23">
        <f t="shared" si="5"/>
        <v>-0.10825916355632118</v>
      </c>
      <c r="F25" s="21">
        <f>+C25-45141</f>
        <v>48037</v>
      </c>
      <c r="G25" s="21">
        <f>+D25-49825</f>
        <v>54665</v>
      </c>
      <c r="H25" s="23">
        <f t="shared" si="6"/>
        <v>-0.121247599012165</v>
      </c>
      <c r="I25" s="24">
        <f t="shared" si="7"/>
        <v>70.092507136877799</v>
      </c>
      <c r="J25" s="24">
        <f t="shared" si="8"/>
        <v>135.95935695401462</v>
      </c>
      <c r="K25" s="21">
        <v>6531079.6299999999</v>
      </c>
      <c r="L25" s="21">
        <v>7661616.3399999999</v>
      </c>
      <c r="M25" s="25">
        <f t="shared" si="9"/>
        <v>-0.14755851243785981</v>
      </c>
      <c r="N25" s="10"/>
      <c r="R25" s="2"/>
    </row>
    <row r="26" spans="1:18" ht="15.75" x14ac:dyDescent="0.25">
      <c r="A26" s="19"/>
      <c r="B26" s="20">
        <f>DATE(2023,11,1)</f>
        <v>45231</v>
      </c>
      <c r="C26" s="21">
        <v>89320</v>
      </c>
      <c r="D26" s="21">
        <v>93678</v>
      </c>
      <c r="E26" s="23">
        <f t="shared" si="5"/>
        <v>-4.6521061508571916E-2</v>
      </c>
      <c r="F26" s="21">
        <f>+C26-43671</f>
        <v>45649</v>
      </c>
      <c r="G26" s="21">
        <f>+D26-44918</f>
        <v>48760</v>
      </c>
      <c r="H26" s="23">
        <f t="shared" si="6"/>
        <v>-6.3802296964725183E-2</v>
      </c>
      <c r="I26" s="24">
        <f t="shared" si="7"/>
        <v>76.058776197939991</v>
      </c>
      <c r="J26" s="24">
        <f t="shared" si="8"/>
        <v>148.82187758767989</v>
      </c>
      <c r="K26" s="21">
        <v>6793569.8899999997</v>
      </c>
      <c r="L26" s="21">
        <v>7032076.0599999996</v>
      </c>
      <c r="M26" s="25">
        <f t="shared" si="9"/>
        <v>-3.3916892815860689E-2</v>
      </c>
      <c r="N26" s="10"/>
      <c r="R26" s="2"/>
    </row>
    <row r="27" spans="1:18" ht="15.75" x14ac:dyDescent="0.25">
      <c r="A27" s="19"/>
      <c r="B27" s="20">
        <f>DATE(2023,12,1)</f>
        <v>45261</v>
      </c>
      <c r="C27" s="21">
        <v>103282</v>
      </c>
      <c r="D27" s="21">
        <v>102036</v>
      </c>
      <c r="E27" s="23">
        <f t="shared" si="5"/>
        <v>1.2211376376964993E-2</v>
      </c>
      <c r="F27" s="21">
        <f>+C27-51256</f>
        <v>52026</v>
      </c>
      <c r="G27" s="21">
        <f>+D27-49071</f>
        <v>52965</v>
      </c>
      <c r="H27" s="23">
        <f t="shared" si="6"/>
        <v>-1.7728688756726139E-2</v>
      </c>
      <c r="I27" s="24">
        <f t="shared" si="7"/>
        <v>75.579002343099475</v>
      </c>
      <c r="J27" s="24">
        <f t="shared" si="8"/>
        <v>150.03941337023795</v>
      </c>
      <c r="K27" s="21">
        <v>7805950.5199999996</v>
      </c>
      <c r="L27" s="21">
        <v>7398968.5199999996</v>
      </c>
      <c r="M27" s="25">
        <f t="shared" si="9"/>
        <v>5.500523470263393E-2</v>
      </c>
      <c r="N27" s="10"/>
      <c r="R27" s="2"/>
    </row>
    <row r="28" spans="1:18" ht="15.75" x14ac:dyDescent="0.25">
      <c r="A28" s="19"/>
      <c r="B28" s="20">
        <f>DATE(2024,1,1)</f>
        <v>45292</v>
      </c>
      <c r="C28" s="21">
        <v>79391</v>
      </c>
      <c r="D28" s="21">
        <v>98251</v>
      </c>
      <c r="E28" s="23">
        <f t="shared" si="5"/>
        <v>-0.19195733376759525</v>
      </c>
      <c r="F28" s="21">
        <f>C28-39096</f>
        <v>40295</v>
      </c>
      <c r="G28" s="21">
        <f>D28-47583</f>
        <v>50668</v>
      </c>
      <c r="H28" s="23">
        <f>(+F28-G28)/G28</f>
        <v>-0.20472487566116682</v>
      </c>
      <c r="I28" s="24">
        <f>K28/C28</f>
        <v>75.650664307037317</v>
      </c>
      <c r="J28" s="24">
        <f>K28/F28</f>
        <v>149.05030127807419</v>
      </c>
      <c r="K28" s="21">
        <v>6005981.8899999997</v>
      </c>
      <c r="L28" s="21">
        <v>7202856.0199999996</v>
      </c>
      <c r="M28" s="25">
        <f t="shared" si="9"/>
        <v>-0.16616660484072815</v>
      </c>
      <c r="N28" s="10"/>
      <c r="R28" s="2"/>
    </row>
    <row r="29" spans="1:18" ht="15.75" x14ac:dyDescent="0.25">
      <c r="A29" s="19"/>
      <c r="B29" s="20">
        <f>DATE(2024,2,1)</f>
        <v>45323</v>
      </c>
      <c r="C29" s="21">
        <v>98851</v>
      </c>
      <c r="D29" s="21">
        <v>104260</v>
      </c>
      <c r="E29" s="23">
        <f t="shared" si="5"/>
        <v>-5.1879915595626318E-2</v>
      </c>
      <c r="F29" s="21">
        <f>+C29-48603</f>
        <v>50248</v>
      </c>
      <c r="G29" s="21">
        <f>+D29-49646</f>
        <v>54614</v>
      </c>
      <c r="H29" s="23">
        <f>(+F29-G29)/G29</f>
        <v>-7.9942871791115824E-2</v>
      </c>
      <c r="I29" s="24">
        <f>K29/C29</f>
        <v>71.685818049387464</v>
      </c>
      <c r="J29" s="24">
        <f>K29/F29</f>
        <v>141.02481292787772</v>
      </c>
      <c r="K29" s="21">
        <v>7086214.7999999998</v>
      </c>
      <c r="L29" s="21">
        <v>7650534.7699999996</v>
      </c>
      <c r="M29" s="25">
        <f t="shared" si="9"/>
        <v>-7.3762160027409401E-2</v>
      </c>
      <c r="N29" s="10"/>
      <c r="R29" s="2"/>
    </row>
    <row r="30" spans="1:18" ht="15.75" x14ac:dyDescent="0.25">
      <c r="A30" s="19"/>
      <c r="B30" s="20">
        <f>DATE(2024,3,1)</f>
        <v>45352</v>
      </c>
      <c r="C30" s="21">
        <v>107559</v>
      </c>
      <c r="D30" s="21">
        <v>109210</v>
      </c>
      <c r="E30" s="23">
        <f t="shared" si="5"/>
        <v>-1.5117663217654061E-2</v>
      </c>
      <c r="F30" s="21">
        <f>+C30-53561</f>
        <v>53998</v>
      </c>
      <c r="G30" s="21">
        <f>+D30-53257</f>
        <v>55953</v>
      </c>
      <c r="H30" s="23">
        <f>(+F30-G30)/G30</f>
        <v>-3.4940038961271069E-2</v>
      </c>
      <c r="I30" s="24">
        <f>K30/C30</f>
        <v>74.227960189291451</v>
      </c>
      <c r="J30" s="24">
        <f>K30/F30</f>
        <v>147.85520148894403</v>
      </c>
      <c r="K30" s="21">
        <v>7983885.1699999999</v>
      </c>
      <c r="L30" s="21">
        <v>8584562.1699999999</v>
      </c>
      <c r="M30" s="25">
        <f t="shared" si="9"/>
        <v>-6.9971768868906686E-2</v>
      </c>
      <c r="N30" s="10"/>
      <c r="R30" s="2"/>
    </row>
    <row r="31" spans="1:18" ht="15.75" x14ac:dyDescent="0.25">
      <c r="A31" s="19"/>
      <c r="B31" s="20">
        <f>DATE(2024,4,1)</f>
        <v>45383</v>
      </c>
      <c r="C31" s="21">
        <v>90967</v>
      </c>
      <c r="D31" s="21">
        <v>104455</v>
      </c>
      <c r="E31" s="23">
        <f t="shared" si="5"/>
        <v>-0.12912737542482408</v>
      </c>
      <c r="F31" s="21">
        <f>+C31-44575</f>
        <v>46392</v>
      </c>
      <c r="G31" s="21">
        <f>+D31-51429</f>
        <v>53026</v>
      </c>
      <c r="H31" s="23">
        <f>(+F31-G31)/G31</f>
        <v>-0.12510843737034663</v>
      </c>
      <c r="I31" s="24">
        <f>K31/C31</f>
        <v>80.711216924818885</v>
      </c>
      <c r="J31" s="24">
        <f>K31/F31</f>
        <v>158.26127931539921</v>
      </c>
      <c r="K31" s="21">
        <v>7342057.2699999996</v>
      </c>
      <c r="L31" s="21">
        <v>8124473.2699999996</v>
      </c>
      <c r="M31" s="25">
        <f t="shared" si="9"/>
        <v>-9.6303597045374986E-2</v>
      </c>
      <c r="N31" s="10"/>
      <c r="R31" s="2"/>
    </row>
    <row r="32" spans="1:18" ht="15.75" customHeight="1" thickBot="1" x14ac:dyDescent="0.3">
      <c r="A32" s="19"/>
      <c r="B32" s="20"/>
      <c r="C32" s="21"/>
      <c r="D32" s="21"/>
      <c r="E32" s="23"/>
      <c r="F32" s="21"/>
      <c r="G32" s="21"/>
      <c r="H32" s="23"/>
      <c r="I32" s="24"/>
      <c r="J32" s="24"/>
      <c r="K32" s="21"/>
      <c r="L32" s="21"/>
      <c r="M32" s="25"/>
      <c r="N32" s="10"/>
      <c r="R32" s="2"/>
    </row>
    <row r="33" spans="1:18" ht="17.25" customHeight="1" thickTop="1" thickBot="1" x14ac:dyDescent="0.3">
      <c r="A33" s="26" t="s">
        <v>14</v>
      </c>
      <c r="B33" s="27"/>
      <c r="C33" s="28">
        <f>SUM(C22:C32)</f>
        <v>981104</v>
      </c>
      <c r="D33" s="28">
        <f>SUM(D22:D32)</f>
        <v>1042390</v>
      </c>
      <c r="E33" s="279">
        <f>(+C33-D33)/D33</f>
        <v>-5.8793733631366377E-2</v>
      </c>
      <c r="F33" s="28">
        <f>SUM(F22:F32)</f>
        <v>500276</v>
      </c>
      <c r="G33" s="28">
        <f>SUM(G22:G32)</f>
        <v>539252</v>
      </c>
      <c r="H33" s="30">
        <f>(+F33-G33)/G33</f>
        <v>-7.2277896048600659E-2</v>
      </c>
      <c r="I33" s="31">
        <f>K33/C33</f>
        <v>73.816755359268726</v>
      </c>
      <c r="J33" s="31">
        <f>K33/F33</f>
        <v>144.76391821714412</v>
      </c>
      <c r="K33" s="28">
        <f>SUM(K22:K32)</f>
        <v>72421913.949999988</v>
      </c>
      <c r="L33" s="28">
        <f>SUM(L22:L32)</f>
        <v>77410721.429999992</v>
      </c>
      <c r="M33" s="32">
        <f>(+K33-L33)/L33</f>
        <v>-6.4445949964582375E-2</v>
      </c>
      <c r="N33" s="10"/>
      <c r="R33" s="2"/>
    </row>
    <row r="34" spans="1:18" ht="15.75" customHeight="1" thickTop="1" x14ac:dyDescent="0.25">
      <c r="A34" s="33"/>
      <c r="B34" s="34"/>
      <c r="C34" s="35"/>
      <c r="D34" s="35"/>
      <c r="E34" s="29"/>
      <c r="F34" s="35"/>
      <c r="G34" s="35"/>
      <c r="H34" s="29"/>
      <c r="I34" s="36"/>
      <c r="J34" s="36"/>
      <c r="K34" s="35"/>
      <c r="L34" s="35"/>
      <c r="M34" s="37"/>
      <c r="N34" s="10"/>
      <c r="R34" s="2"/>
    </row>
    <row r="35" spans="1:18" ht="15.75" customHeight="1" x14ac:dyDescent="0.25">
      <c r="A35" s="19" t="s">
        <v>62</v>
      </c>
      <c r="B35" s="20">
        <f>DATE(2023,7,1)</f>
        <v>45108</v>
      </c>
      <c r="C35" s="21">
        <v>62207</v>
      </c>
      <c r="D35" s="21">
        <v>56544</v>
      </c>
      <c r="E35" s="23">
        <f t="shared" ref="E35:E44" si="10">(+C35-D35)/D35</f>
        <v>0.10015209394453876</v>
      </c>
      <c r="F35" s="21">
        <f>+C35-32355</f>
        <v>29852</v>
      </c>
      <c r="G35" s="21">
        <f>+D35-31773</f>
        <v>24771</v>
      </c>
      <c r="H35" s="23">
        <f t="shared" ref="H35:H40" si="11">(+F35-G35)/G35</f>
        <v>0.20511888902345485</v>
      </c>
      <c r="I35" s="24">
        <f t="shared" ref="I35:I40" si="12">K35/C35</f>
        <v>62.61233446396708</v>
      </c>
      <c r="J35" s="24">
        <f t="shared" ref="J35:J40" si="13">K35/F35</f>
        <v>130.47452398499263</v>
      </c>
      <c r="K35" s="21">
        <v>3894925.49</v>
      </c>
      <c r="L35" s="21">
        <v>3786512.7</v>
      </c>
      <c r="M35" s="25">
        <f t="shared" ref="M35:M44" si="14">(+K35-L35)/L35</f>
        <v>2.8631302359028145E-2</v>
      </c>
      <c r="N35" s="10"/>
      <c r="R35" s="2"/>
    </row>
    <row r="36" spans="1:18" ht="15.75" customHeight="1" x14ac:dyDescent="0.25">
      <c r="A36" s="19"/>
      <c r="B36" s="20">
        <f>DATE(2023,8,1)</f>
        <v>45139</v>
      </c>
      <c r="C36" s="21">
        <v>55791</v>
      </c>
      <c r="D36" s="21">
        <v>49669</v>
      </c>
      <c r="E36" s="23">
        <f t="shared" si="10"/>
        <v>0.12325595441824881</v>
      </c>
      <c r="F36" s="21">
        <f>+C36-28978</f>
        <v>26813</v>
      </c>
      <c r="G36" s="21">
        <f>+D36-27651</f>
        <v>22018</v>
      </c>
      <c r="H36" s="23">
        <f t="shared" si="11"/>
        <v>0.21777636479244256</v>
      </c>
      <c r="I36" s="24">
        <f t="shared" si="12"/>
        <v>67.347290960907671</v>
      </c>
      <c r="J36" s="24">
        <f t="shared" si="13"/>
        <v>140.13249953380821</v>
      </c>
      <c r="K36" s="21">
        <v>3757372.71</v>
      </c>
      <c r="L36" s="21">
        <v>3497013.51</v>
      </c>
      <c r="M36" s="25">
        <f t="shared" si="14"/>
        <v>7.4451871362658878E-2</v>
      </c>
      <c r="N36" s="10"/>
      <c r="R36" s="2"/>
    </row>
    <row r="37" spans="1:18" ht="15.75" customHeight="1" x14ac:dyDescent="0.25">
      <c r="A37" s="19"/>
      <c r="B37" s="20">
        <f>DATE(2023,9,1)</f>
        <v>45170</v>
      </c>
      <c r="C37" s="21">
        <v>56687</v>
      </c>
      <c r="D37" s="21">
        <v>50523</v>
      </c>
      <c r="E37" s="23">
        <f t="shared" si="10"/>
        <v>0.12200383983532252</v>
      </c>
      <c r="F37" s="21">
        <f>+C37-29799</f>
        <v>26888</v>
      </c>
      <c r="G37" s="21">
        <f>+D37-27954</f>
        <v>22569</v>
      </c>
      <c r="H37" s="23">
        <f t="shared" si="11"/>
        <v>0.19136869156808012</v>
      </c>
      <c r="I37" s="24">
        <f t="shared" si="12"/>
        <v>70.977173955227826</v>
      </c>
      <c r="J37" s="24">
        <f t="shared" si="13"/>
        <v>149.63861425171081</v>
      </c>
      <c r="K37" s="21">
        <v>4023483.06</v>
      </c>
      <c r="L37" s="21">
        <v>3596804.25</v>
      </c>
      <c r="M37" s="25">
        <f t="shared" si="14"/>
        <v>0.11862719801890804</v>
      </c>
      <c r="N37" s="10"/>
      <c r="R37" s="2"/>
    </row>
    <row r="38" spans="1:18" ht="15.75" customHeight="1" x14ac:dyDescent="0.25">
      <c r="A38" s="19"/>
      <c r="B38" s="20">
        <f>DATE(2023,10,1)</f>
        <v>45200</v>
      </c>
      <c r="C38" s="21">
        <v>50318</v>
      </c>
      <c r="D38" s="21">
        <v>47473</v>
      </c>
      <c r="E38" s="23">
        <f t="shared" si="10"/>
        <v>5.9928801634613359E-2</v>
      </c>
      <c r="F38" s="21">
        <f>+C38-26291</f>
        <v>24027</v>
      </c>
      <c r="G38" s="21">
        <f>+D38-26103</f>
        <v>21370</v>
      </c>
      <c r="H38" s="23">
        <f t="shared" si="11"/>
        <v>0.12433317735142724</v>
      </c>
      <c r="I38" s="24">
        <f t="shared" si="12"/>
        <v>73.565421916610362</v>
      </c>
      <c r="J38" s="24">
        <f t="shared" si="13"/>
        <v>154.06271694343863</v>
      </c>
      <c r="K38" s="21">
        <v>3701664.9</v>
      </c>
      <c r="L38" s="21">
        <v>3359585.24</v>
      </c>
      <c r="M38" s="25">
        <f t="shared" si="14"/>
        <v>0.1018219915741741</v>
      </c>
      <c r="N38" s="10"/>
      <c r="R38" s="2"/>
    </row>
    <row r="39" spans="1:18" ht="15.75" customHeight="1" x14ac:dyDescent="0.25">
      <c r="A39" s="19"/>
      <c r="B39" s="20">
        <f>DATE(2023,11,1)</f>
        <v>45231</v>
      </c>
      <c r="C39" s="21">
        <v>50263</v>
      </c>
      <c r="D39" s="21">
        <v>39425</v>
      </c>
      <c r="E39" s="23">
        <f t="shared" si="10"/>
        <v>0.2749017121116043</v>
      </c>
      <c r="F39" s="21">
        <f>+C39-26764</f>
        <v>23499</v>
      </c>
      <c r="G39" s="21">
        <f>+D39-21931</f>
        <v>17494</v>
      </c>
      <c r="H39" s="23">
        <f t="shared" si="11"/>
        <v>0.34326054647307647</v>
      </c>
      <c r="I39" s="24">
        <f t="shared" si="12"/>
        <v>71.264276903487655</v>
      </c>
      <c r="J39" s="24">
        <f t="shared" si="13"/>
        <v>152.43016085790885</v>
      </c>
      <c r="K39" s="21">
        <v>3581956.35</v>
      </c>
      <c r="L39" s="21">
        <v>3098197.39</v>
      </c>
      <c r="M39" s="25">
        <f t="shared" si="14"/>
        <v>0.15614207201949776</v>
      </c>
      <c r="N39" s="10"/>
      <c r="R39" s="2"/>
    </row>
    <row r="40" spans="1:18" ht="15.75" customHeight="1" x14ac:dyDescent="0.25">
      <c r="A40" s="19"/>
      <c r="B40" s="20">
        <f>DATE(2023,12,1)</f>
        <v>45261</v>
      </c>
      <c r="C40" s="21">
        <v>56340</v>
      </c>
      <c r="D40" s="21">
        <v>43315</v>
      </c>
      <c r="E40" s="23">
        <f t="shared" si="10"/>
        <v>0.30070414406094886</v>
      </c>
      <c r="F40" s="21">
        <f>+C40-30403</f>
        <v>25937</v>
      </c>
      <c r="G40" s="21">
        <f>+D40-23779</f>
        <v>19536</v>
      </c>
      <c r="H40" s="23">
        <f t="shared" si="11"/>
        <v>0.32765151515151514</v>
      </c>
      <c r="I40" s="24">
        <f t="shared" si="12"/>
        <v>72.165827476038345</v>
      </c>
      <c r="J40" s="24">
        <f t="shared" si="13"/>
        <v>156.75763272545015</v>
      </c>
      <c r="K40" s="21">
        <v>4065822.7200000002</v>
      </c>
      <c r="L40" s="21">
        <v>3140293.54</v>
      </c>
      <c r="M40" s="25">
        <f t="shared" si="14"/>
        <v>0.29472696364557061</v>
      </c>
      <c r="N40" s="10"/>
      <c r="R40" s="2"/>
    </row>
    <row r="41" spans="1:18" ht="15.75" customHeight="1" x14ac:dyDescent="0.25">
      <c r="A41" s="19"/>
      <c r="B41" s="20">
        <f>DATE(2024,1,1)</f>
        <v>45292</v>
      </c>
      <c r="C41" s="21">
        <v>44640</v>
      </c>
      <c r="D41" s="21">
        <v>50499</v>
      </c>
      <c r="E41" s="23">
        <f t="shared" si="10"/>
        <v>-0.11602209944751381</v>
      </c>
      <c r="F41" s="21">
        <f>C41-24389</f>
        <v>20251</v>
      </c>
      <c r="G41" s="21">
        <f>D41-27910</f>
        <v>22589</v>
      </c>
      <c r="H41" s="23">
        <f>(+F41-G41)/G41</f>
        <v>-0.10350170436938333</v>
      </c>
      <c r="I41" s="24">
        <f>K41/C41</f>
        <v>75.626118727598566</v>
      </c>
      <c r="J41" s="24">
        <f>K41/F41</f>
        <v>166.70534492123846</v>
      </c>
      <c r="K41" s="21">
        <v>3375949.94</v>
      </c>
      <c r="L41" s="21">
        <v>3631909.7</v>
      </c>
      <c r="M41" s="25">
        <f t="shared" si="14"/>
        <v>-7.0475254382012922E-2</v>
      </c>
      <c r="N41" s="10"/>
      <c r="R41" s="2"/>
    </row>
    <row r="42" spans="1:18" ht="15.75" customHeight="1" x14ac:dyDescent="0.25">
      <c r="A42" s="19"/>
      <c r="B42" s="20">
        <f>DATE(2024,2,1)</f>
        <v>45323</v>
      </c>
      <c r="C42" s="21">
        <v>56802</v>
      </c>
      <c r="D42" s="21">
        <v>57307</v>
      </c>
      <c r="E42" s="23">
        <f t="shared" si="10"/>
        <v>-8.8121869928630015E-3</v>
      </c>
      <c r="F42" s="21">
        <f>+C42-30752</f>
        <v>26050</v>
      </c>
      <c r="G42" s="21">
        <f>+D42-31374</f>
        <v>25933</v>
      </c>
      <c r="H42" s="23">
        <f>(+F42-G42)/G42</f>
        <v>4.5116261134461886E-3</v>
      </c>
      <c r="I42" s="24">
        <f>K42/C42</f>
        <v>71.510482553431217</v>
      </c>
      <c r="J42" s="24">
        <f>K42/F42</f>
        <v>155.92853857965451</v>
      </c>
      <c r="K42" s="21">
        <v>4061938.43</v>
      </c>
      <c r="L42" s="21">
        <v>3904673.42</v>
      </c>
      <c r="M42" s="25">
        <f t="shared" si="14"/>
        <v>4.0276098173659874E-2</v>
      </c>
      <c r="N42" s="10"/>
      <c r="R42" s="2"/>
    </row>
    <row r="43" spans="1:18" ht="15.75" customHeight="1" x14ac:dyDescent="0.25">
      <c r="A43" s="19"/>
      <c r="B43" s="20">
        <f>DATE(2024,3,1)</f>
        <v>45352</v>
      </c>
      <c r="C43" s="21">
        <v>64058</v>
      </c>
      <c r="D43" s="21">
        <v>62514</v>
      </c>
      <c r="E43" s="23">
        <f t="shared" si="10"/>
        <v>2.4698467543270309E-2</v>
      </c>
      <c r="F43" s="21">
        <f>+C43-34165</f>
        <v>29893</v>
      </c>
      <c r="G43" s="21">
        <f>+D43-33809</f>
        <v>28705</v>
      </c>
      <c r="H43" s="23">
        <f>(+F43-G43)/G43</f>
        <v>4.1386518028218078E-2</v>
      </c>
      <c r="I43" s="24">
        <f>K43/C43</f>
        <v>73.359963782821808</v>
      </c>
      <c r="J43" s="24">
        <f>K43/F43</f>
        <v>157.20377881109289</v>
      </c>
      <c r="K43" s="21">
        <v>4699292.5599999996</v>
      </c>
      <c r="L43" s="21">
        <v>4507918.3899999997</v>
      </c>
      <c r="M43" s="25">
        <f t="shared" si="14"/>
        <v>4.2452891433112198E-2</v>
      </c>
      <c r="N43" s="10"/>
      <c r="R43" s="2"/>
    </row>
    <row r="44" spans="1:18" ht="15.75" customHeight="1" x14ac:dyDescent="0.25">
      <c r="A44" s="19"/>
      <c r="B44" s="20">
        <f>DATE(2024,4,1)</f>
        <v>45383</v>
      </c>
      <c r="C44" s="21">
        <v>54812</v>
      </c>
      <c r="D44" s="21">
        <v>57888</v>
      </c>
      <c r="E44" s="23">
        <f t="shared" si="10"/>
        <v>-5.3137092316196795E-2</v>
      </c>
      <c r="F44" s="21">
        <f>+C44-28423</f>
        <v>26389</v>
      </c>
      <c r="G44" s="21">
        <f>+D44-31142</f>
        <v>26746</v>
      </c>
      <c r="H44" s="23">
        <f>(+F44-G44)/G44</f>
        <v>-1.3347790323786735E-2</v>
      </c>
      <c r="I44" s="24">
        <f>K44/C44</f>
        <v>73.310591658760856</v>
      </c>
      <c r="J44" s="24">
        <f>K44/F44</f>
        <v>152.27178559248171</v>
      </c>
      <c r="K44" s="21">
        <v>4018300.15</v>
      </c>
      <c r="L44" s="21">
        <v>4077091.21</v>
      </c>
      <c r="M44" s="25">
        <f t="shared" si="14"/>
        <v>-1.4419854001745537E-2</v>
      </c>
      <c r="N44" s="10"/>
      <c r="R44" s="2"/>
    </row>
    <row r="45" spans="1:18" ht="15.75" customHeight="1" thickBot="1" x14ac:dyDescent="0.25">
      <c r="A45" s="38"/>
      <c r="B45" s="20"/>
      <c r="C45" s="21"/>
      <c r="D45" s="21"/>
      <c r="E45" s="23"/>
      <c r="F45" s="21"/>
      <c r="G45" s="21"/>
      <c r="H45" s="23"/>
      <c r="I45" s="24"/>
      <c r="J45" s="24"/>
      <c r="K45" s="21"/>
      <c r="L45" s="21"/>
      <c r="M45" s="25"/>
      <c r="N45" s="10"/>
      <c r="R45" s="2"/>
    </row>
    <row r="46" spans="1:18" ht="17.25" customHeight="1" thickTop="1" thickBot="1" x14ac:dyDescent="0.3">
      <c r="A46" s="39" t="s">
        <v>14</v>
      </c>
      <c r="B46" s="40"/>
      <c r="C46" s="41">
        <f>SUM(C35:C45)</f>
        <v>551918</v>
      </c>
      <c r="D46" s="41">
        <f>SUM(D35:D45)</f>
        <v>515157</v>
      </c>
      <c r="E46" s="280">
        <f>(+C46-D46)/D46</f>
        <v>7.1358828473649785E-2</v>
      </c>
      <c r="F46" s="41">
        <f>SUM(F35:F45)</f>
        <v>259599</v>
      </c>
      <c r="G46" s="41">
        <f>SUM(G35:G45)</f>
        <v>231731</v>
      </c>
      <c r="H46" s="42">
        <f>(+F46-G46)/G46</f>
        <v>0.12026012920153109</v>
      </c>
      <c r="I46" s="43">
        <f>K46/C46</f>
        <v>70.990086045390811</v>
      </c>
      <c r="J46" s="43">
        <f>K46/F46</f>
        <v>150.92780137827958</v>
      </c>
      <c r="K46" s="41">
        <f>SUM(K35:K45)</f>
        <v>39180706.310000002</v>
      </c>
      <c r="L46" s="41">
        <f>SUM(L35:L45)</f>
        <v>36599999.350000001</v>
      </c>
      <c r="M46" s="44">
        <f>(+K46-L46)/L46</f>
        <v>7.0511120377929754E-2</v>
      </c>
      <c r="N46" s="10"/>
      <c r="R46" s="2"/>
    </row>
    <row r="47" spans="1:18" ht="15.75" customHeight="1" thickTop="1" x14ac:dyDescent="0.2">
      <c r="A47" s="38"/>
      <c r="B47" s="45"/>
      <c r="C47" s="21"/>
      <c r="D47" s="21"/>
      <c r="E47" s="23"/>
      <c r="F47" s="21"/>
      <c r="G47" s="21"/>
      <c r="H47" s="23"/>
      <c r="I47" s="24"/>
      <c r="J47" s="24"/>
      <c r="K47" s="21"/>
      <c r="L47" s="21"/>
      <c r="M47" s="25"/>
      <c r="N47" s="10"/>
      <c r="R47" s="2"/>
    </row>
    <row r="48" spans="1:18" ht="15.75" customHeight="1" x14ac:dyDescent="0.25">
      <c r="A48" s="177" t="s">
        <v>58</v>
      </c>
      <c r="B48" s="20">
        <f>DATE(2023,7,1)</f>
        <v>45108</v>
      </c>
      <c r="C48" s="21">
        <v>351840</v>
      </c>
      <c r="D48" s="21">
        <v>327697</v>
      </c>
      <c r="E48" s="23">
        <f t="shared" ref="E48:E57" si="15">(+C48-D48)/D48</f>
        <v>7.3674766628928551E-2</v>
      </c>
      <c r="F48" s="21">
        <f>+C48-174244</f>
        <v>177596</v>
      </c>
      <c r="G48" s="21">
        <f>+D48-165744</f>
        <v>161953</v>
      </c>
      <c r="H48" s="23">
        <f t="shared" ref="H48:H53" si="16">(+F48-G48)/G48</f>
        <v>9.658975134761319E-2</v>
      </c>
      <c r="I48" s="24">
        <f t="shared" ref="I48:I53" si="17">K48/C48</f>
        <v>63.266514836289218</v>
      </c>
      <c r="J48" s="24">
        <f t="shared" ref="J48:J53" si="18">K48/F48</f>
        <v>125.33891855672424</v>
      </c>
      <c r="K48" s="21">
        <v>22259690.579999998</v>
      </c>
      <c r="L48" s="21">
        <v>21404058.239999998</v>
      </c>
      <c r="M48" s="25">
        <f t="shared" ref="M48:M57" si="19">(+K48-L48)/L48</f>
        <v>3.9975238826485265E-2</v>
      </c>
      <c r="N48" s="10"/>
      <c r="R48" s="2"/>
    </row>
    <row r="49" spans="1:18" ht="15.75" customHeight="1" x14ac:dyDescent="0.25">
      <c r="A49" s="177"/>
      <c r="B49" s="20">
        <f>DATE(2023,8,1)</f>
        <v>45139</v>
      </c>
      <c r="C49" s="21">
        <v>330822</v>
      </c>
      <c r="D49" s="21">
        <v>302775</v>
      </c>
      <c r="E49" s="23">
        <f t="shared" si="15"/>
        <v>9.2633143423334161E-2</v>
      </c>
      <c r="F49" s="21">
        <f>+C49-166752</f>
        <v>164070</v>
      </c>
      <c r="G49" s="21">
        <f>+D49-150422</f>
        <v>152353</v>
      </c>
      <c r="H49" s="23">
        <f t="shared" si="16"/>
        <v>7.6906920113158264E-2</v>
      </c>
      <c r="I49" s="24">
        <f t="shared" si="17"/>
        <v>60.320833197308524</v>
      </c>
      <c r="J49" s="24">
        <f t="shared" si="18"/>
        <v>121.62771183031633</v>
      </c>
      <c r="K49" s="21">
        <v>19955458.68</v>
      </c>
      <c r="L49" s="21">
        <v>19341318.82</v>
      </c>
      <c r="M49" s="25">
        <f t="shared" si="19"/>
        <v>3.1752739599377508E-2</v>
      </c>
      <c r="N49" s="10"/>
      <c r="R49" s="2"/>
    </row>
    <row r="50" spans="1:18" ht="15.75" customHeight="1" x14ac:dyDescent="0.25">
      <c r="A50" s="177"/>
      <c r="B50" s="20">
        <f>DATE(2023,9,1)</f>
        <v>45170</v>
      </c>
      <c r="C50" s="21">
        <v>316962</v>
      </c>
      <c r="D50" s="21">
        <v>299586</v>
      </c>
      <c r="E50" s="23">
        <f t="shared" si="15"/>
        <v>5.8000040055276279E-2</v>
      </c>
      <c r="F50" s="21">
        <f>+C50-158185</f>
        <v>158777</v>
      </c>
      <c r="G50" s="21">
        <f>+D50-150974</f>
        <v>148612</v>
      </c>
      <c r="H50" s="23">
        <f t="shared" si="16"/>
        <v>6.8399590880951738E-2</v>
      </c>
      <c r="I50" s="24">
        <f t="shared" si="17"/>
        <v>64.654702235599217</v>
      </c>
      <c r="J50" s="24">
        <f t="shared" si="18"/>
        <v>129.06833943203361</v>
      </c>
      <c r="K50" s="21">
        <v>20493083.73</v>
      </c>
      <c r="L50" s="21">
        <v>21154344.73</v>
      </c>
      <c r="M50" s="25">
        <f t="shared" si="19"/>
        <v>-3.1258874166980637E-2</v>
      </c>
      <c r="N50" s="10"/>
      <c r="R50" s="2"/>
    </row>
    <row r="51" spans="1:18" ht="15.75" customHeight="1" x14ac:dyDescent="0.25">
      <c r="A51" s="177"/>
      <c r="B51" s="20">
        <f>DATE(2023,10,1)</f>
        <v>45200</v>
      </c>
      <c r="C51" s="21">
        <v>288802</v>
      </c>
      <c r="D51" s="21">
        <v>280901</v>
      </c>
      <c r="E51" s="23">
        <f t="shared" si="15"/>
        <v>2.812734735725398E-2</v>
      </c>
      <c r="F51" s="21">
        <f>+C51-147350</f>
        <v>141452</v>
      </c>
      <c r="G51" s="21">
        <f>+D51-143073</f>
        <v>137828</v>
      </c>
      <c r="H51" s="23">
        <f t="shared" si="16"/>
        <v>2.6293641350088517E-2</v>
      </c>
      <c r="I51" s="24">
        <f t="shared" si="17"/>
        <v>67.019315586457154</v>
      </c>
      <c r="J51" s="24">
        <f t="shared" si="18"/>
        <v>136.83307680343862</v>
      </c>
      <c r="K51" s="21">
        <v>19355312.379999999</v>
      </c>
      <c r="L51" s="21">
        <v>19256450</v>
      </c>
      <c r="M51" s="25">
        <f t="shared" si="19"/>
        <v>5.1339878326482277E-3</v>
      </c>
      <c r="N51" s="10"/>
      <c r="R51" s="2"/>
    </row>
    <row r="52" spans="1:18" ht="15.75" customHeight="1" x14ac:dyDescent="0.25">
      <c r="A52" s="177"/>
      <c r="B52" s="20">
        <f>DATE(2023,11,1)</f>
        <v>45231</v>
      </c>
      <c r="C52" s="21">
        <v>288915</v>
      </c>
      <c r="D52" s="21">
        <v>277702</v>
      </c>
      <c r="E52" s="23">
        <f t="shared" si="15"/>
        <v>4.0377815067950538E-2</v>
      </c>
      <c r="F52" s="21">
        <f>+C52-147815</f>
        <v>141100</v>
      </c>
      <c r="G52" s="21">
        <f>+D52-138977</f>
        <v>138725</v>
      </c>
      <c r="H52" s="23">
        <f t="shared" si="16"/>
        <v>1.7120201838169039E-2</v>
      </c>
      <c r="I52" s="24">
        <f t="shared" si="17"/>
        <v>68.224359309831613</v>
      </c>
      <c r="J52" s="24">
        <f t="shared" si="18"/>
        <v>139.6955405386251</v>
      </c>
      <c r="K52" s="21">
        <v>19711040.77</v>
      </c>
      <c r="L52" s="21">
        <v>17923650.210000001</v>
      </c>
      <c r="M52" s="25">
        <f t="shared" si="19"/>
        <v>9.9722463842927142E-2</v>
      </c>
      <c r="N52" s="10"/>
      <c r="R52" s="2"/>
    </row>
    <row r="53" spans="1:18" ht="15.75" customHeight="1" x14ac:dyDescent="0.25">
      <c r="A53" s="177"/>
      <c r="B53" s="20">
        <f>DATE(2023,12,1)</f>
        <v>45261</v>
      </c>
      <c r="C53" s="21">
        <v>314743</v>
      </c>
      <c r="D53" s="21">
        <v>302510</v>
      </c>
      <c r="E53" s="23">
        <f t="shared" si="15"/>
        <v>4.043833261710357E-2</v>
      </c>
      <c r="F53" s="21">
        <f>+C53-159932</f>
        <v>154811</v>
      </c>
      <c r="G53" s="21">
        <f>+D53-154252</f>
        <v>148258</v>
      </c>
      <c r="H53" s="23">
        <f t="shared" si="16"/>
        <v>4.4199975718005102E-2</v>
      </c>
      <c r="I53" s="24">
        <f t="shared" si="17"/>
        <v>67.908941453821058</v>
      </c>
      <c r="J53" s="24">
        <f t="shared" si="18"/>
        <v>138.06424582232529</v>
      </c>
      <c r="K53" s="21">
        <v>21373863.960000001</v>
      </c>
      <c r="L53" s="21">
        <v>20223315.530000001</v>
      </c>
      <c r="M53" s="25">
        <f t="shared" si="19"/>
        <v>5.689217617621771E-2</v>
      </c>
      <c r="N53" s="10"/>
      <c r="R53" s="2"/>
    </row>
    <row r="54" spans="1:18" ht="15.75" customHeight="1" x14ac:dyDescent="0.25">
      <c r="A54" s="177"/>
      <c r="B54" s="20">
        <f>DATE(2024,1,1)</f>
        <v>45292</v>
      </c>
      <c r="C54" s="21">
        <v>259823</v>
      </c>
      <c r="D54" s="21">
        <v>303832</v>
      </c>
      <c r="E54" s="23">
        <f t="shared" si="15"/>
        <v>-0.14484649411516892</v>
      </c>
      <c r="F54" s="21">
        <f>+C54-132099</f>
        <v>127724</v>
      </c>
      <c r="G54" s="21">
        <f>D54-157346</f>
        <v>146486</v>
      </c>
      <c r="H54" s="23">
        <f>(+F54-G54)/G54</f>
        <v>-0.12808049916032932</v>
      </c>
      <c r="I54" s="24">
        <f>K54/C54</f>
        <v>69.317519003321479</v>
      </c>
      <c r="J54" s="24">
        <f>K54/F54</f>
        <v>141.00940888165104</v>
      </c>
      <c r="K54" s="21">
        <v>18010285.739999998</v>
      </c>
      <c r="L54" s="21">
        <v>18911652.34</v>
      </c>
      <c r="M54" s="25">
        <f t="shared" si="19"/>
        <v>-4.7661969657380107E-2</v>
      </c>
      <c r="N54" s="10"/>
      <c r="R54" s="2"/>
    </row>
    <row r="55" spans="1:18" ht="15.75" customHeight="1" x14ac:dyDescent="0.25">
      <c r="A55" s="177"/>
      <c r="B55" s="20">
        <f>DATE(2024,2,1)</f>
        <v>45323</v>
      </c>
      <c r="C55" s="21">
        <v>307468</v>
      </c>
      <c r="D55" s="21">
        <v>310506</v>
      </c>
      <c r="E55" s="23">
        <f t="shared" si="15"/>
        <v>-9.7840299382298563E-3</v>
      </c>
      <c r="F55" s="21">
        <f>+C55-157418</f>
        <v>150050</v>
      </c>
      <c r="G55" s="21">
        <f>+D55-160719</f>
        <v>149787</v>
      </c>
      <c r="H55" s="23">
        <f>(+F55-G55)/G55</f>
        <v>1.7558266071154372E-3</v>
      </c>
      <c r="I55" s="24">
        <f>K55/C55</f>
        <v>67.201687232492489</v>
      </c>
      <c r="J55" s="24">
        <f>K55/F55</f>
        <v>137.70322139286904</v>
      </c>
      <c r="K55" s="21">
        <v>20662368.370000001</v>
      </c>
      <c r="L55" s="21">
        <v>19337969.649999999</v>
      </c>
      <c r="M55" s="25">
        <f t="shared" si="19"/>
        <v>6.8486958246932739E-2</v>
      </c>
      <c r="N55" s="10"/>
      <c r="R55" s="2"/>
    </row>
    <row r="56" spans="1:18" ht="15.75" customHeight="1" x14ac:dyDescent="0.25">
      <c r="A56" s="177"/>
      <c r="B56" s="20">
        <f>DATE(2024,3,1)</f>
        <v>45352</v>
      </c>
      <c r="C56" s="21">
        <v>325224</v>
      </c>
      <c r="D56" s="21">
        <v>350533</v>
      </c>
      <c r="E56" s="23">
        <f t="shared" si="15"/>
        <v>-7.220147603791939E-2</v>
      </c>
      <c r="F56" s="21">
        <f>+C56-169317</f>
        <v>155907</v>
      </c>
      <c r="G56" s="21">
        <f>+D56-179914</f>
        <v>170619</v>
      </c>
      <c r="H56" s="23">
        <f>(+F56-G56)/G56</f>
        <v>-8.6227207989731505E-2</v>
      </c>
      <c r="I56" s="24">
        <f>K56/C56</f>
        <v>66.520826415024715</v>
      </c>
      <c r="J56" s="24">
        <f>K56/F56</f>
        <v>138.76329638823145</v>
      </c>
      <c r="K56" s="21">
        <v>21634169.25</v>
      </c>
      <c r="L56" s="21">
        <v>22478514.140000001</v>
      </c>
      <c r="M56" s="25">
        <f t="shared" si="19"/>
        <v>-3.7562308822606215E-2</v>
      </c>
      <c r="N56" s="10"/>
      <c r="R56" s="2"/>
    </row>
    <row r="57" spans="1:18" ht="15.75" customHeight="1" x14ac:dyDescent="0.25">
      <c r="A57" s="177"/>
      <c r="B57" s="20">
        <f>DATE(2024,4,1)</f>
        <v>45383</v>
      </c>
      <c r="C57" s="21">
        <v>281983</v>
      </c>
      <c r="D57" s="21">
        <v>316028</v>
      </c>
      <c r="E57" s="23">
        <f t="shared" si="15"/>
        <v>-0.10772779627121648</v>
      </c>
      <c r="F57" s="21">
        <f>+C57-144693</f>
        <v>137290</v>
      </c>
      <c r="G57" s="21">
        <f>+D57-163969</f>
        <v>152059</v>
      </c>
      <c r="H57" s="23">
        <f>(+F57-G57)/G57</f>
        <v>-9.7126773160417998E-2</v>
      </c>
      <c r="I57" s="24">
        <f>K57/C57</f>
        <v>70.128584276357074</v>
      </c>
      <c r="J57" s="24">
        <f>K57/F57</f>
        <v>144.03866690946171</v>
      </c>
      <c r="K57" s="21">
        <v>19775068.579999998</v>
      </c>
      <c r="L57" s="21">
        <v>21209844.18</v>
      </c>
      <c r="M57" s="25">
        <f t="shared" si="19"/>
        <v>-6.7646682730132232E-2</v>
      </c>
      <c r="N57" s="10"/>
      <c r="R57" s="2"/>
    </row>
    <row r="58" spans="1:18" ht="15.75" thickBot="1" x14ac:dyDescent="0.25">
      <c r="A58" s="38"/>
      <c r="B58" s="45"/>
      <c r="C58" s="21"/>
      <c r="D58" s="21"/>
      <c r="E58" s="23"/>
      <c r="F58" s="21"/>
      <c r="G58" s="21"/>
      <c r="H58" s="23"/>
      <c r="I58" s="24"/>
      <c r="J58" s="24"/>
      <c r="K58" s="21"/>
      <c r="L58" s="21"/>
      <c r="M58" s="25"/>
      <c r="N58" s="10"/>
      <c r="R58" s="2"/>
    </row>
    <row r="59" spans="1:18" ht="17.25" thickTop="1" thickBot="1" x14ac:dyDescent="0.3">
      <c r="A59" s="39" t="s">
        <v>14</v>
      </c>
      <c r="B59" s="40"/>
      <c r="C59" s="41">
        <f>SUM(C48:C58)</f>
        <v>3066582</v>
      </c>
      <c r="D59" s="41">
        <f>SUM(D48:D58)</f>
        <v>3072070</v>
      </c>
      <c r="E59" s="280">
        <f>(+C59-D59)/D59</f>
        <v>-1.7864176272025052E-3</v>
      </c>
      <c r="F59" s="41">
        <f>SUM(F48:F58)</f>
        <v>1508777</v>
      </c>
      <c r="G59" s="41">
        <f>SUM(G48:G58)</f>
        <v>1506680</v>
      </c>
      <c r="H59" s="42">
        <f>(+F59-G59)/G59</f>
        <v>1.3918018424615712E-3</v>
      </c>
      <c r="I59" s="43">
        <f>K59/C59</f>
        <v>66.272593408557157</v>
      </c>
      <c r="J59" s="43">
        <f>K59/F59</f>
        <v>134.69872753892724</v>
      </c>
      <c r="K59" s="41">
        <f>SUM(K48:K58)</f>
        <v>203230342.04000002</v>
      </c>
      <c r="L59" s="41">
        <f>SUM(L48:L58)</f>
        <v>201241117.84000003</v>
      </c>
      <c r="M59" s="44">
        <f>(+K59-L59)/L59</f>
        <v>9.8847801152722303E-3</v>
      </c>
      <c r="N59" s="10"/>
      <c r="R59" s="2"/>
    </row>
    <row r="60" spans="1:18" ht="15.75" thickTop="1" x14ac:dyDescent="0.2">
      <c r="A60" s="38"/>
      <c r="B60" s="45"/>
      <c r="C60" s="21"/>
      <c r="D60" s="21"/>
      <c r="E60" s="23"/>
      <c r="F60" s="21"/>
      <c r="G60" s="21"/>
      <c r="H60" s="23"/>
      <c r="I60" s="24"/>
      <c r="J60" s="24"/>
      <c r="K60" s="21"/>
      <c r="L60" s="21"/>
      <c r="M60" s="25"/>
      <c r="N60" s="10"/>
      <c r="R60" s="2"/>
    </row>
    <row r="61" spans="1:18" ht="15.75" x14ac:dyDescent="0.25">
      <c r="A61" s="19" t="s">
        <v>60</v>
      </c>
      <c r="B61" s="20">
        <f>DATE(2023,7,1)</f>
        <v>45108</v>
      </c>
      <c r="C61" s="21">
        <v>199698</v>
      </c>
      <c r="D61" s="21">
        <v>219130</v>
      </c>
      <c r="E61" s="23">
        <f t="shared" ref="E61:E70" si="20">(+C61-D61)/D61</f>
        <v>-8.8677953726098657E-2</v>
      </c>
      <c r="F61" s="21">
        <f>+C61-94634</f>
        <v>105064</v>
      </c>
      <c r="G61" s="21">
        <f>+D61-103416</f>
        <v>115714</v>
      </c>
      <c r="H61" s="23">
        <f t="shared" ref="H61:H66" si="21">(+F61-G61)/G61</f>
        <v>-9.2037264289541454E-2</v>
      </c>
      <c r="I61" s="24">
        <f t="shared" ref="I61:I66" si="22">K61/C61</f>
        <v>76.994882722911598</v>
      </c>
      <c r="J61" s="24">
        <f t="shared" ref="J61:J66" si="23">K61/F61</f>
        <v>146.34626599025356</v>
      </c>
      <c r="K61" s="21">
        <v>15375724.09</v>
      </c>
      <c r="L61" s="21">
        <v>15073309.060000001</v>
      </c>
      <c r="M61" s="25">
        <f t="shared" ref="M61:M70" si="24">(+K61-L61)/L61</f>
        <v>2.0062948938167617E-2</v>
      </c>
      <c r="N61" s="10"/>
      <c r="R61" s="2"/>
    </row>
    <row r="62" spans="1:18" ht="15.75" x14ac:dyDescent="0.25">
      <c r="A62" s="19"/>
      <c r="B62" s="20">
        <f>DATE(2023,8,1)</f>
        <v>45139</v>
      </c>
      <c r="C62" s="21">
        <v>185862</v>
      </c>
      <c r="D62" s="21">
        <v>204381</v>
      </c>
      <c r="E62" s="23">
        <f t="shared" si="20"/>
        <v>-9.0610183921205983E-2</v>
      </c>
      <c r="F62" s="21">
        <f>+C62-90658</f>
        <v>95204</v>
      </c>
      <c r="G62" s="21">
        <f>+D62-97907</f>
        <v>106474</v>
      </c>
      <c r="H62" s="23">
        <f t="shared" si="21"/>
        <v>-0.10584743693296016</v>
      </c>
      <c r="I62" s="24">
        <f t="shared" si="22"/>
        <v>75.718013848984725</v>
      </c>
      <c r="J62" s="24">
        <f t="shared" si="23"/>
        <v>147.8204853787656</v>
      </c>
      <c r="K62" s="21">
        <v>14073101.49</v>
      </c>
      <c r="L62" s="21">
        <v>15308950.33</v>
      </c>
      <c r="M62" s="25">
        <f t="shared" si="24"/>
        <v>-8.0727209466359265E-2</v>
      </c>
      <c r="N62" s="10"/>
      <c r="R62" s="2"/>
    </row>
    <row r="63" spans="1:18" ht="15.75" x14ac:dyDescent="0.25">
      <c r="A63" s="19"/>
      <c r="B63" s="20">
        <f>DATE(2023,9,1)</f>
        <v>45170</v>
      </c>
      <c r="C63" s="21">
        <v>187631</v>
      </c>
      <c r="D63" s="21">
        <v>195879</v>
      </c>
      <c r="E63" s="23">
        <f t="shared" si="20"/>
        <v>-4.2107627668101229E-2</v>
      </c>
      <c r="F63" s="21">
        <f>+C63-91547</f>
        <v>96084</v>
      </c>
      <c r="G63" s="21">
        <f>+D63-93599</f>
        <v>102280</v>
      </c>
      <c r="H63" s="23">
        <f t="shared" si="21"/>
        <v>-6.0578803285099729E-2</v>
      </c>
      <c r="I63" s="24">
        <f t="shared" si="22"/>
        <v>73.725347463905223</v>
      </c>
      <c r="J63" s="24">
        <f t="shared" si="23"/>
        <v>143.96945037675368</v>
      </c>
      <c r="K63" s="21">
        <v>13833160.67</v>
      </c>
      <c r="L63" s="21">
        <v>13847415.310000001</v>
      </c>
      <c r="M63" s="25">
        <f t="shared" si="24"/>
        <v>-1.0294079928191736E-3</v>
      </c>
      <c r="N63" s="10"/>
      <c r="R63" s="2"/>
    </row>
    <row r="64" spans="1:18" ht="15.75" x14ac:dyDescent="0.25">
      <c r="A64" s="19"/>
      <c r="B64" s="20">
        <f>DATE(2023,10,1)</f>
        <v>45200</v>
      </c>
      <c r="C64" s="21">
        <v>183725</v>
      </c>
      <c r="D64" s="21">
        <v>197679</v>
      </c>
      <c r="E64" s="23">
        <f t="shared" si="20"/>
        <v>-7.058918752118333E-2</v>
      </c>
      <c r="F64" s="21">
        <f>+C64-90840</f>
        <v>92885</v>
      </c>
      <c r="G64" s="21">
        <f>+D64-94885</f>
        <v>102794</v>
      </c>
      <c r="H64" s="23">
        <f t="shared" si="21"/>
        <v>-9.6396676848843316E-2</v>
      </c>
      <c r="I64" s="24">
        <f t="shared" si="22"/>
        <v>72.951255517757517</v>
      </c>
      <c r="J64" s="24">
        <f t="shared" si="23"/>
        <v>144.29638176239436</v>
      </c>
      <c r="K64" s="21">
        <v>13402969.42</v>
      </c>
      <c r="L64" s="21">
        <v>11929810.6</v>
      </c>
      <c r="M64" s="25">
        <f t="shared" si="24"/>
        <v>0.12348551619084383</v>
      </c>
      <c r="N64" s="10"/>
      <c r="R64" s="2"/>
    </row>
    <row r="65" spans="1:18" ht="15.75" x14ac:dyDescent="0.25">
      <c r="A65" s="19"/>
      <c r="B65" s="20">
        <f>DATE(2023,11,1)</f>
        <v>45231</v>
      </c>
      <c r="C65" s="21">
        <v>168217</v>
      </c>
      <c r="D65" s="21">
        <v>191974</v>
      </c>
      <c r="E65" s="23">
        <f t="shared" si="20"/>
        <v>-0.12375113296592247</v>
      </c>
      <c r="F65" s="21">
        <f>+C65-79459</f>
        <v>88758</v>
      </c>
      <c r="G65" s="21">
        <f>+D65-91566</f>
        <v>100408</v>
      </c>
      <c r="H65" s="23">
        <f t="shared" si="21"/>
        <v>-0.11602661142538444</v>
      </c>
      <c r="I65" s="24">
        <f t="shared" si="22"/>
        <v>75.426880576873927</v>
      </c>
      <c r="J65" s="24">
        <f t="shared" si="23"/>
        <v>142.95143615223418</v>
      </c>
      <c r="K65" s="21">
        <v>12688083.57</v>
      </c>
      <c r="L65" s="21">
        <v>14099198.119999999</v>
      </c>
      <c r="M65" s="25">
        <f t="shared" si="24"/>
        <v>-0.10008473801061808</v>
      </c>
      <c r="N65" s="10"/>
      <c r="R65" s="2"/>
    </row>
    <row r="66" spans="1:18" ht="15.75" x14ac:dyDescent="0.25">
      <c r="A66" s="19"/>
      <c r="B66" s="20">
        <f>DATE(2023,12,1)</f>
        <v>45261</v>
      </c>
      <c r="C66" s="21">
        <v>202224</v>
      </c>
      <c r="D66" s="21">
        <v>193245</v>
      </c>
      <c r="E66" s="23">
        <f t="shared" si="20"/>
        <v>4.6464332841729412E-2</v>
      </c>
      <c r="F66" s="21">
        <f>+C66-96249</f>
        <v>105975</v>
      </c>
      <c r="G66" s="21">
        <f>+D66-93799</f>
        <v>99446</v>
      </c>
      <c r="H66" s="23">
        <f t="shared" si="21"/>
        <v>6.5653721617762409E-2</v>
      </c>
      <c r="I66" s="24">
        <f t="shared" si="22"/>
        <v>77.001105704565234</v>
      </c>
      <c r="J66" s="24">
        <f t="shared" si="23"/>
        <v>146.93533003066761</v>
      </c>
      <c r="K66" s="21">
        <v>15571471.6</v>
      </c>
      <c r="L66" s="21">
        <v>14757470.5</v>
      </c>
      <c r="M66" s="25">
        <f t="shared" si="24"/>
        <v>5.5158578836393378E-2</v>
      </c>
      <c r="N66" s="10"/>
      <c r="R66" s="2"/>
    </row>
    <row r="67" spans="1:18" ht="15.75" x14ac:dyDescent="0.25">
      <c r="A67" s="19"/>
      <c r="B67" s="20">
        <f>DATE(2024,1,1)</f>
        <v>45292</v>
      </c>
      <c r="C67" s="21">
        <v>146133</v>
      </c>
      <c r="D67" s="21">
        <v>186881</v>
      </c>
      <c r="E67" s="23">
        <f t="shared" si="20"/>
        <v>-0.21804249763218306</v>
      </c>
      <c r="F67" s="21">
        <f>C67-67849</f>
        <v>78284</v>
      </c>
      <c r="G67" s="21">
        <f>D67-92185</f>
        <v>94696</v>
      </c>
      <c r="H67" s="23">
        <f>(+F67-G67)/G67</f>
        <v>-0.17331249471994592</v>
      </c>
      <c r="I67" s="24">
        <f>K67/C67</f>
        <v>77.318423285637053</v>
      </c>
      <c r="J67" s="24">
        <f>K67/F67</f>
        <v>144.33055477492209</v>
      </c>
      <c r="K67" s="21">
        <v>11298773.15</v>
      </c>
      <c r="L67" s="21">
        <v>14118368.050000001</v>
      </c>
      <c r="M67" s="25">
        <f t="shared" si="24"/>
        <v>-0.19971110612887019</v>
      </c>
      <c r="N67" s="10"/>
      <c r="R67" s="2"/>
    </row>
    <row r="68" spans="1:18" ht="15.75" x14ac:dyDescent="0.25">
      <c r="A68" s="19"/>
      <c r="B68" s="20">
        <f>DATE(2024,2,1)</f>
        <v>45323</v>
      </c>
      <c r="C68" s="21">
        <v>177020</v>
      </c>
      <c r="D68" s="21">
        <v>182698</v>
      </c>
      <c r="E68" s="23">
        <f t="shared" si="20"/>
        <v>-3.1078610603290677E-2</v>
      </c>
      <c r="F68" s="21">
        <f>+C68-81591</f>
        <v>95429</v>
      </c>
      <c r="G68" s="21">
        <f>+D68-88434</f>
        <v>94264</v>
      </c>
      <c r="H68" s="23">
        <f>(+F68-G68)/G68</f>
        <v>1.2358906899770856E-2</v>
      </c>
      <c r="I68" s="24">
        <f>K68/C68</f>
        <v>76.839070444017622</v>
      </c>
      <c r="J68" s="24">
        <f>K68/F68</f>
        <v>142.53583554265475</v>
      </c>
      <c r="K68" s="21">
        <v>13602052.25</v>
      </c>
      <c r="L68" s="21">
        <v>13691424.119999999</v>
      </c>
      <c r="M68" s="25">
        <f t="shared" si="24"/>
        <v>-6.5275802733659807E-3</v>
      </c>
      <c r="N68" s="10"/>
      <c r="R68" s="2"/>
    </row>
    <row r="69" spans="1:18" ht="15.75" x14ac:dyDescent="0.25">
      <c r="A69" s="19"/>
      <c r="B69" s="20">
        <f>DATE(2024,3,1)</f>
        <v>45352</v>
      </c>
      <c r="C69" s="21">
        <v>205988</v>
      </c>
      <c r="D69" s="21">
        <v>212491</v>
      </c>
      <c r="E69" s="23">
        <f t="shared" si="20"/>
        <v>-3.0603649095726406E-2</v>
      </c>
      <c r="F69" s="21">
        <f>+C69-99517</f>
        <v>106471</v>
      </c>
      <c r="G69" s="21">
        <f>+D69-103370</f>
        <v>109121</v>
      </c>
      <c r="H69" s="23">
        <f>(+F69-G69)/G69</f>
        <v>-2.4284968062975962E-2</v>
      </c>
      <c r="I69" s="24">
        <f>K69/C69</f>
        <v>74.615982387323541</v>
      </c>
      <c r="J69" s="24">
        <f>K69/F69</f>
        <v>144.35852936480356</v>
      </c>
      <c r="K69" s="21">
        <v>15369996.98</v>
      </c>
      <c r="L69" s="21">
        <v>16344588.82</v>
      </c>
      <c r="M69" s="25">
        <f t="shared" si="24"/>
        <v>-5.962779796622622E-2</v>
      </c>
      <c r="N69" s="10"/>
      <c r="R69" s="2"/>
    </row>
    <row r="70" spans="1:18" ht="15.75" x14ac:dyDescent="0.25">
      <c r="A70" s="19"/>
      <c r="B70" s="20">
        <f>DATE(2024,4,1)</f>
        <v>45383</v>
      </c>
      <c r="C70" s="21">
        <v>164837</v>
      </c>
      <c r="D70" s="21">
        <v>192775</v>
      </c>
      <c r="E70" s="23">
        <f t="shared" si="20"/>
        <v>-0.14492543120217871</v>
      </c>
      <c r="F70" s="21">
        <f>+C70-76076</f>
        <v>88761</v>
      </c>
      <c r="G70" s="21">
        <f>+D70-92557</f>
        <v>100218</v>
      </c>
      <c r="H70" s="23">
        <f>(+F70-G70)/G70</f>
        <v>-0.11432078069807819</v>
      </c>
      <c r="I70" s="24">
        <f>K70/C70</f>
        <v>77.566822436710211</v>
      </c>
      <c r="J70" s="24">
        <f>K70/F70</f>
        <v>144.04842565991822</v>
      </c>
      <c r="K70" s="21">
        <v>12785882.310000001</v>
      </c>
      <c r="L70" s="21">
        <v>14018346</v>
      </c>
      <c r="M70" s="25">
        <f t="shared" si="24"/>
        <v>-8.7917910572331393E-2</v>
      </c>
      <c r="N70" s="10"/>
      <c r="R70" s="2"/>
    </row>
    <row r="71" spans="1:18" ht="15.75" thickBot="1" x14ac:dyDescent="0.25">
      <c r="A71" s="38"/>
      <c r="B71" s="20"/>
      <c r="C71" s="21"/>
      <c r="D71" s="21"/>
      <c r="E71" s="23"/>
      <c r="F71" s="21"/>
      <c r="G71" s="21"/>
      <c r="H71" s="23"/>
      <c r="I71" s="24"/>
      <c r="J71" s="24"/>
      <c r="K71" s="21"/>
      <c r="L71" s="21"/>
      <c r="M71" s="25"/>
      <c r="N71" s="10"/>
      <c r="R71" s="2"/>
    </row>
    <row r="72" spans="1:18" ht="17.25" thickTop="1" thickBot="1" x14ac:dyDescent="0.3">
      <c r="A72" s="39" t="s">
        <v>14</v>
      </c>
      <c r="B72" s="40"/>
      <c r="C72" s="41">
        <f>SUM(C61:C71)</f>
        <v>1821335</v>
      </c>
      <c r="D72" s="41">
        <f>SUM(D61:D71)</f>
        <v>1977133</v>
      </c>
      <c r="E72" s="281">
        <f>(+C72-D72)/D72</f>
        <v>-7.8799959335057373E-2</v>
      </c>
      <c r="F72" s="47">
        <f>SUM(F61:F71)</f>
        <v>952915</v>
      </c>
      <c r="G72" s="48">
        <f>SUM(G61:G71)</f>
        <v>1025415</v>
      </c>
      <c r="H72" s="49">
        <f>(+F72-G72)/G72</f>
        <v>-7.0703081191517581E-2</v>
      </c>
      <c r="I72" s="50">
        <f>K72/C72</f>
        <v>75.769265692472828</v>
      </c>
      <c r="J72" s="51">
        <f>K72/F72</f>
        <v>144.82006845311491</v>
      </c>
      <c r="K72" s="48">
        <f>SUM(K61:K71)</f>
        <v>138001215.53</v>
      </c>
      <c r="L72" s="47">
        <f>SUM(L61:L71)</f>
        <v>143188880.91</v>
      </c>
      <c r="M72" s="44">
        <f>(+K72-L72)/L72</f>
        <v>-3.6229526671562248E-2</v>
      </c>
      <c r="N72" s="10"/>
      <c r="R72" s="2"/>
    </row>
    <row r="73" spans="1:18" ht="15.75" customHeight="1" thickTop="1" x14ac:dyDescent="0.25">
      <c r="A73" s="273"/>
      <c r="B73" s="45"/>
      <c r="C73" s="21"/>
      <c r="D73" s="21"/>
      <c r="E73" s="23"/>
      <c r="F73" s="21"/>
      <c r="G73" s="21"/>
      <c r="H73" s="23"/>
      <c r="I73" s="24"/>
      <c r="J73" s="24"/>
      <c r="K73" s="21"/>
      <c r="L73" s="21"/>
      <c r="M73" s="25"/>
      <c r="N73" s="10"/>
      <c r="R73" s="2"/>
    </row>
    <row r="74" spans="1:18" ht="15.75" x14ac:dyDescent="0.25">
      <c r="A74" s="274" t="s">
        <v>61</v>
      </c>
      <c r="B74" s="20">
        <f>DATE(2023,7,1)</f>
        <v>45108</v>
      </c>
      <c r="C74" s="21">
        <v>94450</v>
      </c>
      <c r="D74" s="21">
        <v>95268</v>
      </c>
      <c r="E74" s="23">
        <f t="shared" ref="E74:E83" si="25">(+C74-D74)/D74</f>
        <v>-8.5863039005752186E-3</v>
      </c>
      <c r="F74" s="21">
        <f>+C74-47449</f>
        <v>47001</v>
      </c>
      <c r="G74" s="21">
        <f>+D74-47922</f>
        <v>47346</v>
      </c>
      <c r="H74" s="23">
        <f t="shared" ref="H74:H79" si="26">(+F74-G74)/G74</f>
        <v>-7.2867824103408944E-3</v>
      </c>
      <c r="I74" s="24">
        <f t="shared" ref="I74:I79" si="27">K74/C74</f>
        <v>66.529558814187396</v>
      </c>
      <c r="J74" s="24">
        <f t="shared" ref="J74:J79" si="28">K74/F74</f>
        <v>133.69325822854833</v>
      </c>
      <c r="K74" s="21">
        <v>6283716.8300000001</v>
      </c>
      <c r="L74" s="21">
        <v>6260150.0999999996</v>
      </c>
      <c r="M74" s="25">
        <f t="shared" ref="M74:M83" si="29">(+K74-L74)/L74</f>
        <v>3.7645630893100228E-3</v>
      </c>
      <c r="N74" s="10"/>
      <c r="R74" s="2"/>
    </row>
    <row r="75" spans="1:18" ht="15.75" x14ac:dyDescent="0.25">
      <c r="A75" s="274"/>
      <c r="B75" s="20">
        <f>DATE(2023,8,1)</f>
        <v>45139</v>
      </c>
      <c r="C75" s="21">
        <v>85640</v>
      </c>
      <c r="D75" s="21">
        <v>85207</v>
      </c>
      <c r="E75" s="23">
        <f t="shared" si="25"/>
        <v>5.0817421103899916E-3</v>
      </c>
      <c r="F75" s="21">
        <f>+C75-42807</f>
        <v>42833</v>
      </c>
      <c r="G75" s="21">
        <f>+D75-42477</f>
        <v>42730</v>
      </c>
      <c r="H75" s="23">
        <f t="shared" si="26"/>
        <v>2.4104844371635853E-3</v>
      </c>
      <c r="I75" s="24">
        <f t="shared" si="27"/>
        <v>70.000778608127035</v>
      </c>
      <c r="J75" s="24">
        <f t="shared" si="28"/>
        <v>139.95906614059254</v>
      </c>
      <c r="K75" s="21">
        <v>5994866.6799999997</v>
      </c>
      <c r="L75" s="21">
        <v>5465144.5899999999</v>
      </c>
      <c r="M75" s="25">
        <f t="shared" si="29"/>
        <v>9.6927369674587122E-2</v>
      </c>
      <c r="N75" s="10"/>
      <c r="R75" s="2"/>
    </row>
    <row r="76" spans="1:18" ht="15.75" x14ac:dyDescent="0.25">
      <c r="A76" s="274"/>
      <c r="B76" s="20">
        <f>DATE(2023,9,1)</f>
        <v>45170</v>
      </c>
      <c r="C76" s="21">
        <v>85140</v>
      </c>
      <c r="D76" s="21">
        <v>84321</v>
      </c>
      <c r="E76" s="23">
        <f t="shared" si="25"/>
        <v>9.7128829117301748E-3</v>
      </c>
      <c r="F76" s="21">
        <f>+C76-42349</f>
        <v>42791</v>
      </c>
      <c r="G76" s="21">
        <f>+D76-41917</f>
        <v>42404</v>
      </c>
      <c r="H76" s="23">
        <f t="shared" si="26"/>
        <v>9.1264975002358275E-3</v>
      </c>
      <c r="I76" s="24">
        <f t="shared" si="27"/>
        <v>61.348339558374441</v>
      </c>
      <c r="J76" s="24">
        <f t="shared" si="28"/>
        <v>122.06299525601177</v>
      </c>
      <c r="K76" s="21">
        <v>5223197.63</v>
      </c>
      <c r="L76" s="21">
        <v>5380839.7999999998</v>
      </c>
      <c r="M76" s="25">
        <f t="shared" si="29"/>
        <v>-2.9296945432198136E-2</v>
      </c>
      <c r="N76" s="10"/>
      <c r="R76" s="2"/>
    </row>
    <row r="77" spans="1:18" ht="15.75" x14ac:dyDescent="0.25">
      <c r="A77" s="274"/>
      <c r="B77" s="20">
        <f>DATE(2023,10,1)</f>
        <v>45200</v>
      </c>
      <c r="C77" s="21">
        <v>78312</v>
      </c>
      <c r="D77" s="21">
        <v>85227</v>
      </c>
      <c r="E77" s="23">
        <f t="shared" si="25"/>
        <v>-8.1136259636030841E-2</v>
      </c>
      <c r="F77" s="21">
        <f>+C77-38948</f>
        <v>39364</v>
      </c>
      <c r="G77" s="21">
        <f>+D77-43095</f>
        <v>42132</v>
      </c>
      <c r="H77" s="23">
        <f t="shared" si="26"/>
        <v>-6.5698281591189595E-2</v>
      </c>
      <c r="I77" s="24">
        <f t="shared" si="27"/>
        <v>66.954319772193287</v>
      </c>
      <c r="J77" s="24">
        <f t="shared" si="28"/>
        <v>133.20106417030792</v>
      </c>
      <c r="K77" s="21">
        <v>5243326.6900000004</v>
      </c>
      <c r="L77" s="21">
        <v>5518454.2199999997</v>
      </c>
      <c r="M77" s="25">
        <f t="shared" si="29"/>
        <v>-4.9855905119749154E-2</v>
      </c>
      <c r="N77" s="10"/>
      <c r="R77" s="2"/>
    </row>
    <row r="78" spans="1:18" ht="15.75" x14ac:dyDescent="0.25">
      <c r="A78" s="274"/>
      <c r="B78" s="20">
        <f>DATE(2023,11,1)</f>
        <v>45231</v>
      </c>
      <c r="C78" s="21">
        <v>76656</v>
      </c>
      <c r="D78" s="21">
        <v>76718</v>
      </c>
      <c r="E78" s="23">
        <f t="shared" si="25"/>
        <v>-8.0815454000364971E-4</v>
      </c>
      <c r="F78" s="21">
        <f>+C78-38503</f>
        <v>38153</v>
      </c>
      <c r="G78" s="21">
        <f>+D78-38746</f>
        <v>37972</v>
      </c>
      <c r="H78" s="23">
        <f t="shared" si="26"/>
        <v>4.7666701780259141E-3</v>
      </c>
      <c r="I78" s="24">
        <f t="shared" si="27"/>
        <v>68.035706011271131</v>
      </c>
      <c r="J78" s="24">
        <f t="shared" si="28"/>
        <v>136.69554373181663</v>
      </c>
      <c r="K78" s="21">
        <v>5215345.08</v>
      </c>
      <c r="L78" s="21">
        <v>5081236.03</v>
      </c>
      <c r="M78" s="25">
        <f t="shared" si="29"/>
        <v>2.6392997532137825E-2</v>
      </c>
      <c r="N78" s="10"/>
      <c r="R78" s="2"/>
    </row>
    <row r="79" spans="1:18" ht="15.75" x14ac:dyDescent="0.25">
      <c r="A79" s="274"/>
      <c r="B79" s="20">
        <f>DATE(2023,12,1)</f>
        <v>45261</v>
      </c>
      <c r="C79" s="21">
        <v>96790</v>
      </c>
      <c r="D79" s="21">
        <v>89653</v>
      </c>
      <c r="E79" s="23">
        <f t="shared" si="25"/>
        <v>7.9606928937124247E-2</v>
      </c>
      <c r="F79" s="21">
        <f>+C79-48686</f>
        <v>48104</v>
      </c>
      <c r="G79" s="21">
        <f>+D79-45455</f>
        <v>44198</v>
      </c>
      <c r="H79" s="23">
        <f t="shared" si="26"/>
        <v>8.8375039594551785E-2</v>
      </c>
      <c r="I79" s="24">
        <f t="shared" si="27"/>
        <v>61.921447670213865</v>
      </c>
      <c r="J79" s="24">
        <f t="shared" si="28"/>
        <v>124.59206968235489</v>
      </c>
      <c r="K79" s="21">
        <v>5993376.9199999999</v>
      </c>
      <c r="L79" s="21">
        <v>5500508.3099999996</v>
      </c>
      <c r="M79" s="25">
        <f t="shared" si="29"/>
        <v>8.9604193325907439E-2</v>
      </c>
      <c r="N79" s="10"/>
      <c r="R79" s="2"/>
    </row>
    <row r="80" spans="1:18" ht="15.75" x14ac:dyDescent="0.25">
      <c r="A80" s="274"/>
      <c r="B80" s="20">
        <f>DATE(2024,1,1)</f>
        <v>45292</v>
      </c>
      <c r="C80" s="21">
        <v>74334</v>
      </c>
      <c r="D80" s="21">
        <v>84414</v>
      </c>
      <c r="E80" s="23">
        <f t="shared" si="25"/>
        <v>-0.1194114720307058</v>
      </c>
      <c r="F80" s="21">
        <f>C80-36987</f>
        <v>37347</v>
      </c>
      <c r="G80" s="21">
        <f>D80-42996</f>
        <v>41418</v>
      </c>
      <c r="H80" s="23">
        <f>(+F80-G80)/G80</f>
        <v>-9.8290598290598288E-2</v>
      </c>
      <c r="I80" s="24">
        <f>K80/C80</f>
        <v>64.335160895417971</v>
      </c>
      <c r="J80" s="24">
        <f>K80/F80</f>
        <v>128.05017404343053</v>
      </c>
      <c r="K80" s="21">
        <v>4782289.8499999996</v>
      </c>
      <c r="L80" s="21">
        <v>5295672.4000000004</v>
      </c>
      <c r="M80" s="25">
        <f t="shared" si="29"/>
        <v>-9.6943789423228052E-2</v>
      </c>
      <c r="N80" s="10"/>
      <c r="R80" s="2"/>
    </row>
    <row r="81" spans="1:18" ht="15.75" x14ac:dyDescent="0.25">
      <c r="A81" s="274"/>
      <c r="B81" s="20">
        <f>DATE(2024,2,1)</f>
        <v>45323</v>
      </c>
      <c r="C81" s="21">
        <v>85955</v>
      </c>
      <c r="D81" s="21">
        <v>89529</v>
      </c>
      <c r="E81" s="23">
        <f t="shared" si="25"/>
        <v>-3.9920025913391194E-2</v>
      </c>
      <c r="F81" s="21">
        <f>+C81-43684</f>
        <v>42271</v>
      </c>
      <c r="G81" s="21">
        <f>+D81-46008</f>
        <v>43521</v>
      </c>
      <c r="H81" s="23">
        <f>(+F81-G81)/G81</f>
        <v>-2.8721766503527032E-2</v>
      </c>
      <c r="I81" s="24">
        <f>K81/C81</f>
        <v>66.924960502588576</v>
      </c>
      <c r="J81" s="24">
        <f>K81/F81</f>
        <v>136.08703319060351</v>
      </c>
      <c r="K81" s="21">
        <v>5752534.9800000004</v>
      </c>
      <c r="L81" s="21">
        <v>6072143.3600000003</v>
      </c>
      <c r="M81" s="25">
        <f t="shared" si="29"/>
        <v>-5.2635183501332859E-2</v>
      </c>
      <c r="N81" s="10"/>
      <c r="R81" s="2"/>
    </row>
    <row r="82" spans="1:18" ht="15.75" x14ac:dyDescent="0.25">
      <c r="A82" s="274"/>
      <c r="B82" s="20">
        <f>DATE(2024,3,1)</f>
        <v>45352</v>
      </c>
      <c r="C82" s="21">
        <v>101904</v>
      </c>
      <c r="D82" s="21">
        <v>97318</v>
      </c>
      <c r="E82" s="23">
        <f t="shared" si="25"/>
        <v>4.7123861978256847E-2</v>
      </c>
      <c r="F82" s="21">
        <f>+C82-51828</f>
        <v>50076</v>
      </c>
      <c r="G82" s="21">
        <f>+D82-49664</f>
        <v>47654</v>
      </c>
      <c r="H82" s="23">
        <f>(+F82-G82)/G82</f>
        <v>5.0824694674109203E-2</v>
      </c>
      <c r="I82" s="24">
        <f>K82/C82</f>
        <v>67.265892506672941</v>
      </c>
      <c r="J82" s="24">
        <f>K82/F82</f>
        <v>136.8852046888729</v>
      </c>
      <c r="K82" s="21">
        <v>6854663.5099999998</v>
      </c>
      <c r="L82" s="21">
        <v>6538204.54</v>
      </c>
      <c r="M82" s="25">
        <f t="shared" si="29"/>
        <v>4.8401509629125143E-2</v>
      </c>
      <c r="N82" s="10"/>
      <c r="R82" s="2"/>
    </row>
    <row r="83" spans="1:18" ht="15.75" x14ac:dyDescent="0.25">
      <c r="A83" s="274"/>
      <c r="B83" s="20">
        <f>DATE(2024,4,1)</f>
        <v>45383</v>
      </c>
      <c r="C83" s="21">
        <v>97421</v>
      </c>
      <c r="D83" s="21">
        <v>86401</v>
      </c>
      <c r="E83" s="23">
        <f t="shared" si="25"/>
        <v>0.12754482008310089</v>
      </c>
      <c r="F83" s="21">
        <f>+C83-48535</f>
        <v>48886</v>
      </c>
      <c r="G83" s="21">
        <f>+D83-43603</f>
        <v>42798</v>
      </c>
      <c r="H83" s="23">
        <f>(+F83-G83)/G83</f>
        <v>0.14224963783354364</v>
      </c>
      <c r="I83" s="24">
        <f>K83/C83</f>
        <v>62.644217057923854</v>
      </c>
      <c r="J83" s="24">
        <f>K83/F83</f>
        <v>124.83865053389518</v>
      </c>
      <c r="K83" s="21">
        <v>6102862.2699999996</v>
      </c>
      <c r="L83" s="21">
        <v>5788277.75</v>
      </c>
      <c r="M83" s="25">
        <f t="shared" si="29"/>
        <v>5.4348552987112539E-2</v>
      </c>
      <c r="N83" s="10"/>
      <c r="R83" s="2"/>
    </row>
    <row r="84" spans="1:18" ht="15.75" customHeight="1" thickBot="1" x14ac:dyDescent="0.3">
      <c r="A84" s="19"/>
      <c r="B84" s="20"/>
      <c r="C84" s="21"/>
      <c r="D84" s="21"/>
      <c r="E84" s="23"/>
      <c r="F84" s="21"/>
      <c r="G84" s="21"/>
      <c r="H84" s="23"/>
      <c r="I84" s="24"/>
      <c r="J84" s="24"/>
      <c r="K84" s="21"/>
      <c r="L84" s="21"/>
      <c r="M84" s="25"/>
      <c r="N84" s="10"/>
      <c r="R84" s="2"/>
    </row>
    <row r="85" spans="1:18" ht="17.45" customHeight="1" thickTop="1" thickBot="1" x14ac:dyDescent="0.3">
      <c r="A85" s="39" t="s">
        <v>14</v>
      </c>
      <c r="B85" s="52"/>
      <c r="C85" s="47">
        <f>SUM(C74:C84)</f>
        <v>876602</v>
      </c>
      <c r="D85" s="48">
        <f>SUM(D74:D84)</f>
        <v>874056</v>
      </c>
      <c r="E85" s="281">
        <f>(+C85-D85)/D85</f>
        <v>2.9128568421245321E-3</v>
      </c>
      <c r="F85" s="48">
        <f>SUM(F74:F84)</f>
        <v>436826</v>
      </c>
      <c r="G85" s="47">
        <f>SUM(G74:G84)</f>
        <v>432173</v>
      </c>
      <c r="H85" s="46">
        <f>(+F85-G85)/G85</f>
        <v>1.0766521740136472E-2</v>
      </c>
      <c r="I85" s="51">
        <f>K85/C85</f>
        <v>65.532796457229182</v>
      </c>
      <c r="J85" s="50">
        <f>K85/F85</f>
        <v>131.50815299455621</v>
      </c>
      <c r="K85" s="47">
        <f>SUM(K74:K84)</f>
        <v>57446180.440000013</v>
      </c>
      <c r="L85" s="48">
        <f>SUM(L74:L84)</f>
        <v>56900631.099999994</v>
      </c>
      <c r="M85" s="44">
        <f>(+K85-L85)/L85</f>
        <v>9.5877555213973453E-3</v>
      </c>
      <c r="N85" s="10"/>
      <c r="R85" s="2"/>
    </row>
    <row r="86" spans="1:18" ht="15.75" customHeight="1" thickTop="1" x14ac:dyDescent="0.25">
      <c r="A86" s="19"/>
      <c r="B86" s="45"/>
      <c r="C86" s="21"/>
      <c r="D86" s="21"/>
      <c r="E86" s="23"/>
      <c r="F86" s="21"/>
      <c r="G86" s="21"/>
      <c r="H86" s="23"/>
      <c r="I86" s="24"/>
      <c r="J86" s="24"/>
      <c r="K86" s="21"/>
      <c r="L86" s="21"/>
      <c r="M86" s="25"/>
      <c r="N86" s="10"/>
      <c r="R86" s="2"/>
    </row>
    <row r="87" spans="1:18" ht="15.75" x14ac:dyDescent="0.25">
      <c r="A87" s="19" t="s">
        <v>67</v>
      </c>
      <c r="B87" s="20">
        <f>DATE(2023,7,1)</f>
        <v>45108</v>
      </c>
      <c r="C87" s="21">
        <v>219120</v>
      </c>
      <c r="D87" s="21">
        <v>220596</v>
      </c>
      <c r="E87" s="23">
        <f t="shared" ref="E87:E96" si="30">(+C87-D87)/D87</f>
        <v>-6.6909644780503725E-3</v>
      </c>
      <c r="F87" s="21">
        <f>+C87-104679</f>
        <v>114441</v>
      </c>
      <c r="G87" s="21">
        <f>+D87-105104</f>
        <v>115492</v>
      </c>
      <c r="H87" s="23">
        <f t="shared" ref="H87:H92" si="31">(+F87-G87)/G87</f>
        <v>-9.1001974162712562E-3</v>
      </c>
      <c r="I87" s="24">
        <f t="shared" ref="I87:I92" si="32">K87/C87</f>
        <v>49.308570098576126</v>
      </c>
      <c r="J87" s="24">
        <f t="shared" ref="J87:J92" si="33">K87/F87</f>
        <v>94.411040448790217</v>
      </c>
      <c r="K87" s="21">
        <v>10804493.880000001</v>
      </c>
      <c r="L87" s="21">
        <v>10606782.82</v>
      </c>
      <c r="M87" s="25">
        <f t="shared" ref="M87:M96" si="34">(+K87-L87)/L87</f>
        <v>1.8640059229571414E-2</v>
      </c>
      <c r="N87" s="10"/>
      <c r="R87" s="2"/>
    </row>
    <row r="88" spans="1:18" ht="15.75" x14ac:dyDescent="0.25">
      <c r="A88" s="19"/>
      <c r="B88" s="20">
        <f>DATE(2023,8,1)</f>
        <v>45139</v>
      </c>
      <c r="C88" s="21">
        <v>218088</v>
      </c>
      <c r="D88" s="21">
        <v>204208</v>
      </c>
      <c r="E88" s="23">
        <f t="shared" si="30"/>
        <v>6.7969913029851919E-2</v>
      </c>
      <c r="F88" s="21">
        <f>+C88-101100</f>
        <v>116988</v>
      </c>
      <c r="G88" s="21">
        <f>+D88-95602</f>
        <v>108606</v>
      </c>
      <c r="H88" s="23">
        <f t="shared" si="31"/>
        <v>7.7178056460969008E-2</v>
      </c>
      <c r="I88" s="24">
        <f t="shared" si="32"/>
        <v>49.852029364293315</v>
      </c>
      <c r="J88" s="24">
        <f t="shared" si="33"/>
        <v>92.93371439805793</v>
      </c>
      <c r="K88" s="21">
        <v>10872129.380000001</v>
      </c>
      <c r="L88" s="21">
        <v>10300469.970000001</v>
      </c>
      <c r="M88" s="25">
        <f t="shared" si="34"/>
        <v>5.5498381303469797E-2</v>
      </c>
      <c r="N88" s="10"/>
      <c r="R88" s="2"/>
    </row>
    <row r="89" spans="1:18" ht="15.75" x14ac:dyDescent="0.25">
      <c r="A89" s="19"/>
      <c r="B89" s="20">
        <f>DATE(2023,9,1)</f>
        <v>45170</v>
      </c>
      <c r="C89" s="21">
        <v>241793</v>
      </c>
      <c r="D89" s="21">
        <v>202639</v>
      </c>
      <c r="E89" s="23">
        <f t="shared" si="30"/>
        <v>0.19322045608199803</v>
      </c>
      <c r="F89" s="21">
        <f>+C89-107184</f>
        <v>134609</v>
      </c>
      <c r="G89" s="21">
        <f>+D89-96056</f>
        <v>106583</v>
      </c>
      <c r="H89" s="23">
        <f t="shared" si="31"/>
        <v>0.26295000140735392</v>
      </c>
      <c r="I89" s="24">
        <f t="shared" si="32"/>
        <v>48.59363290086975</v>
      </c>
      <c r="J89" s="24">
        <f t="shared" si="33"/>
        <v>87.286884829394765</v>
      </c>
      <c r="K89" s="21">
        <v>11749600.279999999</v>
      </c>
      <c r="L89" s="21">
        <v>9835385.3000000007</v>
      </c>
      <c r="M89" s="25">
        <f t="shared" si="34"/>
        <v>0.19462531681397358</v>
      </c>
      <c r="N89" s="10"/>
      <c r="R89" s="2"/>
    </row>
    <row r="90" spans="1:18" ht="15.75" x14ac:dyDescent="0.25">
      <c r="A90" s="19"/>
      <c r="B90" s="20">
        <f>DATE(2023,10,1)</f>
        <v>45200</v>
      </c>
      <c r="C90" s="21">
        <v>245062</v>
      </c>
      <c r="D90" s="21">
        <v>197805</v>
      </c>
      <c r="E90" s="23">
        <f t="shared" si="30"/>
        <v>0.23890700437299361</v>
      </c>
      <c r="F90" s="21">
        <f>+C90-106359</f>
        <v>138703</v>
      </c>
      <c r="G90" s="21">
        <f>+D90-92993</f>
        <v>104812</v>
      </c>
      <c r="H90" s="23">
        <f t="shared" si="31"/>
        <v>0.32335037972751213</v>
      </c>
      <c r="I90" s="24">
        <f t="shared" si="32"/>
        <v>47.921667251552662</v>
      </c>
      <c r="J90" s="24">
        <f t="shared" si="33"/>
        <v>84.668533629409595</v>
      </c>
      <c r="K90" s="21">
        <v>11743779.619999999</v>
      </c>
      <c r="L90" s="21">
        <v>10418532.619999999</v>
      </c>
      <c r="M90" s="25">
        <f t="shared" si="34"/>
        <v>0.12720092630472563</v>
      </c>
      <c r="N90" s="10"/>
      <c r="R90" s="2"/>
    </row>
    <row r="91" spans="1:18" ht="15.75" x14ac:dyDescent="0.25">
      <c r="A91" s="19"/>
      <c r="B91" s="20">
        <f>DATE(2023,11,1)</f>
        <v>45231</v>
      </c>
      <c r="C91" s="21">
        <v>235399</v>
      </c>
      <c r="D91" s="21">
        <v>202426</v>
      </c>
      <c r="E91" s="23">
        <f t="shared" si="30"/>
        <v>0.16288915455524489</v>
      </c>
      <c r="F91" s="21">
        <f>+C91-106054</f>
        <v>129345</v>
      </c>
      <c r="G91" s="21">
        <f>+D91-94010</f>
        <v>108416</v>
      </c>
      <c r="H91" s="23">
        <f t="shared" si="31"/>
        <v>0.19304346221959859</v>
      </c>
      <c r="I91" s="24">
        <f t="shared" si="32"/>
        <v>49.233655580524974</v>
      </c>
      <c r="J91" s="24">
        <f t="shared" si="33"/>
        <v>89.60186547605241</v>
      </c>
      <c r="K91" s="21">
        <v>11589553.289999999</v>
      </c>
      <c r="L91" s="21">
        <v>10533865.85</v>
      </c>
      <c r="M91" s="25">
        <f t="shared" si="34"/>
        <v>0.10021842455872926</v>
      </c>
      <c r="N91" s="10"/>
      <c r="R91" s="2"/>
    </row>
    <row r="92" spans="1:18" ht="15.75" x14ac:dyDescent="0.25">
      <c r="A92" s="19"/>
      <c r="B92" s="20">
        <f>DATE(2023,12,1)</f>
        <v>45261</v>
      </c>
      <c r="C92" s="21">
        <v>239412</v>
      </c>
      <c r="D92" s="21">
        <v>223222</v>
      </c>
      <c r="E92" s="23">
        <f t="shared" si="30"/>
        <v>7.2528693408355813E-2</v>
      </c>
      <c r="F92" s="21">
        <f>+C92-109257</f>
        <v>130155</v>
      </c>
      <c r="G92" s="21">
        <f>+D92-104080</f>
        <v>119142</v>
      </c>
      <c r="H92" s="23">
        <f t="shared" si="31"/>
        <v>9.2435916805156865E-2</v>
      </c>
      <c r="I92" s="24">
        <f t="shared" si="32"/>
        <v>49.697628481446216</v>
      </c>
      <c r="J92" s="24">
        <f t="shared" si="33"/>
        <v>91.415686143444361</v>
      </c>
      <c r="K92" s="21">
        <v>11898208.630000001</v>
      </c>
      <c r="L92" s="21">
        <v>10662461.43</v>
      </c>
      <c r="M92" s="25">
        <f t="shared" si="34"/>
        <v>0.11589699133851883</v>
      </c>
      <c r="N92" s="10"/>
      <c r="R92" s="2"/>
    </row>
    <row r="93" spans="1:18" ht="15.75" x14ac:dyDescent="0.25">
      <c r="A93" s="19"/>
      <c r="B93" s="20">
        <f>DATE(2024,1,1)</f>
        <v>45292</v>
      </c>
      <c r="C93" s="21">
        <v>186352</v>
      </c>
      <c r="D93" s="21">
        <v>215124</v>
      </c>
      <c r="E93" s="23">
        <f t="shared" si="30"/>
        <v>-0.13374611851769211</v>
      </c>
      <c r="F93" s="21">
        <f>C93-85780</f>
        <v>100572</v>
      </c>
      <c r="G93" s="21">
        <f>D93-101475</f>
        <v>113649</v>
      </c>
      <c r="H93" s="23">
        <f>(+F93-G93)/G93</f>
        <v>-0.11506480479370694</v>
      </c>
      <c r="I93" s="24">
        <f>K93/C93</f>
        <v>50.669405587275698</v>
      </c>
      <c r="J93" s="24">
        <f>K93/F93</f>
        <v>93.886420375452417</v>
      </c>
      <c r="K93" s="21">
        <v>9442345.0700000003</v>
      </c>
      <c r="L93" s="21">
        <v>10889174.949999999</v>
      </c>
      <c r="M93" s="25">
        <f t="shared" si="34"/>
        <v>-0.1328686412555066</v>
      </c>
      <c r="N93" s="10"/>
      <c r="R93" s="2"/>
    </row>
    <row r="94" spans="1:18" ht="15.75" x14ac:dyDescent="0.25">
      <c r="A94" s="19"/>
      <c r="B94" s="20">
        <f>DATE(2024,2,1)</f>
        <v>45323</v>
      </c>
      <c r="C94" s="21">
        <v>213395</v>
      </c>
      <c r="D94" s="21">
        <v>200796</v>
      </c>
      <c r="E94" s="23">
        <f t="shared" si="30"/>
        <v>6.2745273810235258E-2</v>
      </c>
      <c r="F94" s="21">
        <f>+C94-100049</f>
        <v>113346</v>
      </c>
      <c r="G94" s="21">
        <f>+D94-95531</f>
        <v>105265</v>
      </c>
      <c r="H94" s="23">
        <f>(+F94-G94)/G94</f>
        <v>7.6768156557260242E-2</v>
      </c>
      <c r="I94" s="24">
        <f>K94/C94</f>
        <v>52.692490030225642</v>
      </c>
      <c r="J94" s="24">
        <f>K94/F94</f>
        <v>99.20344705591728</v>
      </c>
      <c r="K94" s="21">
        <v>11244313.91</v>
      </c>
      <c r="L94" s="21">
        <v>10337668.619999999</v>
      </c>
      <c r="M94" s="25">
        <f t="shared" si="34"/>
        <v>8.7703071488085774E-2</v>
      </c>
      <c r="N94" s="10"/>
      <c r="R94" s="2"/>
    </row>
    <row r="95" spans="1:18" ht="15.75" x14ac:dyDescent="0.25">
      <c r="A95" s="19"/>
      <c r="B95" s="20">
        <f>DATE(2024,3,1)</f>
        <v>45352</v>
      </c>
      <c r="C95" s="21">
        <v>243043</v>
      </c>
      <c r="D95" s="21">
        <v>225404</v>
      </c>
      <c r="E95" s="23">
        <f t="shared" si="30"/>
        <v>7.8255044276055438E-2</v>
      </c>
      <c r="F95" s="21">
        <f>+C95-112079</f>
        <v>130964</v>
      </c>
      <c r="G95" s="21">
        <f>+D95-108230</f>
        <v>117174</v>
      </c>
      <c r="H95" s="23">
        <f>(+F95-G95)/G95</f>
        <v>0.11768822435011179</v>
      </c>
      <c r="I95" s="24">
        <f>K95/C95</f>
        <v>51.609936307566976</v>
      </c>
      <c r="J95" s="24">
        <f>K95/F95</f>
        <v>95.777723267462818</v>
      </c>
      <c r="K95" s="21">
        <v>12543433.75</v>
      </c>
      <c r="L95" s="21">
        <v>11572772.859999999</v>
      </c>
      <c r="M95" s="25">
        <f t="shared" si="34"/>
        <v>8.3874530481366477E-2</v>
      </c>
      <c r="N95" s="10"/>
      <c r="R95" s="2"/>
    </row>
    <row r="96" spans="1:18" ht="15.75" x14ac:dyDescent="0.25">
      <c r="A96" s="19"/>
      <c r="B96" s="20">
        <f>DATE(2024,4,1)</f>
        <v>45383</v>
      </c>
      <c r="C96" s="21">
        <v>221215</v>
      </c>
      <c r="D96" s="21">
        <v>208441</v>
      </c>
      <c r="E96" s="23">
        <f t="shared" si="30"/>
        <v>6.1283528672382112E-2</v>
      </c>
      <c r="F96" s="21">
        <f>+C96-103698</f>
        <v>117517</v>
      </c>
      <c r="G96" s="21">
        <f>+D96-100216</f>
        <v>108225</v>
      </c>
      <c r="H96" s="23">
        <f>(+F96-G96)/G96</f>
        <v>8.5858165858165858E-2</v>
      </c>
      <c r="I96" s="24">
        <f>K96/C96</f>
        <v>50.124228601134647</v>
      </c>
      <c r="J96" s="24">
        <f>K96/F96</f>
        <v>94.354274105023109</v>
      </c>
      <c r="K96" s="21">
        <v>11088231.23</v>
      </c>
      <c r="L96" s="21">
        <v>11195390.789999999</v>
      </c>
      <c r="M96" s="25">
        <f t="shared" si="34"/>
        <v>-9.5717569855369618E-3</v>
      </c>
      <c r="N96" s="10"/>
      <c r="R96" s="2"/>
    </row>
    <row r="97" spans="1:18" ht="15.75" customHeight="1" thickBot="1" x14ac:dyDescent="0.3">
      <c r="A97" s="19"/>
      <c r="B97" s="45"/>
      <c r="C97" s="21"/>
      <c r="D97" s="21"/>
      <c r="E97" s="23"/>
      <c r="F97" s="21"/>
      <c r="G97" s="21"/>
      <c r="H97" s="23"/>
      <c r="I97" s="24"/>
      <c r="J97" s="24"/>
      <c r="K97" s="21"/>
      <c r="L97" s="21"/>
      <c r="M97" s="25"/>
      <c r="N97" s="10"/>
      <c r="R97" s="2"/>
    </row>
    <row r="98" spans="1:18" ht="17.45" customHeight="1" thickTop="1" thickBot="1" x14ac:dyDescent="0.3">
      <c r="A98" s="39" t="s">
        <v>14</v>
      </c>
      <c r="B98" s="52"/>
      <c r="C98" s="47">
        <f>SUM(C87:C97)</f>
        <v>2262879</v>
      </c>
      <c r="D98" s="48">
        <f>SUM(D87:D97)</f>
        <v>2100661</v>
      </c>
      <c r="E98" s="281">
        <f>(+C98-D98)/D98</f>
        <v>7.7222360009539859E-2</v>
      </c>
      <c r="F98" s="48">
        <f>SUM(F87:F97)</f>
        <v>1226640</v>
      </c>
      <c r="G98" s="47">
        <f>SUM(G87:G97)</f>
        <v>1107364</v>
      </c>
      <c r="H98" s="53">
        <f>(+F98-G98)/G98</f>
        <v>0.10771164675752508</v>
      </c>
      <c r="I98" s="51">
        <f>K98/C98</f>
        <v>49.92581973671593</v>
      </c>
      <c r="J98" s="50">
        <f>K98/F98</f>
        <v>92.102074805974041</v>
      </c>
      <c r="K98" s="47">
        <f>SUM(K87:K97)</f>
        <v>112976089.04000001</v>
      </c>
      <c r="L98" s="48">
        <f>SUM(L87:L97)</f>
        <v>106352505.21000001</v>
      </c>
      <c r="M98" s="44">
        <f>(+K98-L98)/L98</f>
        <v>6.227952803670489E-2</v>
      </c>
      <c r="N98" s="10"/>
      <c r="R98" s="2"/>
    </row>
    <row r="99" spans="1:18" ht="15.75" customHeight="1" thickTop="1" x14ac:dyDescent="0.25">
      <c r="A99" s="19"/>
      <c r="B99" s="45"/>
      <c r="C99" s="21"/>
      <c r="D99" s="21"/>
      <c r="E99" s="23"/>
      <c r="F99" s="21"/>
      <c r="G99" s="21"/>
      <c r="H99" s="23"/>
      <c r="I99" s="24"/>
      <c r="J99" s="24"/>
      <c r="K99" s="21"/>
      <c r="L99" s="21"/>
      <c r="M99" s="25"/>
      <c r="N99" s="10"/>
      <c r="R99" s="2"/>
    </row>
    <row r="100" spans="1:18" ht="15.75" customHeight="1" x14ac:dyDescent="0.25">
      <c r="A100" s="19" t="s">
        <v>69</v>
      </c>
      <c r="B100" s="20">
        <f>DATE(2023,7,1)</f>
        <v>45108</v>
      </c>
      <c r="C100" s="21">
        <v>227955</v>
      </c>
      <c r="D100" s="21">
        <v>226404</v>
      </c>
      <c r="E100" s="23">
        <f t="shared" ref="E100:E109" si="35">(+C100-D100)/D100</f>
        <v>6.8505856786982566E-3</v>
      </c>
      <c r="F100" s="21">
        <f>+C100-105186</f>
        <v>122769</v>
      </c>
      <c r="G100" s="21">
        <f>+D100-105902</f>
        <v>120502</v>
      </c>
      <c r="H100" s="23">
        <f t="shared" ref="H100:H105" si="36">(+F100-G100)/G100</f>
        <v>1.8812965759904401E-2</v>
      </c>
      <c r="I100" s="24">
        <f t="shared" ref="I100:I105" si="37">K100/C100</f>
        <v>61.567241209887918</v>
      </c>
      <c r="J100" s="24">
        <f t="shared" ref="J100:J105" si="38">K100/F100</f>
        <v>114.31681018823971</v>
      </c>
      <c r="K100" s="21">
        <v>14034560.470000001</v>
      </c>
      <c r="L100" s="21">
        <v>13168404.74</v>
      </c>
      <c r="M100" s="25">
        <f t="shared" ref="M100:M109" si="39">(+K100-L100)/L100</f>
        <v>6.5775296788151458E-2</v>
      </c>
      <c r="N100" s="10"/>
      <c r="R100" s="2"/>
    </row>
    <row r="101" spans="1:18" ht="15.75" customHeight="1" x14ac:dyDescent="0.25">
      <c r="A101" s="19"/>
      <c r="B101" s="20">
        <f>DATE(2023,8,1)</f>
        <v>45139</v>
      </c>
      <c r="C101" s="21">
        <v>213943</v>
      </c>
      <c r="D101" s="21">
        <v>232585</v>
      </c>
      <c r="E101" s="23">
        <f t="shared" si="35"/>
        <v>-8.0151342519938953E-2</v>
      </c>
      <c r="F101" s="21">
        <f>+C101-98836</f>
        <v>115107</v>
      </c>
      <c r="G101" s="21">
        <f>+D101-107552</f>
        <v>125033</v>
      </c>
      <c r="H101" s="23">
        <f t="shared" si="36"/>
        <v>-7.9387041820959264E-2</v>
      </c>
      <c r="I101" s="24">
        <f t="shared" si="37"/>
        <v>61.074573881828343</v>
      </c>
      <c r="J101" s="24">
        <f t="shared" si="38"/>
        <v>113.51592483515338</v>
      </c>
      <c r="K101" s="21">
        <v>13066477.560000001</v>
      </c>
      <c r="L101" s="21">
        <v>13927721.449999999</v>
      </c>
      <c r="M101" s="25">
        <f t="shared" si="39"/>
        <v>-6.1836668193848664E-2</v>
      </c>
      <c r="N101" s="10"/>
      <c r="R101" s="2"/>
    </row>
    <row r="102" spans="1:18" ht="15.75" customHeight="1" x14ac:dyDescent="0.25">
      <c r="A102" s="19"/>
      <c r="B102" s="20">
        <f>DATE(2023,9,1)</f>
        <v>45170</v>
      </c>
      <c r="C102" s="21">
        <v>210806</v>
      </c>
      <c r="D102" s="21">
        <v>229799</v>
      </c>
      <c r="E102" s="23">
        <f t="shared" si="35"/>
        <v>-8.2650490211010494E-2</v>
      </c>
      <c r="F102" s="21">
        <f>+C102-94978</f>
        <v>115828</v>
      </c>
      <c r="G102" s="21">
        <f>+D102-107359</f>
        <v>122440</v>
      </c>
      <c r="H102" s="23">
        <f t="shared" si="36"/>
        <v>-5.4001960143743873E-2</v>
      </c>
      <c r="I102" s="24">
        <f t="shared" si="37"/>
        <v>64.684465907042494</v>
      </c>
      <c r="J102" s="24">
        <f t="shared" si="38"/>
        <v>117.72519183617086</v>
      </c>
      <c r="K102" s="21">
        <v>13635873.52</v>
      </c>
      <c r="L102" s="21">
        <v>13521948.51</v>
      </c>
      <c r="M102" s="25">
        <f t="shared" si="39"/>
        <v>8.4251918217073413E-3</v>
      </c>
      <c r="N102" s="10"/>
      <c r="R102" s="2"/>
    </row>
    <row r="103" spans="1:18" ht="15.75" customHeight="1" x14ac:dyDescent="0.25">
      <c r="A103" s="19"/>
      <c r="B103" s="20">
        <f>DATE(2023,10,1)</f>
        <v>45200</v>
      </c>
      <c r="C103" s="21">
        <v>192200</v>
      </c>
      <c r="D103" s="21">
        <v>212700</v>
      </c>
      <c r="E103" s="23">
        <f t="shared" si="35"/>
        <v>-9.6379877762106256E-2</v>
      </c>
      <c r="F103" s="21">
        <f>+C103-87717</f>
        <v>104483</v>
      </c>
      <c r="G103" s="21">
        <f>+D103-99072</f>
        <v>113628</v>
      </c>
      <c r="H103" s="23">
        <f t="shared" si="36"/>
        <v>-8.0481923469567354E-2</v>
      </c>
      <c r="I103" s="24">
        <f t="shared" si="37"/>
        <v>60.226780332986472</v>
      </c>
      <c r="J103" s="24">
        <f t="shared" si="38"/>
        <v>110.78919230879664</v>
      </c>
      <c r="K103" s="21">
        <v>11575587.18</v>
      </c>
      <c r="L103" s="21">
        <v>12950831.189999999</v>
      </c>
      <c r="M103" s="25">
        <f t="shared" si="39"/>
        <v>-0.10618963291420988</v>
      </c>
      <c r="N103" s="10"/>
      <c r="R103" s="2"/>
    </row>
    <row r="104" spans="1:18" ht="15.75" customHeight="1" x14ac:dyDescent="0.25">
      <c r="A104" s="19"/>
      <c r="B104" s="20">
        <f>DATE(2023,11,1)</f>
        <v>45231</v>
      </c>
      <c r="C104" s="21">
        <v>197061</v>
      </c>
      <c r="D104" s="21">
        <v>191508</v>
      </c>
      <c r="E104" s="23">
        <f t="shared" si="35"/>
        <v>2.899617770537001E-2</v>
      </c>
      <c r="F104" s="21">
        <f>+C104-91318</f>
        <v>105743</v>
      </c>
      <c r="G104" s="21">
        <f>+D104-91306</f>
        <v>100202</v>
      </c>
      <c r="H104" s="23">
        <f t="shared" si="36"/>
        <v>5.5298297439172868E-2</v>
      </c>
      <c r="I104" s="24">
        <f t="shared" si="37"/>
        <v>61.029115654543517</v>
      </c>
      <c r="J104" s="24">
        <f t="shared" si="38"/>
        <v>113.73290487313581</v>
      </c>
      <c r="K104" s="21">
        <v>12026458.560000001</v>
      </c>
      <c r="L104" s="21">
        <v>11870439.130000001</v>
      </c>
      <c r="M104" s="25">
        <f t="shared" si="39"/>
        <v>1.3143526392860556E-2</v>
      </c>
      <c r="N104" s="10"/>
      <c r="R104" s="2"/>
    </row>
    <row r="105" spans="1:18" ht="15.75" customHeight="1" x14ac:dyDescent="0.25">
      <c r="A105" s="19"/>
      <c r="B105" s="20">
        <f>DATE(2023,12,1)</f>
        <v>45261</v>
      </c>
      <c r="C105" s="21">
        <v>222895</v>
      </c>
      <c r="D105" s="21">
        <v>214147</v>
      </c>
      <c r="E105" s="23">
        <f t="shared" si="35"/>
        <v>4.0850443853988151E-2</v>
      </c>
      <c r="F105" s="21">
        <f>+C105-106183</f>
        <v>116712</v>
      </c>
      <c r="G105" s="21">
        <f>+D105-102215</f>
        <v>111932</v>
      </c>
      <c r="H105" s="23">
        <f t="shared" si="36"/>
        <v>4.2704499160204412E-2</v>
      </c>
      <c r="I105" s="24">
        <f t="shared" si="37"/>
        <v>62.715877296484898</v>
      </c>
      <c r="J105" s="24">
        <f t="shared" si="38"/>
        <v>119.7739347282199</v>
      </c>
      <c r="K105" s="21">
        <v>13979055.470000001</v>
      </c>
      <c r="L105" s="21">
        <v>13055866.52</v>
      </c>
      <c r="M105" s="25">
        <f t="shared" si="39"/>
        <v>7.0710660880745679E-2</v>
      </c>
      <c r="N105" s="10"/>
      <c r="R105" s="2"/>
    </row>
    <row r="106" spans="1:18" ht="15.75" customHeight="1" x14ac:dyDescent="0.25">
      <c r="A106" s="19"/>
      <c r="B106" s="20">
        <f>DATE(2024,1,1)</f>
        <v>45292</v>
      </c>
      <c r="C106" s="21">
        <v>172009</v>
      </c>
      <c r="D106" s="21">
        <v>203689</v>
      </c>
      <c r="E106" s="23">
        <f t="shared" si="35"/>
        <v>-0.15553122652671475</v>
      </c>
      <c r="F106" s="21">
        <f>+C106-81877</f>
        <v>90132</v>
      </c>
      <c r="G106" s="21">
        <f>D106-97201</f>
        <v>106488</v>
      </c>
      <c r="H106" s="23">
        <f>(+F106-G106)/G106</f>
        <v>-0.15359477124183007</v>
      </c>
      <c r="I106" s="24">
        <f>K106/C106</f>
        <v>63.425692434698185</v>
      </c>
      <c r="J106" s="24">
        <f>K106/F106</f>
        <v>121.04235931744552</v>
      </c>
      <c r="K106" s="21">
        <v>10909789.93</v>
      </c>
      <c r="L106" s="21">
        <v>11950275.130000001</v>
      </c>
      <c r="M106" s="25">
        <f t="shared" si="39"/>
        <v>-8.7067886611912768E-2</v>
      </c>
      <c r="N106" s="10"/>
      <c r="R106" s="2"/>
    </row>
    <row r="107" spans="1:18" ht="15.75" customHeight="1" x14ac:dyDescent="0.25">
      <c r="A107" s="19"/>
      <c r="B107" s="20">
        <f>DATE(2024,2,1)</f>
        <v>45323</v>
      </c>
      <c r="C107" s="21">
        <v>185169</v>
      </c>
      <c r="D107" s="21">
        <v>207928</v>
      </c>
      <c r="E107" s="23">
        <f t="shared" si="35"/>
        <v>-0.10945615790081183</v>
      </c>
      <c r="F107" s="21">
        <f>+C107-87277</f>
        <v>97892</v>
      </c>
      <c r="G107" s="21">
        <f>+D107-99235</f>
        <v>108693</v>
      </c>
      <c r="H107" s="23">
        <f>(+F107-G107)/G107</f>
        <v>-9.9371624667641892E-2</v>
      </c>
      <c r="I107" s="24">
        <f>K107/C107</f>
        <v>66.494736105935658</v>
      </c>
      <c r="J107" s="24">
        <f>K107/F107</f>
        <v>125.77906049523965</v>
      </c>
      <c r="K107" s="21">
        <v>12312763.789999999</v>
      </c>
      <c r="L107" s="21">
        <v>12580250.810000001</v>
      </c>
      <c r="M107" s="25">
        <f t="shared" si="39"/>
        <v>-2.1262455259427486E-2</v>
      </c>
      <c r="N107" s="10"/>
      <c r="R107" s="2"/>
    </row>
    <row r="108" spans="1:18" ht="15.75" customHeight="1" x14ac:dyDescent="0.25">
      <c r="A108" s="19"/>
      <c r="B108" s="20">
        <f>DATE(2024,3,1)</f>
        <v>45352</v>
      </c>
      <c r="C108" s="21">
        <v>211471</v>
      </c>
      <c r="D108" s="21">
        <v>231900</v>
      </c>
      <c r="E108" s="23">
        <f t="shared" si="35"/>
        <v>-8.8094006037084949E-2</v>
      </c>
      <c r="F108" s="21">
        <f>+C108-100375</f>
        <v>111096</v>
      </c>
      <c r="G108" s="21">
        <f>+D108-108329</f>
        <v>123571</v>
      </c>
      <c r="H108" s="23">
        <f>(+F108-G108)/G108</f>
        <v>-0.10095410735528562</v>
      </c>
      <c r="I108" s="24">
        <f>K108/C108</f>
        <v>65.652659844612273</v>
      </c>
      <c r="J108" s="24">
        <f>K108/F108</f>
        <v>124.96969854900267</v>
      </c>
      <c r="K108" s="21">
        <v>13883633.630000001</v>
      </c>
      <c r="L108" s="21">
        <v>14256806.66</v>
      </c>
      <c r="M108" s="25">
        <f t="shared" si="39"/>
        <v>-2.6175078255567738E-2</v>
      </c>
      <c r="N108" s="10"/>
      <c r="R108" s="2"/>
    </row>
    <row r="109" spans="1:18" ht="15.75" customHeight="1" x14ac:dyDescent="0.25">
      <c r="A109" s="19"/>
      <c r="B109" s="20">
        <f>DATE(2024,4,1)</f>
        <v>45383</v>
      </c>
      <c r="C109" s="21">
        <v>189528</v>
      </c>
      <c r="D109" s="21">
        <v>215525</v>
      </c>
      <c r="E109" s="23">
        <f t="shared" si="35"/>
        <v>-0.12062173761744577</v>
      </c>
      <c r="F109" s="21">
        <f>+C109-87564</f>
        <v>101964</v>
      </c>
      <c r="G109" s="21">
        <f>+D109-99325</f>
        <v>116200</v>
      </c>
      <c r="H109" s="23">
        <f>(+F109-G109)/G109</f>
        <v>-0.12251290877796901</v>
      </c>
      <c r="I109" s="24">
        <f>K109/C109</f>
        <v>64.362692953020144</v>
      </c>
      <c r="J109" s="24">
        <f>K109/F109</f>
        <v>119.63567994586326</v>
      </c>
      <c r="K109" s="21">
        <v>12198532.470000001</v>
      </c>
      <c r="L109" s="21">
        <v>13733684.33</v>
      </c>
      <c r="M109" s="25">
        <f t="shared" si="39"/>
        <v>-0.11178004555169496</v>
      </c>
      <c r="N109" s="10"/>
      <c r="R109" s="2"/>
    </row>
    <row r="110" spans="1:18" ht="15.75" customHeight="1" thickBot="1" x14ac:dyDescent="0.3">
      <c r="A110" s="19"/>
      <c r="B110" s="45"/>
      <c r="C110" s="21"/>
      <c r="D110" s="21"/>
      <c r="E110" s="23"/>
      <c r="F110" s="21"/>
      <c r="G110" s="21"/>
      <c r="H110" s="23"/>
      <c r="I110" s="24"/>
      <c r="J110" s="24"/>
      <c r="K110" s="21"/>
      <c r="L110" s="21"/>
      <c r="M110" s="25"/>
      <c r="N110" s="10"/>
      <c r="R110" s="2"/>
    </row>
    <row r="111" spans="1:18" ht="17.25" thickTop="1" thickBot="1" x14ac:dyDescent="0.3">
      <c r="A111" s="39" t="s">
        <v>14</v>
      </c>
      <c r="B111" s="40"/>
      <c r="C111" s="41">
        <f>SUM(C100:C110)</f>
        <v>2023037</v>
      </c>
      <c r="D111" s="41">
        <f>SUM(D100:D110)</f>
        <v>2166185</v>
      </c>
      <c r="E111" s="280">
        <f>(+C111-D111)/D111</f>
        <v>-6.6082998451194155E-2</v>
      </c>
      <c r="F111" s="41">
        <f>SUM(F100:F110)</f>
        <v>1081726</v>
      </c>
      <c r="G111" s="41">
        <f>SUM(G100:G110)</f>
        <v>1148689</v>
      </c>
      <c r="H111" s="42">
        <f>(+F111-G111)/G111</f>
        <v>-5.8295152125597091E-2</v>
      </c>
      <c r="I111" s="43">
        <f>K111/C111</f>
        <v>63.084724886396039</v>
      </c>
      <c r="J111" s="43">
        <f>K111/F111</f>
        <v>117.98064628196047</v>
      </c>
      <c r="K111" s="41">
        <f>SUM(K100:K110)</f>
        <v>127622732.57999998</v>
      </c>
      <c r="L111" s="41">
        <f>SUM(L100:L110)</f>
        <v>131016228.46999998</v>
      </c>
      <c r="M111" s="44">
        <f>(+K111-L111)/L111</f>
        <v>-2.5901340083049645E-2</v>
      </c>
      <c r="N111" s="10"/>
      <c r="R111" s="2"/>
    </row>
    <row r="112" spans="1:18" ht="15.75" customHeight="1" thickTop="1" x14ac:dyDescent="0.2">
      <c r="A112" s="54"/>
      <c r="B112" s="55"/>
      <c r="C112" s="55"/>
      <c r="D112" s="55"/>
      <c r="E112" s="56"/>
      <c r="F112" s="55"/>
      <c r="G112" s="55"/>
      <c r="H112" s="56"/>
      <c r="I112" s="55"/>
      <c r="J112" s="55"/>
      <c r="K112" s="196"/>
      <c r="L112" s="196"/>
      <c r="M112" s="57"/>
      <c r="N112" s="10"/>
      <c r="R112" s="2"/>
    </row>
    <row r="113" spans="1:18" ht="15.75" customHeight="1" x14ac:dyDescent="0.25">
      <c r="A113" s="19" t="s">
        <v>16</v>
      </c>
      <c r="B113" s="20">
        <f>DATE(2023,7,1)</f>
        <v>45108</v>
      </c>
      <c r="C113" s="21">
        <v>262088</v>
      </c>
      <c r="D113" s="21">
        <v>271337</v>
      </c>
      <c r="E113" s="23">
        <f t="shared" ref="E113:E122" si="40">(+C113-D113)/D113</f>
        <v>-3.4086762955291762E-2</v>
      </c>
      <c r="F113" s="21">
        <f>+C113-132418</f>
        <v>129670</v>
      </c>
      <c r="G113" s="21">
        <f>+D113-134570</f>
        <v>136767</v>
      </c>
      <c r="H113" s="23">
        <f t="shared" ref="H113:H118" si="41">(+F113-G113)/G113</f>
        <v>-5.1891172578180406E-2</v>
      </c>
      <c r="I113" s="24">
        <f t="shared" ref="I113:I118" si="42">K113/C113</f>
        <v>67.305416539482934</v>
      </c>
      <c r="J113" s="24">
        <f t="shared" ref="J113:J118" si="43">K113/F113</f>
        <v>136.03718678183083</v>
      </c>
      <c r="K113" s="21">
        <v>17639942.010000002</v>
      </c>
      <c r="L113" s="21">
        <v>18204043.98</v>
      </c>
      <c r="M113" s="25">
        <f t="shared" ref="M113:M122" si="44">(+K113-L113)/L113</f>
        <v>-3.0987728365178272E-2</v>
      </c>
      <c r="N113" s="10"/>
      <c r="R113" s="2"/>
    </row>
    <row r="114" spans="1:18" ht="15.75" customHeight="1" x14ac:dyDescent="0.25">
      <c r="A114" s="19"/>
      <c r="B114" s="20">
        <f>DATE(2023,8,1)</f>
        <v>45139</v>
      </c>
      <c r="C114" s="21">
        <v>239223</v>
      </c>
      <c r="D114" s="21">
        <v>244622</v>
      </c>
      <c r="E114" s="23">
        <f t="shared" si="40"/>
        <v>-2.2070786764886233E-2</v>
      </c>
      <c r="F114" s="21">
        <f>+C114-117748</f>
        <v>121475</v>
      </c>
      <c r="G114" s="21">
        <f>+D114-120033</f>
        <v>124589</v>
      </c>
      <c r="H114" s="23">
        <f t="shared" si="41"/>
        <v>-2.4994180866689676E-2</v>
      </c>
      <c r="I114" s="24">
        <f t="shared" si="42"/>
        <v>68.308296568473764</v>
      </c>
      <c r="J114" s="24">
        <f t="shared" si="43"/>
        <v>134.52081193661249</v>
      </c>
      <c r="K114" s="21">
        <v>16340915.630000001</v>
      </c>
      <c r="L114" s="21">
        <v>16440004.18</v>
      </c>
      <c r="M114" s="25">
        <f t="shared" si="44"/>
        <v>-6.0272825307760283E-3</v>
      </c>
      <c r="N114" s="10"/>
      <c r="R114" s="2"/>
    </row>
    <row r="115" spans="1:18" ht="15.75" customHeight="1" x14ac:dyDescent="0.25">
      <c r="A115" s="19"/>
      <c r="B115" s="20">
        <f>DATE(2023,9,1)</f>
        <v>45170</v>
      </c>
      <c r="C115" s="21">
        <v>248313</v>
      </c>
      <c r="D115" s="21">
        <v>238237</v>
      </c>
      <c r="E115" s="23">
        <f t="shared" si="40"/>
        <v>4.2294018141598493E-2</v>
      </c>
      <c r="F115" s="21">
        <f>+C115-122761</f>
        <v>125552</v>
      </c>
      <c r="G115" s="21">
        <f>+D115-117564</f>
        <v>120673</v>
      </c>
      <c r="H115" s="23">
        <f t="shared" si="41"/>
        <v>4.0431579557978999E-2</v>
      </c>
      <c r="I115" s="24">
        <f t="shared" si="42"/>
        <v>67.885279143661435</v>
      </c>
      <c r="J115" s="24">
        <f t="shared" si="43"/>
        <v>134.26147986491654</v>
      </c>
      <c r="K115" s="21">
        <v>16856797.32</v>
      </c>
      <c r="L115" s="21">
        <v>16961699.789999999</v>
      </c>
      <c r="M115" s="25">
        <f t="shared" si="44"/>
        <v>-6.1846672974276724E-3</v>
      </c>
      <c r="N115" s="10"/>
      <c r="R115" s="2"/>
    </row>
    <row r="116" spans="1:18" ht="15.75" customHeight="1" x14ac:dyDescent="0.25">
      <c r="A116" s="19"/>
      <c r="B116" s="20">
        <f>DATE(2023,10,1)</f>
        <v>45200</v>
      </c>
      <c r="C116" s="21">
        <v>227962</v>
      </c>
      <c r="D116" s="21">
        <v>243168</v>
      </c>
      <c r="E116" s="23">
        <f t="shared" si="40"/>
        <v>-6.2532899065666531E-2</v>
      </c>
      <c r="F116" s="21">
        <f>+C116-111422</f>
        <v>116540</v>
      </c>
      <c r="G116" s="21">
        <f>+D116-122237</f>
        <v>120931</v>
      </c>
      <c r="H116" s="23">
        <f t="shared" si="41"/>
        <v>-3.6309961879088075E-2</v>
      </c>
      <c r="I116" s="24">
        <f t="shared" si="42"/>
        <v>69.891412647721992</v>
      </c>
      <c r="J116" s="24">
        <f t="shared" si="43"/>
        <v>136.71345640981639</v>
      </c>
      <c r="K116" s="21">
        <v>15932586.210000001</v>
      </c>
      <c r="L116" s="21">
        <v>16273788.960000001</v>
      </c>
      <c r="M116" s="25">
        <f t="shared" si="44"/>
        <v>-2.0966398841637673E-2</v>
      </c>
      <c r="N116" s="10"/>
      <c r="R116" s="2"/>
    </row>
    <row r="117" spans="1:18" ht="15.75" customHeight="1" x14ac:dyDescent="0.25">
      <c r="A117" s="19"/>
      <c r="B117" s="20">
        <f>DATE(2023,11,1)</f>
        <v>45231</v>
      </c>
      <c r="C117" s="21">
        <v>224275</v>
      </c>
      <c r="D117" s="21">
        <v>218400</v>
      </c>
      <c r="E117" s="23">
        <f t="shared" si="40"/>
        <v>2.6900183150183152E-2</v>
      </c>
      <c r="F117" s="21">
        <f>+C117-113252</f>
        <v>111023</v>
      </c>
      <c r="G117" s="21">
        <f>+D117-108404</f>
        <v>109996</v>
      </c>
      <c r="H117" s="23">
        <f t="shared" si="41"/>
        <v>9.3367031528419214E-3</v>
      </c>
      <c r="I117" s="24">
        <f t="shared" si="42"/>
        <v>65.56001431278564</v>
      </c>
      <c r="J117" s="24">
        <f t="shared" si="43"/>
        <v>132.43627185357991</v>
      </c>
      <c r="K117" s="21">
        <v>14703472.210000001</v>
      </c>
      <c r="L117" s="21">
        <v>15198397.5</v>
      </c>
      <c r="M117" s="25">
        <f t="shared" si="44"/>
        <v>-3.2564307519921037E-2</v>
      </c>
      <c r="N117" s="10"/>
      <c r="R117" s="2"/>
    </row>
    <row r="118" spans="1:18" ht="15.75" customHeight="1" x14ac:dyDescent="0.25">
      <c r="A118" s="19"/>
      <c r="B118" s="20">
        <f>DATE(2023,12,1)</f>
        <v>45261</v>
      </c>
      <c r="C118" s="21">
        <v>270162</v>
      </c>
      <c r="D118" s="21">
        <v>250765</v>
      </c>
      <c r="E118" s="23">
        <f t="shared" si="40"/>
        <v>7.7351305006679555E-2</v>
      </c>
      <c r="F118" s="21">
        <f>+C118-137072</f>
        <v>133090</v>
      </c>
      <c r="G118" s="21">
        <f>+D118-124228</f>
        <v>126537</v>
      </c>
      <c r="H118" s="23">
        <f t="shared" si="41"/>
        <v>5.1787224290128581E-2</v>
      </c>
      <c r="I118" s="24">
        <f t="shared" si="42"/>
        <v>68.95012388862979</v>
      </c>
      <c r="J118" s="24">
        <f t="shared" si="43"/>
        <v>139.96320812983697</v>
      </c>
      <c r="K118" s="21">
        <v>18627703.370000001</v>
      </c>
      <c r="L118" s="21">
        <v>16605420.529999999</v>
      </c>
      <c r="M118" s="25">
        <f t="shared" si="44"/>
        <v>0.12178450020861964</v>
      </c>
      <c r="N118" s="10"/>
      <c r="R118" s="2"/>
    </row>
    <row r="119" spans="1:18" ht="15.75" customHeight="1" x14ac:dyDescent="0.25">
      <c r="A119" s="19"/>
      <c r="B119" s="20">
        <f>DATE(2024,1,1)</f>
        <v>45292</v>
      </c>
      <c r="C119" s="21">
        <v>198314</v>
      </c>
      <c r="D119" s="21">
        <v>242722</v>
      </c>
      <c r="E119" s="23">
        <f t="shared" si="40"/>
        <v>-0.18295828149075896</v>
      </c>
      <c r="F119" s="21">
        <f>C119-99827</f>
        <v>98487</v>
      </c>
      <c r="G119" s="21">
        <f>D119-123375</f>
        <v>119347</v>
      </c>
      <c r="H119" s="23">
        <f>(+F119-G119)/G119</f>
        <v>-0.17478445205995963</v>
      </c>
      <c r="I119" s="24">
        <f>K119/C119</f>
        <v>71.012547122240491</v>
      </c>
      <c r="J119" s="24">
        <f>K119/F119</f>
        <v>142.99128077817377</v>
      </c>
      <c r="K119" s="21">
        <v>14082782.27</v>
      </c>
      <c r="L119" s="21">
        <v>15648852.220000001</v>
      </c>
      <c r="M119" s="25">
        <f t="shared" si="44"/>
        <v>-0.10007570702204516</v>
      </c>
      <c r="N119" s="10"/>
      <c r="R119" s="2"/>
    </row>
    <row r="120" spans="1:18" ht="15.75" customHeight="1" x14ac:dyDescent="0.25">
      <c r="A120" s="19"/>
      <c r="B120" s="20">
        <f>DATE(2024,2,1)</f>
        <v>45323</v>
      </c>
      <c r="C120" s="21">
        <v>246721</v>
      </c>
      <c r="D120" s="21">
        <v>238918</v>
      </c>
      <c r="E120" s="23">
        <f t="shared" si="40"/>
        <v>3.2659740999003845E-2</v>
      </c>
      <c r="F120" s="21">
        <f>+C120-126091</f>
        <v>120630</v>
      </c>
      <c r="G120" s="21">
        <f>+D120-118809</f>
        <v>120109</v>
      </c>
      <c r="H120" s="23">
        <f>(+F120-G120)/G120</f>
        <v>4.3377265650367579E-3</v>
      </c>
      <c r="I120" s="24">
        <f>K120/C120</f>
        <v>68.40149699458091</v>
      </c>
      <c r="J120" s="24">
        <f>K120/F120</f>
        <v>139.89957506424602</v>
      </c>
      <c r="K120" s="21">
        <v>16876085.739999998</v>
      </c>
      <c r="L120" s="21">
        <v>15854862.57</v>
      </c>
      <c r="M120" s="25">
        <f t="shared" si="44"/>
        <v>6.4410723555076391E-2</v>
      </c>
      <c r="N120" s="10"/>
      <c r="R120" s="2"/>
    </row>
    <row r="121" spans="1:18" ht="15.75" customHeight="1" x14ac:dyDescent="0.25">
      <c r="A121" s="19"/>
      <c r="B121" s="20">
        <f>DATE(2024,3,1)</f>
        <v>45352</v>
      </c>
      <c r="C121" s="21">
        <v>273432</v>
      </c>
      <c r="D121" s="21">
        <v>275849</v>
      </c>
      <c r="E121" s="23">
        <f t="shared" si="40"/>
        <v>-8.7620401016498158E-3</v>
      </c>
      <c r="F121" s="21">
        <f>+C121-138760</f>
        <v>134672</v>
      </c>
      <c r="G121" s="21">
        <f>+D121-138730</f>
        <v>137119</v>
      </c>
      <c r="H121" s="23">
        <f>(+F121-G121)/G121</f>
        <v>-1.7845812761178248E-2</v>
      </c>
      <c r="I121" s="24">
        <f>K121/C121</f>
        <v>68.876147012785623</v>
      </c>
      <c r="J121" s="24">
        <f>K121/F121</f>
        <v>139.84304554770108</v>
      </c>
      <c r="K121" s="21">
        <v>18832942.629999999</v>
      </c>
      <c r="L121" s="21">
        <v>18290534.370000001</v>
      </c>
      <c r="M121" s="25">
        <f t="shared" si="44"/>
        <v>2.9655134673902798E-2</v>
      </c>
      <c r="N121" s="10"/>
      <c r="R121" s="2"/>
    </row>
    <row r="122" spans="1:18" ht="15.75" customHeight="1" x14ac:dyDescent="0.25">
      <c r="A122" s="19"/>
      <c r="B122" s="20">
        <f>DATE(2024,4,1)</f>
        <v>45383</v>
      </c>
      <c r="C122" s="21">
        <v>234759</v>
      </c>
      <c r="D122" s="21">
        <v>256341</v>
      </c>
      <c r="E122" s="23">
        <f t="shared" si="40"/>
        <v>-8.4192540405163441E-2</v>
      </c>
      <c r="F122" s="21">
        <f>+C122-117240</f>
        <v>117519</v>
      </c>
      <c r="G122" s="21">
        <f>+D122-130653</f>
        <v>125688</v>
      </c>
      <c r="H122" s="23">
        <f>(+F122-G122)/G122</f>
        <v>-6.4994271529501629E-2</v>
      </c>
      <c r="I122" s="24">
        <f>K122/C122</f>
        <v>69.606797183494564</v>
      </c>
      <c r="J122" s="24">
        <f>K122/F122</f>
        <v>139.04834197023459</v>
      </c>
      <c r="K122" s="21">
        <v>16340822.1</v>
      </c>
      <c r="L122" s="21">
        <v>17878592.390000001</v>
      </c>
      <c r="M122" s="25">
        <f t="shared" si="44"/>
        <v>-8.6011821090575286E-2</v>
      </c>
      <c r="N122" s="10"/>
      <c r="R122" s="2"/>
    </row>
    <row r="123" spans="1:18" ht="15.75" customHeight="1" thickBot="1" x14ac:dyDescent="0.3">
      <c r="A123" s="19"/>
      <c r="B123" s="45"/>
      <c r="C123" s="21"/>
      <c r="D123" s="21"/>
      <c r="E123" s="23"/>
      <c r="F123" s="21"/>
      <c r="G123" s="21"/>
      <c r="H123" s="23"/>
      <c r="I123" s="24"/>
      <c r="J123" s="24"/>
      <c r="K123" s="21"/>
      <c r="L123" s="21"/>
      <c r="M123" s="25"/>
      <c r="N123" s="10"/>
      <c r="R123" s="2"/>
    </row>
    <row r="124" spans="1:18" ht="17.25" thickTop="1" thickBot="1" x14ac:dyDescent="0.3">
      <c r="A124" s="39" t="s">
        <v>14</v>
      </c>
      <c r="B124" s="40"/>
      <c r="C124" s="41">
        <f>SUM(C113:C123)</f>
        <v>2425249</v>
      </c>
      <c r="D124" s="41">
        <f>SUM(D113:D123)</f>
        <v>2480359</v>
      </c>
      <c r="E124" s="280">
        <f>(+C124-D124)/D124</f>
        <v>-2.2218557878113613E-2</v>
      </c>
      <c r="F124" s="41">
        <f>SUM(F113:F123)</f>
        <v>1208658</v>
      </c>
      <c r="G124" s="41">
        <f>SUM(G113:G123)</f>
        <v>1241756</v>
      </c>
      <c r="H124" s="42">
        <f>(+F124-G124)/G124</f>
        <v>-2.6654189711988508E-2</v>
      </c>
      <c r="I124" s="43">
        <f>K124/C124</f>
        <v>68.543085468749794</v>
      </c>
      <c r="J124" s="43">
        <f>K124/F124</f>
        <v>137.53605196010781</v>
      </c>
      <c r="K124" s="41">
        <f>SUM(K113:K123)</f>
        <v>166234049.48999998</v>
      </c>
      <c r="L124" s="41">
        <f>SUM(L113:L123)</f>
        <v>167356196.49000001</v>
      </c>
      <c r="M124" s="44">
        <f>(+K124-L124)/L124</f>
        <v>-6.7051416292618791E-3</v>
      </c>
      <c r="N124" s="10"/>
      <c r="R124" s="2"/>
    </row>
    <row r="125" spans="1:18" ht="15.75" customHeight="1" thickTop="1" x14ac:dyDescent="0.2">
      <c r="A125" s="54"/>
      <c r="B125" s="55"/>
      <c r="C125" s="55"/>
      <c r="D125" s="55"/>
      <c r="E125" s="56"/>
      <c r="F125" s="55"/>
      <c r="G125" s="55"/>
      <c r="H125" s="56"/>
      <c r="I125" s="55"/>
      <c r="J125" s="55"/>
      <c r="K125" s="196"/>
      <c r="L125" s="196"/>
      <c r="M125" s="57"/>
      <c r="N125" s="10"/>
      <c r="R125" s="2"/>
    </row>
    <row r="126" spans="1:18" ht="15.75" customHeight="1" x14ac:dyDescent="0.25">
      <c r="A126" s="19" t="s">
        <v>53</v>
      </c>
      <c r="B126" s="20">
        <f>DATE(2023,7,1)</f>
        <v>45108</v>
      </c>
      <c r="C126" s="21">
        <v>372664</v>
      </c>
      <c r="D126" s="21">
        <v>358906</v>
      </c>
      <c r="E126" s="23">
        <f t="shared" ref="E126:E135" si="45">(+C126-D126)/D126</f>
        <v>3.8333156871158465E-2</v>
      </c>
      <c r="F126" s="21">
        <f>+C126-175639</f>
        <v>197025</v>
      </c>
      <c r="G126" s="21">
        <f>+D126-172463</f>
        <v>186443</v>
      </c>
      <c r="H126" s="23">
        <f t="shared" ref="H126:H131" si="46">(+F126-G126)/G126</f>
        <v>5.6757293113713039E-2</v>
      </c>
      <c r="I126" s="24">
        <f t="shared" ref="I126:I131" si="47">K126/C126</f>
        <v>59.665630729021316</v>
      </c>
      <c r="J126" s="24">
        <f t="shared" ref="J126:J131" si="48">K126/F126</f>
        <v>112.85487938078924</v>
      </c>
      <c r="K126" s="21">
        <v>22235232.609999999</v>
      </c>
      <c r="L126" s="21">
        <v>22397002.989999998</v>
      </c>
      <c r="M126" s="25">
        <f t="shared" ref="M126:M135" si="49">(+K126-L126)/L126</f>
        <v>-7.2228583472631388E-3</v>
      </c>
      <c r="N126" s="10"/>
      <c r="R126" s="2"/>
    </row>
    <row r="127" spans="1:18" ht="15.75" customHeight="1" x14ac:dyDescent="0.25">
      <c r="A127" s="19"/>
      <c r="B127" s="20">
        <f>DATE(2023,8,1)</f>
        <v>45139</v>
      </c>
      <c r="C127" s="21">
        <v>342645</v>
      </c>
      <c r="D127" s="21">
        <v>332390</v>
      </c>
      <c r="E127" s="23">
        <f t="shared" si="45"/>
        <v>3.0852312043081923E-2</v>
      </c>
      <c r="F127" s="21">
        <f>+C127-159996</f>
        <v>182649</v>
      </c>
      <c r="G127" s="21">
        <f>+D127-159690</f>
        <v>172700</v>
      </c>
      <c r="H127" s="23">
        <f t="shared" si="46"/>
        <v>5.7608569774174868E-2</v>
      </c>
      <c r="I127" s="24">
        <f t="shared" si="47"/>
        <v>60.158932422769915</v>
      </c>
      <c r="J127" s="24">
        <f t="shared" si="48"/>
        <v>112.85666715941504</v>
      </c>
      <c r="K127" s="21">
        <v>20613157.399999999</v>
      </c>
      <c r="L127" s="21">
        <v>20719744.75</v>
      </c>
      <c r="M127" s="25">
        <f t="shared" si="49"/>
        <v>-5.1442404955303073E-3</v>
      </c>
      <c r="N127" s="10"/>
      <c r="R127" s="2"/>
    </row>
    <row r="128" spans="1:18" ht="15.75" customHeight="1" x14ac:dyDescent="0.25">
      <c r="A128" s="19"/>
      <c r="B128" s="20">
        <f>DATE(2023,9,1)</f>
        <v>45170</v>
      </c>
      <c r="C128" s="21">
        <v>340628</v>
      </c>
      <c r="D128" s="21">
        <v>333101</v>
      </c>
      <c r="E128" s="23">
        <f t="shared" si="45"/>
        <v>2.259674993470449E-2</v>
      </c>
      <c r="F128" s="21">
        <f>+C128-161145</f>
        <v>179483</v>
      </c>
      <c r="G128" s="21">
        <f>+D128-160339</f>
        <v>172762</v>
      </c>
      <c r="H128" s="23">
        <f t="shared" si="46"/>
        <v>3.8903231034602519E-2</v>
      </c>
      <c r="I128" s="24">
        <f t="shared" si="47"/>
        <v>63.235720052373857</v>
      </c>
      <c r="J128" s="24">
        <f t="shared" si="48"/>
        <v>120.01056841037871</v>
      </c>
      <c r="K128" s="21">
        <v>21539856.850000001</v>
      </c>
      <c r="L128" s="21">
        <v>20315248.210000001</v>
      </c>
      <c r="M128" s="25">
        <f t="shared" si="49"/>
        <v>6.0280269644807878E-2</v>
      </c>
      <c r="N128" s="10"/>
      <c r="R128" s="2"/>
    </row>
    <row r="129" spans="1:18" ht="15.75" customHeight="1" x14ac:dyDescent="0.25">
      <c r="A129" s="19"/>
      <c r="B129" s="20">
        <f>DATE(2023,10,1)</f>
        <v>45200</v>
      </c>
      <c r="C129" s="21">
        <v>328436</v>
      </c>
      <c r="D129" s="21">
        <v>337264</v>
      </c>
      <c r="E129" s="23">
        <f t="shared" si="45"/>
        <v>-2.6175340386166326E-2</v>
      </c>
      <c r="F129" s="21">
        <f>+C129-154947</f>
        <v>173489</v>
      </c>
      <c r="G129" s="21">
        <f>+D129-160233</f>
        <v>177031</v>
      </c>
      <c r="H129" s="23">
        <f t="shared" si="46"/>
        <v>-2.0007795244900612E-2</v>
      </c>
      <c r="I129" s="24">
        <f t="shared" si="47"/>
        <v>59.368265659062949</v>
      </c>
      <c r="J129" s="24">
        <f t="shared" si="48"/>
        <v>112.39142366374813</v>
      </c>
      <c r="K129" s="21">
        <v>19498675.699999999</v>
      </c>
      <c r="L129" s="21">
        <v>21004131.789999999</v>
      </c>
      <c r="M129" s="25">
        <f t="shared" si="49"/>
        <v>-7.167428318635588E-2</v>
      </c>
      <c r="N129" s="10"/>
      <c r="R129" s="2"/>
    </row>
    <row r="130" spans="1:18" ht="15.75" customHeight="1" x14ac:dyDescent="0.25">
      <c r="A130" s="19"/>
      <c r="B130" s="20">
        <f>DATE(2023,11,1)</f>
        <v>45231</v>
      </c>
      <c r="C130" s="21">
        <v>339918</v>
      </c>
      <c r="D130" s="21">
        <v>335976</v>
      </c>
      <c r="E130" s="23">
        <f t="shared" si="45"/>
        <v>1.1732980927209086E-2</v>
      </c>
      <c r="F130" s="21">
        <f>+C130-166606</f>
        <v>173312</v>
      </c>
      <c r="G130" s="21">
        <f>+D130-165580</f>
        <v>170396</v>
      </c>
      <c r="H130" s="23">
        <f t="shared" si="46"/>
        <v>1.711307777177868E-2</v>
      </c>
      <c r="I130" s="24">
        <f t="shared" si="47"/>
        <v>59.428447684441537</v>
      </c>
      <c r="J130" s="24">
        <f t="shared" si="48"/>
        <v>116.55741714364844</v>
      </c>
      <c r="K130" s="21">
        <v>20200799.079999998</v>
      </c>
      <c r="L130" s="21">
        <v>20877358.670000002</v>
      </c>
      <c r="M130" s="25">
        <f t="shared" si="49"/>
        <v>-3.2406378636977429E-2</v>
      </c>
      <c r="N130" s="10"/>
      <c r="R130" s="2"/>
    </row>
    <row r="131" spans="1:18" ht="15.75" customHeight="1" x14ac:dyDescent="0.25">
      <c r="A131" s="19"/>
      <c r="B131" s="20">
        <f>DATE(2023,12,1)</f>
        <v>45261</v>
      </c>
      <c r="C131" s="21">
        <v>360595</v>
      </c>
      <c r="D131" s="21">
        <v>365348</v>
      </c>
      <c r="E131" s="23">
        <f t="shared" si="45"/>
        <v>-1.3009514216582545E-2</v>
      </c>
      <c r="F131" s="21">
        <f>+C131-173565</f>
        <v>187030</v>
      </c>
      <c r="G131" s="21">
        <f>+D131-180304</f>
        <v>185044</v>
      </c>
      <c r="H131" s="23">
        <f t="shared" si="46"/>
        <v>1.0732582520913945E-2</v>
      </c>
      <c r="I131" s="24">
        <f t="shared" si="47"/>
        <v>59.736622249337898</v>
      </c>
      <c r="J131" s="24">
        <f t="shared" si="48"/>
        <v>115.17257819601134</v>
      </c>
      <c r="K131" s="21">
        <v>21540727.300000001</v>
      </c>
      <c r="L131" s="21">
        <v>20814881.129999999</v>
      </c>
      <c r="M131" s="25">
        <f t="shared" si="49"/>
        <v>3.4871502050225822E-2</v>
      </c>
      <c r="N131" s="10"/>
      <c r="R131" s="2"/>
    </row>
    <row r="132" spans="1:18" ht="15.75" customHeight="1" x14ac:dyDescent="0.25">
      <c r="A132" s="19"/>
      <c r="B132" s="20">
        <f>DATE(2024,1,1)</f>
        <v>45292</v>
      </c>
      <c r="C132" s="21">
        <v>304972</v>
      </c>
      <c r="D132" s="21">
        <v>342355</v>
      </c>
      <c r="E132" s="23">
        <f t="shared" si="45"/>
        <v>-0.10919367323392386</v>
      </c>
      <c r="F132" s="21">
        <f>+C132-150800</f>
        <v>154172</v>
      </c>
      <c r="G132" s="21">
        <f>D132-168925</f>
        <v>173430</v>
      </c>
      <c r="H132" s="23">
        <f>(+F132-G132)/G132</f>
        <v>-0.11104191892982759</v>
      </c>
      <c r="I132" s="24">
        <f>K132/C132</f>
        <v>58.334785324554382</v>
      </c>
      <c r="J132" s="24">
        <f>K132/F132</f>
        <v>115.39369113717146</v>
      </c>
      <c r="K132" s="21">
        <v>17790476.149999999</v>
      </c>
      <c r="L132" s="21">
        <v>20669849.199999999</v>
      </c>
      <c r="M132" s="25">
        <f t="shared" si="49"/>
        <v>-0.13930305064828441</v>
      </c>
      <c r="N132" s="10"/>
      <c r="R132" s="2"/>
    </row>
    <row r="133" spans="1:18" ht="15.75" customHeight="1" x14ac:dyDescent="0.25">
      <c r="A133" s="19"/>
      <c r="B133" s="20">
        <f>DATE(2024,2,1)</f>
        <v>45323</v>
      </c>
      <c r="C133" s="21">
        <v>335192</v>
      </c>
      <c r="D133" s="21">
        <v>337128</v>
      </c>
      <c r="E133" s="23">
        <f t="shared" si="45"/>
        <v>-5.7426259462281387E-3</v>
      </c>
      <c r="F133" s="21">
        <f>+C133-154964</f>
        <v>180228</v>
      </c>
      <c r="G133" s="21">
        <f>+D133-165968</f>
        <v>171160</v>
      </c>
      <c r="H133" s="23">
        <f>(+F133-G133)/G133</f>
        <v>5.2979668146763262E-2</v>
      </c>
      <c r="I133" s="24">
        <f>K133/C133</f>
        <v>60.766679037685861</v>
      </c>
      <c r="J133" s="24">
        <f>K133/F133</f>
        <v>113.0152067381317</v>
      </c>
      <c r="K133" s="21">
        <v>20368504.68</v>
      </c>
      <c r="L133" s="21">
        <v>20740163.050000001</v>
      </c>
      <c r="M133" s="25">
        <f t="shared" si="49"/>
        <v>-1.7919741956898504E-2</v>
      </c>
      <c r="N133" s="10"/>
      <c r="R133" s="2"/>
    </row>
    <row r="134" spans="1:18" ht="15.75" customHeight="1" x14ac:dyDescent="0.25">
      <c r="A134" s="19"/>
      <c r="B134" s="20">
        <f>DATE(2024,3,1)</f>
        <v>45352</v>
      </c>
      <c r="C134" s="21">
        <v>357667</v>
      </c>
      <c r="D134" s="21">
        <v>378599</v>
      </c>
      <c r="E134" s="23">
        <f t="shared" si="45"/>
        <v>-5.5288048832669925E-2</v>
      </c>
      <c r="F134" s="21">
        <f>+C134-170682</f>
        <v>186985</v>
      </c>
      <c r="G134" s="21">
        <f>+D134-184066</f>
        <v>194533</v>
      </c>
      <c r="H134" s="23">
        <f>(+F134-G134)/G134</f>
        <v>-3.8800614805714201E-2</v>
      </c>
      <c r="I134" s="24">
        <f>K134/C134</f>
        <v>64.086199090215203</v>
      </c>
      <c r="J134" s="24">
        <f>K134/F134</f>
        <v>122.58479862021018</v>
      </c>
      <c r="K134" s="21">
        <v>22921518.57</v>
      </c>
      <c r="L134" s="21">
        <v>23723992.280000001</v>
      </c>
      <c r="M134" s="25">
        <f t="shared" si="49"/>
        <v>-3.3825407651835608E-2</v>
      </c>
      <c r="N134" s="10"/>
      <c r="R134" s="2"/>
    </row>
    <row r="135" spans="1:18" ht="15.75" customHeight="1" x14ac:dyDescent="0.25">
      <c r="A135" s="19"/>
      <c r="B135" s="20">
        <f>DATE(2024,4,1)</f>
        <v>45383</v>
      </c>
      <c r="C135" s="21">
        <v>331600</v>
      </c>
      <c r="D135" s="21">
        <v>353750</v>
      </c>
      <c r="E135" s="23">
        <f t="shared" si="45"/>
        <v>-6.261484098939929E-2</v>
      </c>
      <c r="F135" s="21">
        <f>+C135-154299</f>
        <v>177301</v>
      </c>
      <c r="G135" s="21">
        <f>+D135-169270</f>
        <v>184480</v>
      </c>
      <c r="H135" s="23">
        <f>(+F135-G135)/G135</f>
        <v>-3.8914787510841285E-2</v>
      </c>
      <c r="I135" s="24">
        <f>K135/C135</f>
        <v>64.182056121833526</v>
      </c>
      <c r="J135" s="24">
        <f>K135/F135</f>
        <v>120.03750576702895</v>
      </c>
      <c r="K135" s="21">
        <v>21282769.809999999</v>
      </c>
      <c r="L135" s="21">
        <v>22109220.510000002</v>
      </c>
      <c r="M135" s="25">
        <f t="shared" si="49"/>
        <v>-3.7380363528700583E-2</v>
      </c>
      <c r="N135" s="10"/>
      <c r="R135" s="2"/>
    </row>
    <row r="136" spans="1:18" ht="15.75" customHeight="1" thickBot="1" x14ac:dyDescent="0.3">
      <c r="A136" s="19"/>
      <c r="B136" s="45"/>
      <c r="C136" s="21"/>
      <c r="D136" s="21"/>
      <c r="E136" s="23"/>
      <c r="F136" s="21"/>
      <c r="G136" s="21"/>
      <c r="H136" s="23"/>
      <c r="I136" s="24"/>
      <c r="J136" s="24"/>
      <c r="K136" s="21"/>
      <c r="L136" s="21"/>
      <c r="M136" s="25"/>
      <c r="N136" s="10"/>
      <c r="R136" s="2"/>
    </row>
    <row r="137" spans="1:18" ht="17.25" thickTop="1" thickBot="1" x14ac:dyDescent="0.3">
      <c r="A137" s="39" t="s">
        <v>14</v>
      </c>
      <c r="B137" s="40"/>
      <c r="C137" s="41">
        <f>SUM(C126:C136)</f>
        <v>3414317</v>
      </c>
      <c r="D137" s="41">
        <f>SUM(D126:D136)</f>
        <v>3474817</v>
      </c>
      <c r="E137" s="280">
        <f>(+C137-D137)/D137</f>
        <v>-1.7410988837685552E-2</v>
      </c>
      <c r="F137" s="41">
        <f>SUM(F126:F136)</f>
        <v>1791674</v>
      </c>
      <c r="G137" s="41">
        <f>SUM(G126:G136)</f>
        <v>1787979</v>
      </c>
      <c r="H137" s="42">
        <f>(+F137-G137)/G137</f>
        <v>2.0665790817453672E-3</v>
      </c>
      <c r="I137" s="43">
        <f>K137/C137</f>
        <v>60.917518247426941</v>
      </c>
      <c r="J137" s="43">
        <f>K137/F137</f>
        <v>116.08792567732746</v>
      </c>
      <c r="K137" s="41">
        <f>SUM(K126:K136)</f>
        <v>207991718.15000001</v>
      </c>
      <c r="L137" s="41">
        <f>SUM(L126:L136)</f>
        <v>213371592.57999998</v>
      </c>
      <c r="M137" s="44">
        <f>(+K137-L137)/L137</f>
        <v>-2.5213639570988752E-2</v>
      </c>
      <c r="N137" s="10"/>
      <c r="R137" s="2"/>
    </row>
    <row r="138" spans="1:18" ht="15.75" customHeight="1" thickTop="1" x14ac:dyDescent="0.2">
      <c r="A138" s="58"/>
      <c r="B138" s="59"/>
      <c r="C138" s="59"/>
      <c r="D138" s="59"/>
      <c r="E138" s="60"/>
      <c r="F138" s="59"/>
      <c r="G138" s="59"/>
      <c r="H138" s="60"/>
      <c r="I138" s="59"/>
      <c r="J138" s="59"/>
      <c r="K138" s="197"/>
      <c r="L138" s="197"/>
      <c r="M138" s="61"/>
      <c r="N138" s="10"/>
      <c r="R138" s="2"/>
    </row>
    <row r="139" spans="1:18" ht="15" customHeight="1" x14ac:dyDescent="0.25">
      <c r="A139" s="19" t="s">
        <v>54</v>
      </c>
      <c r="B139" s="20">
        <f>DATE(2023,7,1)</f>
        <v>45108</v>
      </c>
      <c r="C139" s="21">
        <v>43122</v>
      </c>
      <c r="D139" s="21">
        <v>45743</v>
      </c>
      <c r="E139" s="23">
        <f t="shared" ref="E139:E148" si="50">(+C139-D139)/D139</f>
        <v>-5.729838445226592E-2</v>
      </c>
      <c r="F139" s="21">
        <f>+C139-21874</f>
        <v>21248</v>
      </c>
      <c r="G139" s="21">
        <f>+D139-23748</f>
        <v>21995</v>
      </c>
      <c r="H139" s="23">
        <f t="shared" ref="H139:H144" si="51">(+F139-G139)/G139</f>
        <v>-3.3962264150943396E-2</v>
      </c>
      <c r="I139" s="24">
        <f t="shared" ref="I139:I144" si="52">K139/C139</f>
        <v>73.706668985668571</v>
      </c>
      <c r="J139" s="24">
        <f t="shared" ref="J139:J144" si="53">K139/F139</f>
        <v>149.58485410391566</v>
      </c>
      <c r="K139" s="21">
        <v>3178378.98</v>
      </c>
      <c r="L139" s="21">
        <v>3253812.68</v>
      </c>
      <c r="M139" s="25">
        <f t="shared" ref="M139:M148" si="54">(+K139-L139)/L139</f>
        <v>-2.3183172302346608E-2</v>
      </c>
      <c r="N139" s="10"/>
      <c r="R139" s="2"/>
    </row>
    <row r="140" spans="1:18" ht="15" customHeight="1" x14ac:dyDescent="0.25">
      <c r="A140" s="19"/>
      <c r="B140" s="20">
        <f>DATE(2023,8,1)</f>
        <v>45139</v>
      </c>
      <c r="C140" s="21">
        <v>38794</v>
      </c>
      <c r="D140" s="21">
        <v>40978</v>
      </c>
      <c r="E140" s="23">
        <f t="shared" si="50"/>
        <v>-5.329689101469081E-2</v>
      </c>
      <c r="F140" s="21">
        <f>+C140-19691</f>
        <v>19103</v>
      </c>
      <c r="G140" s="21">
        <f>+D140-21136</f>
        <v>19842</v>
      </c>
      <c r="H140" s="23">
        <f t="shared" si="51"/>
        <v>-3.7244229412357624E-2</v>
      </c>
      <c r="I140" s="24">
        <f t="shared" si="52"/>
        <v>74.058326803113886</v>
      </c>
      <c r="J140" s="24">
        <f t="shared" si="53"/>
        <v>150.39620635502277</v>
      </c>
      <c r="K140" s="21">
        <v>2873018.73</v>
      </c>
      <c r="L140" s="21">
        <v>2953942.06</v>
      </c>
      <c r="M140" s="25">
        <f t="shared" si="54"/>
        <v>-2.7395029542319482E-2</v>
      </c>
      <c r="N140" s="10"/>
      <c r="R140" s="2"/>
    </row>
    <row r="141" spans="1:18" ht="15" customHeight="1" x14ac:dyDescent="0.25">
      <c r="A141" s="19"/>
      <c r="B141" s="20">
        <f>DATE(2023,9,1)</f>
        <v>45170</v>
      </c>
      <c r="C141" s="21">
        <v>39024</v>
      </c>
      <c r="D141" s="21">
        <v>41696</v>
      </c>
      <c r="E141" s="23">
        <f t="shared" si="50"/>
        <v>-6.4082885648503451E-2</v>
      </c>
      <c r="F141" s="21">
        <f>+C141-19292</f>
        <v>19732</v>
      </c>
      <c r="G141" s="21">
        <f>+D141-21639</f>
        <v>20057</v>
      </c>
      <c r="H141" s="23">
        <f t="shared" si="51"/>
        <v>-1.6203819115520764E-2</v>
      </c>
      <c r="I141" s="24">
        <f t="shared" si="52"/>
        <v>73.702168152931534</v>
      </c>
      <c r="J141" s="24">
        <f t="shared" si="53"/>
        <v>145.76086610581797</v>
      </c>
      <c r="K141" s="21">
        <v>2876153.41</v>
      </c>
      <c r="L141" s="21">
        <v>3101049.85</v>
      </c>
      <c r="M141" s="25">
        <f t="shared" si="54"/>
        <v>-7.2522678085939166E-2</v>
      </c>
      <c r="N141" s="10"/>
      <c r="R141" s="2"/>
    </row>
    <row r="142" spans="1:18" ht="15" customHeight="1" x14ac:dyDescent="0.25">
      <c r="A142" s="19"/>
      <c r="B142" s="20">
        <f>DATE(2023,10,1)</f>
        <v>45200</v>
      </c>
      <c r="C142" s="21">
        <v>39576</v>
      </c>
      <c r="D142" s="21">
        <v>40713</v>
      </c>
      <c r="E142" s="23">
        <f t="shared" si="50"/>
        <v>-2.7927197700980032E-2</v>
      </c>
      <c r="F142" s="21">
        <f>+C142-20256</f>
        <v>19320</v>
      </c>
      <c r="G142" s="21">
        <f>+D142-21150</f>
        <v>19563</v>
      </c>
      <c r="H142" s="23">
        <f t="shared" si="51"/>
        <v>-1.2421407759546081E-2</v>
      </c>
      <c r="I142" s="24">
        <f t="shared" si="52"/>
        <v>78.079089094400643</v>
      </c>
      <c r="J142" s="24">
        <f t="shared" si="53"/>
        <v>159.94089182194617</v>
      </c>
      <c r="K142" s="21">
        <v>3090058.03</v>
      </c>
      <c r="L142" s="21">
        <v>3050192.47</v>
      </c>
      <c r="M142" s="25">
        <f t="shared" si="54"/>
        <v>1.306985063798272E-2</v>
      </c>
      <c r="N142" s="10"/>
      <c r="R142" s="2"/>
    </row>
    <row r="143" spans="1:18" ht="15" customHeight="1" x14ac:dyDescent="0.25">
      <c r="A143" s="19"/>
      <c r="B143" s="20">
        <f>DATE(2023,11,1)</f>
        <v>45231</v>
      </c>
      <c r="C143" s="21">
        <v>38920</v>
      </c>
      <c r="D143" s="21">
        <v>37233</v>
      </c>
      <c r="E143" s="23">
        <f t="shared" si="50"/>
        <v>4.5309268659522464E-2</v>
      </c>
      <c r="F143" s="21">
        <f>+C143-20391</f>
        <v>18529</v>
      </c>
      <c r="G143" s="21">
        <f>+D143-19170</f>
        <v>18063</v>
      </c>
      <c r="H143" s="23">
        <f t="shared" si="51"/>
        <v>2.5798593810551957E-2</v>
      </c>
      <c r="I143" s="24">
        <f t="shared" si="52"/>
        <v>70.912000000000006</v>
      </c>
      <c r="J143" s="24">
        <f t="shared" si="53"/>
        <v>148.95002644503211</v>
      </c>
      <c r="K143" s="21">
        <v>2759895.04</v>
      </c>
      <c r="L143" s="21">
        <v>2799014.1</v>
      </c>
      <c r="M143" s="25">
        <f t="shared" si="54"/>
        <v>-1.3976013911469775E-2</v>
      </c>
      <c r="N143" s="10"/>
      <c r="R143" s="2"/>
    </row>
    <row r="144" spans="1:18" ht="15" customHeight="1" x14ac:dyDescent="0.25">
      <c r="A144" s="19"/>
      <c r="B144" s="20">
        <f>DATE(2023,12,1)</f>
        <v>45261</v>
      </c>
      <c r="C144" s="21">
        <v>39936</v>
      </c>
      <c r="D144" s="21">
        <v>38888</v>
      </c>
      <c r="E144" s="23">
        <f t="shared" si="50"/>
        <v>2.6949187409997941E-2</v>
      </c>
      <c r="F144" s="21">
        <f>+C144-21159</f>
        <v>18777</v>
      </c>
      <c r="G144" s="21">
        <f>+D144-20548</f>
        <v>18340</v>
      </c>
      <c r="H144" s="23">
        <f t="shared" si="51"/>
        <v>2.3827699018538713E-2</v>
      </c>
      <c r="I144" s="24">
        <f t="shared" si="52"/>
        <v>80.196872746394234</v>
      </c>
      <c r="J144" s="24">
        <f t="shared" si="53"/>
        <v>170.56730627895831</v>
      </c>
      <c r="K144" s="21">
        <v>3202742.31</v>
      </c>
      <c r="L144" s="21">
        <v>3097813.72</v>
      </c>
      <c r="M144" s="25">
        <f t="shared" si="54"/>
        <v>3.3871820414043435E-2</v>
      </c>
      <c r="N144" s="10"/>
      <c r="R144" s="2"/>
    </row>
    <row r="145" spans="1:18" ht="15" customHeight="1" x14ac:dyDescent="0.25">
      <c r="A145" s="19"/>
      <c r="B145" s="20">
        <f>DATE(2024,1,1)</f>
        <v>45292</v>
      </c>
      <c r="C145" s="21">
        <v>28423</v>
      </c>
      <c r="D145" s="21">
        <v>39674</v>
      </c>
      <c r="E145" s="23">
        <f t="shared" si="50"/>
        <v>-0.28358622775621312</v>
      </c>
      <c r="F145" s="21">
        <f>C145-15073</f>
        <v>13350</v>
      </c>
      <c r="G145" s="21">
        <f>D145-21146</f>
        <v>18528</v>
      </c>
      <c r="H145" s="23">
        <f>(+F145-G145)/G145</f>
        <v>-0.27946891191709844</v>
      </c>
      <c r="I145" s="24">
        <f>K145/C145</f>
        <v>77.909313935896989</v>
      </c>
      <c r="J145" s="24">
        <f>K145/F145</f>
        <v>165.87388988764047</v>
      </c>
      <c r="K145" s="21">
        <v>2214416.4300000002</v>
      </c>
      <c r="L145" s="21">
        <v>2888248.11</v>
      </c>
      <c r="M145" s="25">
        <f t="shared" si="54"/>
        <v>-0.23330117577745069</v>
      </c>
      <c r="N145" s="10"/>
      <c r="R145" s="2"/>
    </row>
    <row r="146" spans="1:18" ht="15" customHeight="1" x14ac:dyDescent="0.25">
      <c r="A146" s="19"/>
      <c r="B146" s="20">
        <f>DATE(2024,2,1)</f>
        <v>45323</v>
      </c>
      <c r="C146" s="21">
        <v>39444</v>
      </c>
      <c r="D146" s="21">
        <v>44258</v>
      </c>
      <c r="E146" s="23">
        <f t="shared" si="50"/>
        <v>-0.10877129558497899</v>
      </c>
      <c r="F146" s="21">
        <f>+C146-20602</f>
        <v>18842</v>
      </c>
      <c r="G146" s="21">
        <f>+D146-23416</f>
        <v>20842</v>
      </c>
      <c r="H146" s="23">
        <f>(+F146-G146)/G146</f>
        <v>-9.5960080606467713E-2</v>
      </c>
      <c r="I146" s="24">
        <f>K146/C146</f>
        <v>78.978928607646282</v>
      </c>
      <c r="J146" s="24">
        <f>K146/F146</f>
        <v>165.33514807345293</v>
      </c>
      <c r="K146" s="21">
        <v>3115244.86</v>
      </c>
      <c r="L146" s="21">
        <v>3112659.92</v>
      </c>
      <c r="M146" s="25">
        <f t="shared" si="54"/>
        <v>8.3046014226955582E-4</v>
      </c>
      <c r="N146" s="10"/>
      <c r="R146" s="2"/>
    </row>
    <row r="147" spans="1:18" ht="15" customHeight="1" x14ac:dyDescent="0.25">
      <c r="A147" s="19"/>
      <c r="B147" s="20">
        <f>DATE(2024,3,1)</f>
        <v>45352</v>
      </c>
      <c r="C147" s="21">
        <v>45448</v>
      </c>
      <c r="D147" s="21">
        <v>46782</v>
      </c>
      <c r="E147" s="23">
        <f t="shared" si="50"/>
        <v>-2.8515240904621434E-2</v>
      </c>
      <c r="F147" s="21">
        <f>+C147-23329</f>
        <v>22119</v>
      </c>
      <c r="G147" s="21">
        <f>+D147-24795</f>
        <v>21987</v>
      </c>
      <c r="H147" s="23">
        <f>(+F147-G147)/G147</f>
        <v>6.0035475508254874E-3</v>
      </c>
      <c r="I147" s="24">
        <f>K147/C147</f>
        <v>76.269291718007395</v>
      </c>
      <c r="J147" s="24">
        <f>K147/F147</f>
        <v>156.71082643880825</v>
      </c>
      <c r="K147" s="21">
        <v>3466286.77</v>
      </c>
      <c r="L147" s="21">
        <v>3356794.26</v>
      </c>
      <c r="M147" s="25">
        <f t="shared" si="54"/>
        <v>3.2618177201006134E-2</v>
      </c>
      <c r="N147" s="10"/>
      <c r="R147" s="2"/>
    </row>
    <row r="148" spans="1:18" ht="15" customHeight="1" x14ac:dyDescent="0.25">
      <c r="A148" s="19"/>
      <c r="B148" s="20">
        <f>DATE(2024,4,1)</f>
        <v>45383</v>
      </c>
      <c r="C148" s="21">
        <v>38520</v>
      </c>
      <c r="D148" s="21">
        <v>44655</v>
      </c>
      <c r="E148" s="23">
        <f t="shared" si="50"/>
        <v>-0.1373866308364125</v>
      </c>
      <c r="F148" s="21">
        <f>+C148-20111</f>
        <v>18409</v>
      </c>
      <c r="G148" s="21">
        <f>+D148-23221</f>
        <v>21434</v>
      </c>
      <c r="H148" s="23">
        <f>(+F148-G148)/G148</f>
        <v>-0.14113091350191284</v>
      </c>
      <c r="I148" s="24">
        <f>K148/C148</f>
        <v>76.385601505711321</v>
      </c>
      <c r="J148" s="24">
        <f>K148/F148</f>
        <v>159.83341680699658</v>
      </c>
      <c r="K148" s="21">
        <v>2942373.37</v>
      </c>
      <c r="L148" s="21">
        <v>3171950.64</v>
      </c>
      <c r="M148" s="25">
        <f t="shared" si="54"/>
        <v>-7.2377314799577083E-2</v>
      </c>
      <c r="N148" s="10"/>
      <c r="R148" s="2"/>
    </row>
    <row r="149" spans="1:18" ht="15.75" thickBot="1" x14ac:dyDescent="0.25">
      <c r="A149" s="38"/>
      <c r="B149" s="20"/>
      <c r="C149" s="21"/>
      <c r="D149" s="21"/>
      <c r="E149" s="23"/>
      <c r="F149" s="21"/>
      <c r="G149" s="21"/>
      <c r="H149" s="23"/>
      <c r="I149" s="24"/>
      <c r="J149" s="24"/>
      <c r="K149" s="21"/>
      <c r="L149" s="21"/>
      <c r="M149" s="25"/>
      <c r="N149" s="10"/>
      <c r="R149" s="2"/>
    </row>
    <row r="150" spans="1:18" ht="17.25" thickTop="1" thickBot="1" x14ac:dyDescent="0.3">
      <c r="A150" s="62" t="s">
        <v>14</v>
      </c>
      <c r="B150" s="52"/>
      <c r="C150" s="48">
        <f>SUM(C139:C149)</f>
        <v>391207</v>
      </c>
      <c r="D150" s="48">
        <f>SUM(D139:D149)</f>
        <v>420620</v>
      </c>
      <c r="E150" s="280">
        <f>(+C150-D150)/D150</f>
        <v>-6.9927725738196E-2</v>
      </c>
      <c r="F150" s="48">
        <f>SUM(F139:F149)</f>
        <v>189429</v>
      </c>
      <c r="G150" s="48">
        <f>SUM(G139:G149)</f>
        <v>200651</v>
      </c>
      <c r="H150" s="42">
        <f>(+F150-G150)/G150</f>
        <v>-5.5927954508076215E-2</v>
      </c>
      <c r="I150" s="50">
        <f>K150/C150</f>
        <v>75.966350116434526</v>
      </c>
      <c r="J150" s="50">
        <f>K150/F150</f>
        <v>156.88499611991827</v>
      </c>
      <c r="K150" s="48">
        <f>SUM(K139:K149)</f>
        <v>29718567.93</v>
      </c>
      <c r="L150" s="48">
        <f>SUM(L139:L149)</f>
        <v>30785477.809999995</v>
      </c>
      <c r="M150" s="44">
        <f>(+K150-L150)/L150</f>
        <v>-3.4656271589633497E-2</v>
      </c>
      <c r="N150" s="10"/>
      <c r="R150" s="2"/>
    </row>
    <row r="151" spans="1:18" ht="15.75" customHeight="1" thickTop="1" x14ac:dyDescent="0.25">
      <c r="A151" s="19"/>
      <c r="B151" s="45"/>
      <c r="C151" s="21"/>
      <c r="D151" s="21"/>
      <c r="E151" s="23"/>
      <c r="F151" s="21"/>
      <c r="G151" s="21"/>
      <c r="H151" s="23"/>
      <c r="I151" s="24"/>
      <c r="J151" s="24"/>
      <c r="K151" s="21"/>
      <c r="L151" s="21"/>
      <c r="M151" s="25"/>
      <c r="N151" s="10"/>
      <c r="R151" s="2"/>
    </row>
    <row r="152" spans="1:18" ht="15.75" x14ac:dyDescent="0.25">
      <c r="A152" s="19" t="s">
        <v>17</v>
      </c>
      <c r="B152" s="20">
        <f>DATE(2023,7,1)</f>
        <v>45108</v>
      </c>
      <c r="C152" s="21">
        <v>341358</v>
      </c>
      <c r="D152" s="21">
        <v>376535</v>
      </c>
      <c r="E152" s="23">
        <f t="shared" ref="E152:E161" si="55">(+C152-D152)/D152</f>
        <v>-9.3422922171909645E-2</v>
      </c>
      <c r="F152" s="21">
        <f>+C152-174275</f>
        <v>167083</v>
      </c>
      <c r="G152" s="21">
        <f>+D152-192471</f>
        <v>184064</v>
      </c>
      <c r="H152" s="23">
        <f t="shared" ref="H152:H157" si="56">(+F152-G152)/G152</f>
        <v>-9.2255954450625871E-2</v>
      </c>
      <c r="I152" s="24">
        <f t="shared" ref="I152:I157" si="57">K152/C152</f>
        <v>75.202850995142924</v>
      </c>
      <c r="J152" s="24">
        <f t="shared" ref="J152:J157" si="58">K152/F152</f>
        <v>153.64276922248223</v>
      </c>
      <c r="K152" s="21">
        <v>25671094.809999999</v>
      </c>
      <c r="L152" s="21">
        <v>26699268.829999998</v>
      </c>
      <c r="M152" s="25">
        <f t="shared" ref="M152:M161" si="59">(+K152-L152)/L152</f>
        <v>-3.8509444829617066E-2</v>
      </c>
      <c r="N152" s="10"/>
      <c r="R152" s="2"/>
    </row>
    <row r="153" spans="1:18" ht="15.75" x14ac:dyDescent="0.25">
      <c r="A153" s="19"/>
      <c r="B153" s="20">
        <f>DATE(2023,8,1)</f>
        <v>45139</v>
      </c>
      <c r="C153" s="21">
        <v>326253</v>
      </c>
      <c r="D153" s="21">
        <v>348725</v>
      </c>
      <c r="E153" s="23">
        <f t="shared" si="55"/>
        <v>-6.4440461681840991E-2</v>
      </c>
      <c r="F153" s="21">
        <f>+C153-166627</f>
        <v>159626</v>
      </c>
      <c r="G153" s="21">
        <f>+D153-177430</f>
        <v>171295</v>
      </c>
      <c r="H153" s="23">
        <f t="shared" si="56"/>
        <v>-6.8122245249423508E-2</v>
      </c>
      <c r="I153" s="24">
        <f t="shared" si="57"/>
        <v>71.558283510036688</v>
      </c>
      <c r="J153" s="24">
        <f t="shared" si="58"/>
        <v>146.25502530916017</v>
      </c>
      <c r="K153" s="21">
        <v>23346104.670000002</v>
      </c>
      <c r="L153" s="21">
        <v>26620249.559999999</v>
      </c>
      <c r="M153" s="25">
        <f t="shared" si="59"/>
        <v>-0.12299452274556351</v>
      </c>
      <c r="N153" s="10"/>
      <c r="R153" s="2"/>
    </row>
    <row r="154" spans="1:18" ht="15.75" x14ac:dyDescent="0.25">
      <c r="A154" s="19"/>
      <c r="B154" s="20">
        <f>DATE(2023,9,1)</f>
        <v>45170</v>
      </c>
      <c r="C154" s="21">
        <v>330805</v>
      </c>
      <c r="D154" s="21">
        <v>351773</v>
      </c>
      <c r="E154" s="23">
        <f t="shared" si="55"/>
        <v>-5.9606621315450588E-2</v>
      </c>
      <c r="F154" s="21">
        <f>+C154-169998</f>
        <v>160807</v>
      </c>
      <c r="G154" s="21">
        <f>+D154-180127</f>
        <v>171646</v>
      </c>
      <c r="H154" s="23">
        <f t="shared" si="56"/>
        <v>-6.3147408037472472E-2</v>
      </c>
      <c r="I154" s="24">
        <f t="shared" si="57"/>
        <v>74.375674521243639</v>
      </c>
      <c r="J154" s="24">
        <f t="shared" si="58"/>
        <v>153.00232583158694</v>
      </c>
      <c r="K154" s="21">
        <v>24603845.010000002</v>
      </c>
      <c r="L154" s="21">
        <v>24480724.719999999</v>
      </c>
      <c r="M154" s="25">
        <f t="shared" si="59"/>
        <v>5.0292747215697148E-3</v>
      </c>
      <c r="N154" s="10"/>
      <c r="R154" s="2"/>
    </row>
    <row r="155" spans="1:18" ht="15.75" x14ac:dyDescent="0.25">
      <c r="A155" s="19"/>
      <c r="B155" s="20">
        <f>DATE(2023,10,1)</f>
        <v>45200</v>
      </c>
      <c r="C155" s="21">
        <v>303665</v>
      </c>
      <c r="D155" s="21">
        <v>353411</v>
      </c>
      <c r="E155" s="23">
        <f t="shared" si="55"/>
        <v>-0.14075962547855048</v>
      </c>
      <c r="F155" s="21">
        <f>+C155-155149</f>
        <v>148516</v>
      </c>
      <c r="G155" s="21">
        <f>+D155-182814</f>
        <v>170597</v>
      </c>
      <c r="H155" s="23">
        <f t="shared" si="56"/>
        <v>-0.12943369461362159</v>
      </c>
      <c r="I155" s="24">
        <f t="shared" si="57"/>
        <v>77.886254029934292</v>
      </c>
      <c r="J155" s="24">
        <f t="shared" si="58"/>
        <v>159.25105261385977</v>
      </c>
      <c r="K155" s="21">
        <v>23651329.329999998</v>
      </c>
      <c r="L155" s="21">
        <v>24469878.329999998</v>
      </c>
      <c r="M155" s="25">
        <f t="shared" si="59"/>
        <v>-3.3451290151960474E-2</v>
      </c>
      <c r="N155" s="10"/>
      <c r="R155" s="2"/>
    </row>
    <row r="156" spans="1:18" ht="15.75" x14ac:dyDescent="0.25">
      <c r="A156" s="19"/>
      <c r="B156" s="20">
        <f>DATE(2023,11,1)</f>
        <v>45231</v>
      </c>
      <c r="C156" s="21">
        <v>307303</v>
      </c>
      <c r="D156" s="21">
        <v>324947</v>
      </c>
      <c r="E156" s="23">
        <f t="shared" si="55"/>
        <v>-5.429808553394861E-2</v>
      </c>
      <c r="F156" s="21">
        <f>+C156-157952</f>
        <v>149351</v>
      </c>
      <c r="G156" s="21">
        <f>+D156-166237</f>
        <v>158710</v>
      </c>
      <c r="H156" s="23">
        <f t="shared" si="56"/>
        <v>-5.8969189087014054E-2</v>
      </c>
      <c r="I156" s="24">
        <f t="shared" si="57"/>
        <v>71.822158813939339</v>
      </c>
      <c r="J156" s="24">
        <f t="shared" si="58"/>
        <v>147.78049607970488</v>
      </c>
      <c r="K156" s="21">
        <v>22071164.870000001</v>
      </c>
      <c r="L156" s="21">
        <v>24161266.16</v>
      </c>
      <c r="M156" s="25">
        <f t="shared" si="59"/>
        <v>-8.6506281424118842E-2</v>
      </c>
      <c r="N156" s="10"/>
      <c r="R156" s="2"/>
    </row>
    <row r="157" spans="1:18" ht="15.75" x14ac:dyDescent="0.25">
      <c r="A157" s="19"/>
      <c r="B157" s="20">
        <f>DATE(2023,12,1)</f>
        <v>45261</v>
      </c>
      <c r="C157" s="21">
        <v>373967</v>
      </c>
      <c r="D157" s="21">
        <v>362717</v>
      </c>
      <c r="E157" s="23">
        <f t="shared" si="55"/>
        <v>3.1015915989600708E-2</v>
      </c>
      <c r="F157" s="21">
        <f>+C157-193643</f>
        <v>180324</v>
      </c>
      <c r="G157" s="21">
        <f>+D157-186399</f>
        <v>176318</v>
      </c>
      <c r="H157" s="23">
        <f t="shared" si="56"/>
        <v>2.2720312163250489E-2</v>
      </c>
      <c r="I157" s="24">
        <f t="shared" si="57"/>
        <v>71.061753229563038</v>
      </c>
      <c r="J157" s="24">
        <f t="shared" si="58"/>
        <v>147.37223370155942</v>
      </c>
      <c r="K157" s="21">
        <v>26574750.670000002</v>
      </c>
      <c r="L157" s="21">
        <v>25274658.52</v>
      </c>
      <c r="M157" s="25">
        <f t="shared" si="59"/>
        <v>5.1438564401225483E-2</v>
      </c>
      <c r="N157" s="10"/>
      <c r="R157" s="2"/>
    </row>
    <row r="158" spans="1:18" ht="15.75" x14ac:dyDescent="0.25">
      <c r="A158" s="19"/>
      <c r="B158" s="20">
        <f>DATE(2024,1,1)</f>
        <v>45292</v>
      </c>
      <c r="C158" s="21">
        <v>295457</v>
      </c>
      <c r="D158" s="21">
        <v>343820</v>
      </c>
      <c r="E158" s="23">
        <f t="shared" si="55"/>
        <v>-0.14066371938805189</v>
      </c>
      <c r="F158" s="21">
        <f>C158-151848</f>
        <v>143609</v>
      </c>
      <c r="G158" s="21">
        <f>D158-178333</f>
        <v>165487</v>
      </c>
      <c r="H158" s="23">
        <f>(+F158-G158)/G158</f>
        <v>-0.13220373805797433</v>
      </c>
      <c r="I158" s="24">
        <f>K158/C158</f>
        <v>72.961188023976419</v>
      </c>
      <c r="J158" s="24">
        <f>K158/F158</f>
        <v>150.10823646150311</v>
      </c>
      <c r="K158" s="21">
        <v>21556893.73</v>
      </c>
      <c r="L158" s="21">
        <v>24367687.640000001</v>
      </c>
      <c r="M158" s="25">
        <f t="shared" si="59"/>
        <v>-0.11534922605401553</v>
      </c>
      <c r="N158" s="10"/>
      <c r="R158" s="2"/>
    </row>
    <row r="159" spans="1:18" ht="15.75" x14ac:dyDescent="0.25">
      <c r="A159" s="19"/>
      <c r="B159" s="20">
        <f>DATE(2024,2,1)</f>
        <v>45323</v>
      </c>
      <c r="C159" s="21">
        <v>318500</v>
      </c>
      <c r="D159" s="21">
        <v>340975</v>
      </c>
      <c r="E159" s="23">
        <f t="shared" si="55"/>
        <v>-6.5913923308160427E-2</v>
      </c>
      <c r="F159" s="21">
        <f>+C159-164134</f>
        <v>154366</v>
      </c>
      <c r="G159" s="21">
        <f>+D159-179064</f>
        <v>161911</v>
      </c>
      <c r="H159" s="23">
        <f>(+F159-G159)/G159</f>
        <v>-4.6599675130164102E-2</v>
      </c>
      <c r="I159" s="24">
        <f>K159/C159</f>
        <v>75.15344825745683</v>
      </c>
      <c r="J159" s="24">
        <f>K159/F159</f>
        <v>155.0624701683013</v>
      </c>
      <c r="K159" s="21">
        <v>23936373.27</v>
      </c>
      <c r="L159" s="21">
        <v>25410016.34</v>
      </c>
      <c r="M159" s="25">
        <f t="shared" si="59"/>
        <v>-5.7994573883064268E-2</v>
      </c>
      <c r="N159" s="10"/>
      <c r="R159" s="2"/>
    </row>
    <row r="160" spans="1:18" ht="15.75" x14ac:dyDescent="0.25">
      <c r="A160" s="19"/>
      <c r="B160" s="20">
        <f>DATE(2024,3,1)</f>
        <v>45352</v>
      </c>
      <c r="C160" s="21">
        <v>351930</v>
      </c>
      <c r="D160" s="21">
        <v>357838</v>
      </c>
      <c r="E160" s="23">
        <f t="shared" si="55"/>
        <v>-1.6510264421330322E-2</v>
      </c>
      <c r="F160" s="21">
        <f>+C160-182716</f>
        <v>169214</v>
      </c>
      <c r="G160" s="21">
        <f>+D160-185528</f>
        <v>172310</v>
      </c>
      <c r="H160" s="23">
        <f>(+F160-G160)/G160</f>
        <v>-1.7967616505136091E-2</v>
      </c>
      <c r="I160" s="24">
        <f>K160/C160</f>
        <v>75.030651606853638</v>
      </c>
      <c r="J160" s="24">
        <f>K160/F160</f>
        <v>156.04818289266845</v>
      </c>
      <c r="K160" s="21">
        <v>26405537.219999999</v>
      </c>
      <c r="L160" s="21">
        <v>26828364.350000001</v>
      </c>
      <c r="M160" s="25">
        <f t="shared" si="59"/>
        <v>-1.576045130757301E-2</v>
      </c>
      <c r="N160" s="10"/>
      <c r="R160" s="2"/>
    </row>
    <row r="161" spans="1:18" ht="15.75" x14ac:dyDescent="0.25">
      <c r="A161" s="19"/>
      <c r="B161" s="20">
        <f>DATE(2024,4,1)</f>
        <v>45383</v>
      </c>
      <c r="C161" s="21">
        <v>314352</v>
      </c>
      <c r="D161" s="21">
        <v>334543</v>
      </c>
      <c r="E161" s="23">
        <f t="shared" si="55"/>
        <v>-6.0353975423189245E-2</v>
      </c>
      <c r="F161" s="21">
        <f>+C161-161576</f>
        <v>152776</v>
      </c>
      <c r="G161" s="21">
        <f>+D161-173829</f>
        <v>160714</v>
      </c>
      <c r="H161" s="23">
        <f>(+F161-G161)/G161</f>
        <v>-4.9392087808156106E-2</v>
      </c>
      <c r="I161" s="24">
        <f>K161/C161</f>
        <v>76.772601510408705</v>
      </c>
      <c r="J161" s="24">
        <f>K161/F161</f>
        <v>157.96735632560086</v>
      </c>
      <c r="K161" s="21">
        <v>24133620.829999998</v>
      </c>
      <c r="L161" s="21">
        <v>26635511.859999999</v>
      </c>
      <c r="M161" s="25">
        <f t="shared" si="59"/>
        <v>-9.3930653300386815E-2</v>
      </c>
      <c r="N161" s="10"/>
      <c r="R161" s="2"/>
    </row>
    <row r="162" spans="1:18" ht="15.75" thickBot="1" x14ac:dyDescent="0.25">
      <c r="A162" s="38"/>
      <c r="B162" s="45"/>
      <c r="C162" s="21"/>
      <c r="D162" s="21"/>
      <c r="E162" s="23"/>
      <c r="F162" s="21"/>
      <c r="G162" s="21"/>
      <c r="H162" s="23"/>
      <c r="I162" s="24"/>
      <c r="J162" s="24"/>
      <c r="K162" s="21"/>
      <c r="L162" s="21"/>
      <c r="M162" s="25"/>
      <c r="N162" s="10"/>
      <c r="R162" s="2"/>
    </row>
    <row r="163" spans="1:18" ht="17.25" thickTop="1" thickBot="1" x14ac:dyDescent="0.3">
      <c r="A163" s="39" t="s">
        <v>14</v>
      </c>
      <c r="B163" s="40"/>
      <c r="C163" s="41">
        <f>SUM(C152:C162)</f>
        <v>3263590</v>
      </c>
      <c r="D163" s="41">
        <f>SUM(D152:D162)</f>
        <v>3495284</v>
      </c>
      <c r="E163" s="280">
        <f>(+C163-D163)/D163</f>
        <v>-6.6287603525207114E-2</v>
      </c>
      <c r="F163" s="41">
        <f>SUM(F152:F162)</f>
        <v>1585672</v>
      </c>
      <c r="G163" s="41">
        <f>SUM(G152:G162)</f>
        <v>1693052</v>
      </c>
      <c r="H163" s="42">
        <f>(+F163-G163)/G163</f>
        <v>-6.342392318723819E-2</v>
      </c>
      <c r="I163" s="43">
        <f>K163/C163</f>
        <v>74.136369583801894</v>
      </c>
      <c r="J163" s="43">
        <f>K163/F163</f>
        <v>152.58560055925818</v>
      </c>
      <c r="K163" s="41">
        <f>SUM(K152:K162)</f>
        <v>241950714.41000003</v>
      </c>
      <c r="L163" s="41">
        <f>SUM(L152:L162)</f>
        <v>254947626.31</v>
      </c>
      <c r="M163" s="44">
        <f>(+K163-L163)/L163</f>
        <v>-5.0978752334789587E-2</v>
      </c>
      <c r="N163" s="10"/>
      <c r="R163" s="2"/>
    </row>
    <row r="164" spans="1:18" ht="15.75" customHeight="1" thickTop="1" x14ac:dyDescent="0.25">
      <c r="A164" s="19"/>
      <c r="B164" s="45"/>
      <c r="C164" s="21"/>
      <c r="D164" s="21"/>
      <c r="E164" s="23"/>
      <c r="F164" s="21"/>
      <c r="G164" s="21"/>
      <c r="H164" s="23"/>
      <c r="I164" s="24"/>
      <c r="J164" s="24"/>
      <c r="K164" s="21"/>
      <c r="L164" s="21"/>
      <c r="M164" s="25"/>
      <c r="N164" s="10"/>
      <c r="R164" s="2"/>
    </row>
    <row r="165" spans="1:18" ht="15.75" x14ac:dyDescent="0.25">
      <c r="A165" s="19" t="s">
        <v>56</v>
      </c>
      <c r="B165" s="20">
        <f>DATE(2023,7,1)</f>
        <v>45108</v>
      </c>
      <c r="C165" s="21">
        <v>66323</v>
      </c>
      <c r="D165" s="21">
        <v>68778</v>
      </c>
      <c r="E165" s="23">
        <f t="shared" ref="E165:E174" si="60">(+C165-D165)/D165</f>
        <v>-3.5694553490941874E-2</v>
      </c>
      <c r="F165" s="21">
        <f>+C165-28441</f>
        <v>37882</v>
      </c>
      <c r="G165" s="21">
        <f>+D165-29763</f>
        <v>39015</v>
      </c>
      <c r="H165" s="23">
        <f t="shared" ref="H165:H170" si="61">(+F165-G165)/G165</f>
        <v>-2.9040112777136997E-2</v>
      </c>
      <c r="I165" s="24">
        <f t="shared" ref="I165:I170" si="62">K165/C165</f>
        <v>58.975659575109688</v>
      </c>
      <c r="J165" s="24">
        <f t="shared" ref="J165:J170" si="63">K165/F165</f>
        <v>103.25333060556464</v>
      </c>
      <c r="K165" s="21">
        <v>3911442.67</v>
      </c>
      <c r="L165" s="21">
        <v>4137931.7</v>
      </c>
      <c r="M165" s="25">
        <f t="shared" ref="M165:M174" si="64">(+K165-L165)/L165</f>
        <v>-5.4734840113479941E-2</v>
      </c>
      <c r="N165" s="10"/>
      <c r="R165" s="2"/>
    </row>
    <row r="166" spans="1:18" ht="15.75" x14ac:dyDescent="0.25">
      <c r="A166" s="19"/>
      <c r="B166" s="20">
        <f>DATE(2023,8,1)</f>
        <v>45139</v>
      </c>
      <c r="C166" s="21">
        <v>63894</v>
      </c>
      <c r="D166" s="21">
        <v>61732</v>
      </c>
      <c r="E166" s="23">
        <f t="shared" si="60"/>
        <v>3.5022354694485842E-2</v>
      </c>
      <c r="F166" s="21">
        <f>+C166-27335</f>
        <v>36559</v>
      </c>
      <c r="G166" s="21">
        <f>+D166-26815</f>
        <v>34917</v>
      </c>
      <c r="H166" s="23">
        <f t="shared" si="61"/>
        <v>4.7025804049603347E-2</v>
      </c>
      <c r="I166" s="24">
        <f t="shared" si="62"/>
        <v>60.44767067330266</v>
      </c>
      <c r="J166" s="24">
        <f t="shared" si="63"/>
        <v>105.64412237752674</v>
      </c>
      <c r="K166" s="21">
        <v>3862243.47</v>
      </c>
      <c r="L166" s="21">
        <v>3659627.99</v>
      </c>
      <c r="M166" s="25">
        <f t="shared" si="64"/>
        <v>5.5365048183490355E-2</v>
      </c>
      <c r="N166" s="10"/>
      <c r="R166" s="2"/>
    </row>
    <row r="167" spans="1:18" ht="15.75" x14ac:dyDescent="0.25">
      <c r="A167" s="19"/>
      <c r="B167" s="20">
        <f>DATE(2023,9,1)</f>
        <v>45170</v>
      </c>
      <c r="C167" s="21">
        <v>61378</v>
      </c>
      <c r="D167" s="21">
        <v>62788</v>
      </c>
      <c r="E167" s="23">
        <f t="shared" si="60"/>
        <v>-2.245652035420781E-2</v>
      </c>
      <c r="F167" s="21">
        <f>+C167-26751</f>
        <v>34627</v>
      </c>
      <c r="G167" s="21">
        <f>+D167-27365</f>
        <v>35423</v>
      </c>
      <c r="H167" s="23">
        <f t="shared" si="61"/>
        <v>-2.2471275724811564E-2</v>
      </c>
      <c r="I167" s="24">
        <f t="shared" si="62"/>
        <v>60.955323568705403</v>
      </c>
      <c r="J167" s="24">
        <f t="shared" si="63"/>
        <v>108.04620238542178</v>
      </c>
      <c r="K167" s="21">
        <v>3741315.85</v>
      </c>
      <c r="L167" s="21">
        <v>3960660.61</v>
      </c>
      <c r="M167" s="25">
        <f t="shared" si="64"/>
        <v>-5.5380852236162639E-2</v>
      </c>
      <c r="N167" s="10"/>
      <c r="R167" s="2"/>
    </row>
    <row r="168" spans="1:18" ht="15.75" x14ac:dyDescent="0.25">
      <c r="A168" s="19"/>
      <c r="B168" s="20">
        <f>DATE(2023,10,1)</f>
        <v>45200</v>
      </c>
      <c r="C168" s="21">
        <v>57497</v>
      </c>
      <c r="D168" s="21">
        <v>62422</v>
      </c>
      <c r="E168" s="23">
        <f t="shared" si="60"/>
        <v>-7.889846528467527E-2</v>
      </c>
      <c r="F168" s="21">
        <f>+C168-24805</f>
        <v>32692</v>
      </c>
      <c r="G168" s="21">
        <f>+D168-27630</f>
        <v>34792</v>
      </c>
      <c r="H168" s="23">
        <f t="shared" si="61"/>
        <v>-6.0358703150149462E-2</v>
      </c>
      <c r="I168" s="24">
        <f t="shared" si="62"/>
        <v>61.609674591717827</v>
      </c>
      <c r="J168" s="24">
        <f t="shared" si="63"/>
        <v>108.35591153799095</v>
      </c>
      <c r="K168" s="21">
        <v>3542371.46</v>
      </c>
      <c r="L168" s="21">
        <v>3840534.87</v>
      </c>
      <c r="M168" s="25">
        <f t="shared" si="64"/>
        <v>-7.7635907521391712E-2</v>
      </c>
      <c r="N168" s="10"/>
      <c r="R168" s="2"/>
    </row>
    <row r="169" spans="1:18" ht="15.75" x14ac:dyDescent="0.25">
      <c r="A169" s="19"/>
      <c r="B169" s="20">
        <f>DATE(2023,11,1)</f>
        <v>45231</v>
      </c>
      <c r="C169" s="21">
        <v>57953</v>
      </c>
      <c r="D169" s="21">
        <v>58006</v>
      </c>
      <c r="E169" s="23">
        <f t="shared" si="60"/>
        <v>-9.1369858290521672E-4</v>
      </c>
      <c r="F169" s="21">
        <f>+C169-25146</f>
        <v>32807</v>
      </c>
      <c r="G169" s="21">
        <f>+D169-26107</f>
        <v>31899</v>
      </c>
      <c r="H169" s="23">
        <f t="shared" si="61"/>
        <v>2.8464842158061381E-2</v>
      </c>
      <c r="I169" s="24">
        <f t="shared" si="62"/>
        <v>62.883518023225719</v>
      </c>
      <c r="J169" s="24">
        <f t="shared" si="63"/>
        <v>111.08265065382388</v>
      </c>
      <c r="K169" s="21">
        <v>3644288.52</v>
      </c>
      <c r="L169" s="21">
        <v>3573473.44</v>
      </c>
      <c r="M169" s="25">
        <f t="shared" si="64"/>
        <v>1.9816875986071434E-2</v>
      </c>
      <c r="N169" s="10"/>
      <c r="R169" s="2"/>
    </row>
    <row r="170" spans="1:18" ht="15.75" x14ac:dyDescent="0.25">
      <c r="A170" s="19"/>
      <c r="B170" s="20">
        <f>DATE(2023,12,1)</f>
        <v>45261</v>
      </c>
      <c r="C170" s="21">
        <v>70244</v>
      </c>
      <c r="D170" s="21">
        <v>64256</v>
      </c>
      <c r="E170" s="23">
        <f t="shared" si="60"/>
        <v>9.3189741035856574E-2</v>
      </c>
      <c r="F170" s="21">
        <f>+C170-32047</f>
        <v>38197</v>
      </c>
      <c r="G170" s="21">
        <f>+D170-29013</f>
        <v>35243</v>
      </c>
      <c r="H170" s="23">
        <f t="shared" si="61"/>
        <v>8.381806316147887E-2</v>
      </c>
      <c r="I170" s="24">
        <f t="shared" si="62"/>
        <v>65.062498718751783</v>
      </c>
      <c r="J170" s="24">
        <f t="shared" si="63"/>
        <v>119.64945309841087</v>
      </c>
      <c r="K170" s="21">
        <v>4570250.16</v>
      </c>
      <c r="L170" s="21">
        <v>3934523.29</v>
      </c>
      <c r="M170" s="25">
        <f t="shared" si="64"/>
        <v>0.16157659343782918</v>
      </c>
      <c r="N170" s="10"/>
      <c r="R170" s="2"/>
    </row>
    <row r="171" spans="1:18" ht="15.75" x14ac:dyDescent="0.25">
      <c r="A171" s="19"/>
      <c r="B171" s="20">
        <f>DATE(2024,1,1)</f>
        <v>45292</v>
      </c>
      <c r="C171" s="21">
        <v>52821</v>
      </c>
      <c r="D171" s="21">
        <v>59434</v>
      </c>
      <c r="E171" s="23">
        <f t="shared" si="60"/>
        <v>-0.11126627856109297</v>
      </c>
      <c r="F171" s="21">
        <f>C171-23841</f>
        <v>28980</v>
      </c>
      <c r="G171" s="21">
        <f>D171-26887</f>
        <v>32547</v>
      </c>
      <c r="H171" s="23">
        <f>(+F171-G171)/G171</f>
        <v>-0.10959535441054476</v>
      </c>
      <c r="I171" s="24">
        <f>K171/C171</f>
        <v>63.002633990269018</v>
      </c>
      <c r="J171" s="24">
        <f>K171/F171</f>
        <v>114.83306176673568</v>
      </c>
      <c r="K171" s="21">
        <v>3327862.13</v>
      </c>
      <c r="L171" s="21">
        <v>3650361.77</v>
      </c>
      <c r="M171" s="25">
        <f t="shared" si="64"/>
        <v>-8.8347309203821764E-2</v>
      </c>
      <c r="N171" s="10"/>
      <c r="R171" s="2"/>
    </row>
    <row r="172" spans="1:18" ht="15.75" x14ac:dyDescent="0.25">
      <c r="A172" s="19"/>
      <c r="B172" s="20">
        <f>DATE(2024,2,1)</f>
        <v>45323</v>
      </c>
      <c r="C172" s="21">
        <v>65228</v>
      </c>
      <c r="D172" s="21">
        <v>65887</v>
      </c>
      <c r="E172" s="23">
        <f t="shared" si="60"/>
        <v>-1.0001973075113451E-2</v>
      </c>
      <c r="F172" s="21">
        <f>+C172-29615</f>
        <v>35613</v>
      </c>
      <c r="G172" s="21">
        <f>+D172-30047</f>
        <v>35840</v>
      </c>
      <c r="H172" s="23">
        <f>(+F172-G172)/G172</f>
        <v>-6.3337053571428572E-3</v>
      </c>
      <c r="I172" s="24">
        <f>K172/C172</f>
        <v>65.790728061568657</v>
      </c>
      <c r="J172" s="24">
        <f>K172/F172</f>
        <v>120.50087355740882</v>
      </c>
      <c r="K172" s="21">
        <v>4291397.6100000003</v>
      </c>
      <c r="L172" s="21">
        <v>4139675.33</v>
      </c>
      <c r="M172" s="25">
        <f t="shared" si="64"/>
        <v>3.6650767972183043E-2</v>
      </c>
      <c r="N172" s="10"/>
      <c r="R172" s="2"/>
    </row>
    <row r="173" spans="1:18" ht="15.75" x14ac:dyDescent="0.25">
      <c r="A173" s="19"/>
      <c r="B173" s="20">
        <f>DATE(2024,3,1)</f>
        <v>45352</v>
      </c>
      <c r="C173" s="21">
        <v>69209</v>
      </c>
      <c r="D173" s="21">
        <v>75208</v>
      </c>
      <c r="E173" s="23">
        <f t="shared" si="60"/>
        <v>-7.9765450483991071E-2</v>
      </c>
      <c r="F173" s="21">
        <f>+C173-31881</f>
        <v>37328</v>
      </c>
      <c r="G173" s="21">
        <f>+D173-34160</f>
        <v>41048</v>
      </c>
      <c r="H173" s="23">
        <f>(+F173-G173)/G173</f>
        <v>-9.0625609043071528E-2</v>
      </c>
      <c r="I173" s="24">
        <f>K173/C173</f>
        <v>64.325137771099136</v>
      </c>
      <c r="J173" s="24">
        <f>K173/F173</f>
        <v>119.26378214744963</v>
      </c>
      <c r="K173" s="21">
        <v>4451878.46</v>
      </c>
      <c r="L173" s="21">
        <v>4595749.3899999997</v>
      </c>
      <c r="M173" s="25">
        <f t="shared" si="64"/>
        <v>-3.1305216579705558E-2</v>
      </c>
      <c r="N173" s="10"/>
      <c r="R173" s="2"/>
    </row>
    <row r="174" spans="1:18" ht="15.75" x14ac:dyDescent="0.25">
      <c r="A174" s="19"/>
      <c r="B174" s="20">
        <f>DATE(2024,4,1)</f>
        <v>45383</v>
      </c>
      <c r="C174" s="21">
        <v>60627</v>
      </c>
      <c r="D174" s="21">
        <v>68880</v>
      </c>
      <c r="E174" s="23">
        <f t="shared" si="60"/>
        <v>-0.1198170731707317</v>
      </c>
      <c r="F174" s="21">
        <f>+C174-27481</f>
        <v>33146</v>
      </c>
      <c r="G174" s="21">
        <f>+D174-31217</f>
        <v>37663</v>
      </c>
      <c r="H174" s="23">
        <f>(+F174-G174)/G174</f>
        <v>-0.11993202878156281</v>
      </c>
      <c r="I174" s="24">
        <f>K174/C174</f>
        <v>66.274304517789105</v>
      </c>
      <c r="J174" s="24">
        <f>K174/F174</f>
        <v>121.22163337959331</v>
      </c>
      <c r="K174" s="21">
        <v>4018012.26</v>
      </c>
      <c r="L174" s="21">
        <v>4318639.58</v>
      </c>
      <c r="M174" s="25">
        <f t="shared" si="64"/>
        <v>-6.9611578931530166E-2</v>
      </c>
      <c r="N174" s="10"/>
      <c r="R174" s="2"/>
    </row>
    <row r="175" spans="1:18" ht="15.75" thickBot="1" x14ac:dyDescent="0.25">
      <c r="A175" s="38"/>
      <c r="B175" s="45"/>
      <c r="C175" s="21"/>
      <c r="D175" s="21"/>
      <c r="E175" s="23"/>
      <c r="F175" s="21"/>
      <c r="G175" s="21"/>
      <c r="H175" s="23"/>
      <c r="I175" s="24"/>
      <c r="J175" s="24"/>
      <c r="K175" s="21"/>
      <c r="L175" s="21"/>
      <c r="M175" s="25"/>
      <c r="N175" s="10"/>
      <c r="R175" s="2"/>
    </row>
    <row r="176" spans="1:18" ht="17.25" thickTop="1" thickBot="1" x14ac:dyDescent="0.3">
      <c r="A176" s="26" t="s">
        <v>14</v>
      </c>
      <c r="B176" s="27"/>
      <c r="C176" s="28">
        <f>SUM(C165:C175)</f>
        <v>625174</v>
      </c>
      <c r="D176" s="28">
        <f>SUM(D165:D175)</f>
        <v>647391</v>
      </c>
      <c r="E176" s="280">
        <f>(+C176-D176)/D176</f>
        <v>-3.431774615340652E-2</v>
      </c>
      <c r="F176" s="28">
        <f>SUM(F165:F175)</f>
        <v>347831</v>
      </c>
      <c r="G176" s="28">
        <f>SUM(G165:G175)</f>
        <v>358387</v>
      </c>
      <c r="H176" s="42">
        <f>(+F176-G176)/G176</f>
        <v>-2.9454193371969407E-2</v>
      </c>
      <c r="I176" s="43">
        <f>K176/C176</f>
        <v>62.960172032106257</v>
      </c>
      <c r="J176" s="43">
        <f>K176/F176</f>
        <v>113.16145654067635</v>
      </c>
      <c r="K176" s="28">
        <f>SUM(K165:K175)</f>
        <v>39361062.589999996</v>
      </c>
      <c r="L176" s="28">
        <f>SUM(L165:L175)</f>
        <v>39811177.969999999</v>
      </c>
      <c r="M176" s="44">
        <f>(+K176-L176)/L176</f>
        <v>-1.1306256256451151E-2</v>
      </c>
      <c r="N176" s="10"/>
      <c r="R176" s="2"/>
    </row>
    <row r="177" spans="1:18" ht="16.5" thickTop="1" thickBot="1" x14ac:dyDescent="0.25">
      <c r="A177" s="63"/>
      <c r="B177" s="34"/>
      <c r="C177" s="35"/>
      <c r="D177" s="35"/>
      <c r="E177" s="29"/>
      <c r="F177" s="35"/>
      <c r="G177" s="35"/>
      <c r="H177" s="29"/>
      <c r="I177" s="36"/>
      <c r="J177" s="36"/>
      <c r="K177" s="35"/>
      <c r="L177" s="35"/>
      <c r="M177" s="37"/>
      <c r="N177" s="10"/>
      <c r="R177" s="2"/>
    </row>
    <row r="178" spans="1:18" ht="17.25" thickTop="1" thickBot="1" x14ac:dyDescent="0.3">
      <c r="A178" s="64" t="s">
        <v>18</v>
      </c>
      <c r="B178" s="65"/>
      <c r="C178" s="28">
        <f>C176+C163+C72+C98+C111+C46+C20+C124+C137+C59+C150+C33+C85</f>
        <v>23554876</v>
      </c>
      <c r="D178" s="28">
        <f>D176+D163+D72+D98+D111+D46+D20+D124+D137+D59+D150+D33+D85</f>
        <v>24250015</v>
      </c>
      <c r="E178" s="279">
        <f>(+C178-D178)/D178</f>
        <v>-2.8665508041953787E-2</v>
      </c>
      <c r="F178" s="28">
        <f>F176+F163+F72+F98+F111+F46+F20+F124+F137+F59+F150+F33+F85</f>
        <v>12058675</v>
      </c>
      <c r="G178" s="28">
        <f>G176+G163+G72+G98+G111+G46+G20+G124+G137+G59+G150+G33+G85</f>
        <v>12312204</v>
      </c>
      <c r="H178" s="30">
        <f>(+F178-G178)/G178</f>
        <v>-2.0591682853857846E-2</v>
      </c>
      <c r="I178" s="31">
        <f>K178/C178</f>
        <v>66.80772167002705</v>
      </c>
      <c r="J178" s="31">
        <f>K178/F178</f>
        <v>130.4992132037724</v>
      </c>
      <c r="K178" s="28">
        <f>K176+K163+K72+K98+K111+K46+K20+K124+K137+K59+K150+K33+K85</f>
        <v>1573647599.7800002</v>
      </c>
      <c r="L178" s="28">
        <f>L176+L163+L72+L98+L111+L46+L20+L124+L137+L59+L150+L33+L85</f>
        <v>1604391740.3</v>
      </c>
      <c r="M178" s="32">
        <f>(+K178-L178)/L178</f>
        <v>-1.9162489900534513E-2</v>
      </c>
      <c r="N178" s="10"/>
      <c r="R178" s="2"/>
    </row>
    <row r="179" spans="1:18" ht="17.25" thickTop="1" thickBot="1" x14ac:dyDescent="0.3">
      <c r="A179" s="64"/>
      <c r="B179" s="65"/>
      <c r="C179" s="28"/>
      <c r="D179" s="28"/>
      <c r="E179" s="29"/>
      <c r="F179" s="28"/>
      <c r="G179" s="28"/>
      <c r="H179" s="30"/>
      <c r="I179" s="31"/>
      <c r="J179" s="31"/>
      <c r="K179" s="28"/>
      <c r="L179" s="28"/>
      <c r="M179" s="32"/>
      <c r="N179" s="10"/>
      <c r="R179" s="2"/>
    </row>
    <row r="180" spans="1:18" ht="17.25" thickTop="1" thickBot="1" x14ac:dyDescent="0.3">
      <c r="A180" s="64" t="s">
        <v>19</v>
      </c>
      <c r="B180" s="65"/>
      <c r="C180" s="28">
        <f>+C18+C31+C44+C57+C70+C83+C96+C109+C122+C135+C148+C161+C174</f>
        <v>2258434</v>
      </c>
      <c r="D180" s="28">
        <f>+D18+D31+D44+D57+D70+D83+D96+D109+D122+D135+D148+D161+D174</f>
        <v>2437748</v>
      </c>
      <c r="E180" s="279">
        <f>(+C180-D180)/D180</f>
        <v>-7.3557233971682054E-2</v>
      </c>
      <c r="F180" s="28">
        <f>+F18+F31+F44+F57+F70+F83+F96+F109+F122+F135+F148+F161+F174</f>
        <v>1157769</v>
      </c>
      <c r="G180" s="28">
        <f>+G18+G31+G44+G57+G70+G83+G96+G109+G122+G135+G148+G161+G174</f>
        <v>1233121</v>
      </c>
      <c r="H180" s="30">
        <f>(+F180-G180)/G180</f>
        <v>-6.110673648409199E-2</v>
      </c>
      <c r="I180" s="296">
        <f>K180/C180</f>
        <v>69.043703371451201</v>
      </c>
      <c r="J180" s="31">
        <f>K180/F180</f>
        <v>134.68200235107349</v>
      </c>
      <c r="K180" s="28">
        <f>+K18+K31+K44+K57+K70+K83+K96+K109+K122+K135+K148+K161+K174</f>
        <v>155930647.18000001</v>
      </c>
      <c r="L180" s="28">
        <f>+L18+L31+L44+L57+L70+L83+L96+L109+L122+L135+L148+L161+L174</f>
        <v>167082749.38000003</v>
      </c>
      <c r="M180" s="32">
        <f>(+K180-L180)/L180</f>
        <v>-6.674598210397259E-2</v>
      </c>
      <c r="N180" s="10"/>
      <c r="R180" s="2"/>
    </row>
    <row r="181" spans="1:18" ht="15.75" thickTop="1" x14ac:dyDescent="0.2">
      <c r="A181" s="66"/>
      <c r="B181" s="67"/>
      <c r="C181" s="68"/>
      <c r="D181" s="67"/>
      <c r="E181" s="67"/>
      <c r="F181" s="67"/>
      <c r="G181" s="67"/>
      <c r="H181" s="67"/>
      <c r="I181" s="67"/>
      <c r="J181" s="67"/>
      <c r="K181" s="68"/>
      <c r="L181" s="68"/>
      <c r="M181" s="67"/>
      <c r="R181" s="2"/>
    </row>
    <row r="182" spans="1:18" ht="18.75" x14ac:dyDescent="0.3">
      <c r="A182" s="264" t="s">
        <v>20</v>
      </c>
      <c r="B182" s="70"/>
      <c r="C182" s="71"/>
      <c r="D182" s="71"/>
      <c r="E182" s="71"/>
      <c r="F182" s="71"/>
      <c r="G182" s="71"/>
      <c r="H182" s="71"/>
      <c r="I182" s="71"/>
      <c r="J182" s="71"/>
      <c r="K182" s="198"/>
      <c r="L182" s="198"/>
      <c r="M182" s="71"/>
      <c r="N182" s="2"/>
      <c r="O182" s="2"/>
      <c r="P182" s="2"/>
      <c r="Q182" s="2"/>
      <c r="R182" s="2"/>
    </row>
    <row r="183" spans="1:18" ht="18" x14ac:dyDescent="0.25">
      <c r="A183" s="69"/>
      <c r="B183" s="70"/>
      <c r="C183" s="71"/>
      <c r="D183" s="71"/>
      <c r="E183" s="71"/>
      <c r="F183" s="71"/>
      <c r="G183" s="71"/>
      <c r="H183" s="71"/>
      <c r="I183" s="71"/>
      <c r="J183" s="71"/>
      <c r="K183" s="198"/>
      <c r="L183" s="198"/>
      <c r="M183" s="71"/>
      <c r="N183" s="2"/>
      <c r="O183" s="2"/>
      <c r="P183" s="2"/>
      <c r="Q183" s="2"/>
      <c r="R183" s="2"/>
    </row>
    <row r="184" spans="1:18" ht="15.75" x14ac:dyDescent="0.25">
      <c r="A184" s="72"/>
      <c r="B184" s="73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73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73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73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73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73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73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73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x14ac:dyDescent="0.2">
      <c r="A192" s="2"/>
      <c r="B192" s="73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73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4"/>
      <c r="N193" s="2"/>
      <c r="O193" s="2"/>
      <c r="P193" s="2"/>
      <c r="Q193" s="2"/>
      <c r="R193" s="2"/>
    </row>
    <row r="194" spans="1:18" x14ac:dyDescent="0.2">
      <c r="A194" s="2"/>
      <c r="B194" s="73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4"/>
      <c r="N194" s="2"/>
      <c r="O194" s="2"/>
      <c r="P194" s="2"/>
      <c r="Q194" s="2"/>
      <c r="R194" s="2"/>
    </row>
    <row r="195" spans="1:18" x14ac:dyDescent="0.2">
      <c r="A195" s="2"/>
      <c r="B195" s="70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4"/>
      <c r="N195" s="2"/>
      <c r="O195" s="2"/>
      <c r="P195" s="2"/>
      <c r="Q195" s="2"/>
      <c r="R195" s="2"/>
    </row>
    <row r="196" spans="1:18" ht="15.75" x14ac:dyDescent="0.25">
      <c r="A196" s="76"/>
      <c r="B196" s="70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ht="15.75" x14ac:dyDescent="0.25">
      <c r="A197" s="76"/>
      <c r="B197" s="70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ht="15.75" x14ac:dyDescent="0.25">
      <c r="A198" s="76"/>
      <c r="B198" s="70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70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ht="15.75" x14ac:dyDescent="0.25">
      <c r="A200" s="76"/>
      <c r="B200" s="73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73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73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77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77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77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77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77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77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77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77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77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ht="15.75" x14ac:dyDescent="0.25">
      <c r="A213" s="76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ht="15.75" x14ac:dyDescent="0.25">
      <c r="A216" s="76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ht="15.75" x14ac:dyDescent="0.25">
      <c r="A217" s="76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ht="15.75" x14ac:dyDescent="0.25">
      <c r="A218" s="76"/>
      <c r="B218" s="77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77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77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77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77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77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77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77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77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77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77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77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ht="15.75" x14ac:dyDescent="0.25">
      <c r="A231" s="76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ht="15.75" x14ac:dyDescent="0.25">
      <c r="A234" s="76"/>
      <c r="B234" s="77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77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77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ht="15.75" x14ac:dyDescent="0.25">
      <c r="A240" s="76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ht="15.75" x14ac:dyDescent="0.25">
      <c r="A243" s="76"/>
      <c r="B243" s="76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74"/>
      <c r="D288" s="74"/>
      <c r="E288" s="74"/>
      <c r="F288" s="74"/>
      <c r="G288" s="74"/>
      <c r="H288" s="74"/>
      <c r="I288" s="74"/>
      <c r="J288" s="74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74"/>
      <c r="D289" s="74"/>
      <c r="E289" s="74"/>
      <c r="F289" s="74"/>
      <c r="G289" s="74"/>
      <c r="H289" s="74"/>
      <c r="I289" s="74"/>
      <c r="J289" s="74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74"/>
      <c r="D290" s="74"/>
      <c r="E290" s="74"/>
      <c r="F290" s="74"/>
      <c r="G290" s="74"/>
      <c r="H290" s="74"/>
      <c r="I290" s="74"/>
      <c r="J290" s="74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74"/>
      <c r="D291" s="74"/>
      <c r="E291" s="74"/>
      <c r="F291" s="74"/>
      <c r="G291" s="74"/>
      <c r="H291" s="74"/>
      <c r="I291" s="74"/>
      <c r="J291" s="74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74"/>
      <c r="D292" s="74"/>
      <c r="E292" s="74"/>
      <c r="F292" s="74"/>
      <c r="G292" s="74"/>
      <c r="H292" s="74"/>
      <c r="I292" s="74"/>
      <c r="J292" s="74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74"/>
      <c r="D293" s="74"/>
      <c r="E293" s="74"/>
      <c r="F293" s="74"/>
      <c r="G293" s="74"/>
      <c r="H293" s="74"/>
      <c r="I293" s="74"/>
      <c r="J293" s="74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74"/>
      <c r="D294" s="74"/>
      <c r="E294" s="74"/>
      <c r="F294" s="74"/>
      <c r="G294" s="74"/>
      <c r="H294" s="74"/>
      <c r="I294" s="74"/>
      <c r="J294" s="74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74"/>
      <c r="D295" s="74"/>
      <c r="E295" s="74"/>
      <c r="F295" s="74"/>
      <c r="G295" s="74"/>
      <c r="H295" s="74"/>
      <c r="I295" s="74"/>
      <c r="J295" s="74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74"/>
      <c r="D296" s="74"/>
      <c r="E296" s="74"/>
      <c r="F296" s="74"/>
      <c r="G296" s="74"/>
      <c r="H296" s="74"/>
      <c r="I296" s="74"/>
      <c r="J296" s="74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74"/>
      <c r="D297" s="74"/>
      <c r="E297" s="74"/>
      <c r="F297" s="74"/>
      <c r="G297" s="74"/>
      <c r="H297" s="74"/>
      <c r="I297" s="74"/>
      <c r="J297" s="74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74"/>
      <c r="D298" s="74"/>
      <c r="E298" s="74"/>
      <c r="F298" s="74"/>
      <c r="G298" s="74"/>
      <c r="H298" s="74"/>
      <c r="I298" s="74"/>
      <c r="J298" s="74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74"/>
      <c r="D299" s="74"/>
      <c r="E299" s="74"/>
      <c r="F299" s="74"/>
      <c r="G299" s="74"/>
      <c r="H299" s="74"/>
      <c r="I299" s="74"/>
      <c r="J299" s="74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74"/>
      <c r="D300" s="74"/>
      <c r="E300" s="74"/>
      <c r="F300" s="74"/>
      <c r="G300" s="74"/>
      <c r="H300" s="74"/>
      <c r="I300" s="74"/>
      <c r="J300" s="74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74"/>
      <c r="D301" s="74"/>
      <c r="E301" s="74"/>
      <c r="F301" s="74"/>
      <c r="G301" s="74"/>
      <c r="H301" s="74"/>
      <c r="I301" s="74"/>
      <c r="J301" s="74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74"/>
      <c r="D302" s="74"/>
      <c r="E302" s="74"/>
      <c r="F302" s="74"/>
      <c r="G302" s="74"/>
      <c r="H302" s="74"/>
      <c r="I302" s="74"/>
      <c r="J302" s="74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74"/>
      <c r="D303" s="74"/>
      <c r="E303" s="74"/>
      <c r="F303" s="74"/>
      <c r="G303" s="74"/>
      <c r="H303" s="74"/>
      <c r="I303" s="74"/>
      <c r="J303" s="74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74"/>
      <c r="D304" s="74"/>
      <c r="E304" s="74"/>
      <c r="F304" s="74"/>
      <c r="G304" s="74"/>
      <c r="H304" s="74"/>
      <c r="I304" s="74"/>
      <c r="J304" s="74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74"/>
      <c r="D305" s="74"/>
      <c r="E305" s="74"/>
      <c r="F305" s="74"/>
      <c r="G305" s="74"/>
      <c r="H305" s="74"/>
      <c r="I305" s="74"/>
      <c r="J305" s="74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74"/>
      <c r="D306" s="74"/>
      <c r="E306" s="74"/>
      <c r="F306" s="74"/>
      <c r="G306" s="74"/>
      <c r="H306" s="74"/>
      <c r="I306" s="74"/>
      <c r="J306" s="74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74"/>
      <c r="D307" s="74"/>
      <c r="E307" s="74"/>
      <c r="F307" s="74"/>
      <c r="G307" s="74"/>
      <c r="H307" s="74"/>
      <c r="I307" s="74"/>
      <c r="J307" s="74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74"/>
      <c r="D308" s="74"/>
      <c r="E308" s="74"/>
      <c r="F308" s="74"/>
      <c r="G308" s="74"/>
      <c r="H308" s="74"/>
      <c r="I308" s="74"/>
      <c r="J308" s="74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74"/>
      <c r="D309" s="74"/>
      <c r="E309" s="74"/>
      <c r="F309" s="74"/>
      <c r="G309" s="74"/>
      <c r="H309" s="74"/>
      <c r="I309" s="74"/>
      <c r="J309" s="74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74"/>
      <c r="D310" s="74"/>
      <c r="E310" s="74"/>
      <c r="F310" s="74"/>
      <c r="G310" s="74"/>
      <c r="H310" s="74"/>
      <c r="I310" s="74"/>
      <c r="J310" s="74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74"/>
      <c r="D311" s="74"/>
      <c r="E311" s="74"/>
      <c r="F311" s="74"/>
      <c r="G311" s="74"/>
      <c r="H311" s="74"/>
      <c r="I311" s="74"/>
      <c r="J311" s="74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74"/>
      <c r="D312" s="74"/>
      <c r="E312" s="74"/>
      <c r="F312" s="74"/>
      <c r="G312" s="74"/>
      <c r="H312" s="74"/>
      <c r="I312" s="74"/>
      <c r="J312" s="74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74"/>
      <c r="D313" s="74"/>
      <c r="E313" s="74"/>
      <c r="F313" s="74"/>
      <c r="G313" s="74"/>
      <c r="H313" s="74"/>
      <c r="I313" s="74"/>
      <c r="J313" s="74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74"/>
      <c r="D314" s="74"/>
      <c r="E314" s="74"/>
      <c r="F314" s="74"/>
      <c r="G314" s="74"/>
      <c r="H314" s="74"/>
      <c r="I314" s="74"/>
      <c r="J314" s="74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74"/>
      <c r="D315" s="74"/>
      <c r="E315" s="74"/>
      <c r="F315" s="74"/>
      <c r="G315" s="74"/>
      <c r="H315" s="74"/>
      <c r="I315" s="74"/>
      <c r="J315" s="74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74"/>
      <c r="D316" s="74"/>
      <c r="E316" s="74"/>
      <c r="F316" s="74"/>
      <c r="G316" s="74"/>
      <c r="H316" s="74"/>
      <c r="I316" s="74"/>
      <c r="J316" s="74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74"/>
      <c r="D317" s="74"/>
      <c r="E317" s="74"/>
      <c r="F317" s="74"/>
      <c r="G317" s="74"/>
      <c r="H317" s="74"/>
      <c r="I317" s="74"/>
      <c r="J317" s="74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74"/>
      <c r="D318" s="74"/>
      <c r="E318" s="74"/>
      <c r="F318" s="74"/>
      <c r="G318" s="74"/>
      <c r="H318" s="74"/>
      <c r="I318" s="74"/>
      <c r="J318" s="74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74"/>
      <c r="D319" s="74"/>
      <c r="E319" s="74"/>
      <c r="F319" s="74"/>
      <c r="G319" s="74"/>
      <c r="H319" s="74"/>
      <c r="I319" s="74"/>
      <c r="J319" s="74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74"/>
      <c r="D320" s="74"/>
      <c r="E320" s="74"/>
      <c r="F320" s="74"/>
      <c r="G320" s="74"/>
      <c r="H320" s="74"/>
      <c r="I320" s="74"/>
      <c r="J320" s="74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74"/>
      <c r="D321" s="74"/>
      <c r="E321" s="74"/>
      <c r="F321" s="74"/>
      <c r="G321" s="74"/>
      <c r="H321" s="74"/>
      <c r="I321" s="74"/>
      <c r="J321" s="74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74"/>
      <c r="D322" s="74"/>
      <c r="E322" s="74"/>
      <c r="F322" s="74"/>
      <c r="G322" s="74"/>
      <c r="H322" s="74"/>
      <c r="I322" s="74"/>
      <c r="J322" s="74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74"/>
      <c r="D323" s="74"/>
      <c r="E323" s="74"/>
      <c r="F323" s="74"/>
      <c r="G323" s="74"/>
      <c r="H323" s="74"/>
      <c r="I323" s="74"/>
      <c r="J323" s="74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74"/>
      <c r="D324" s="74"/>
      <c r="E324" s="74"/>
      <c r="F324" s="74"/>
      <c r="G324" s="74"/>
      <c r="H324" s="74"/>
      <c r="I324" s="74"/>
      <c r="J324" s="74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74"/>
      <c r="D325" s="74"/>
      <c r="E325" s="74"/>
      <c r="F325" s="74"/>
      <c r="G325" s="74"/>
      <c r="H325" s="74"/>
      <c r="I325" s="74"/>
      <c r="J325" s="74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74"/>
      <c r="D326" s="74"/>
      <c r="E326" s="74"/>
      <c r="F326" s="74"/>
      <c r="G326" s="74"/>
      <c r="H326" s="74"/>
      <c r="I326" s="74"/>
      <c r="J326" s="74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2"/>
      <c r="L414" s="192"/>
      <c r="M414" s="75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2"/>
      <c r="L415" s="192"/>
      <c r="M415" s="75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2"/>
      <c r="L416" s="192"/>
      <c r="M416" s="75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2"/>
      <c r="L417" s="192"/>
      <c r="M417" s="75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2"/>
      <c r="L418" s="192"/>
      <c r="M418" s="75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2"/>
      <c r="L419" s="192"/>
      <c r="M419" s="75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2"/>
      <c r="L420" s="192"/>
      <c r="M420" s="75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2"/>
      <c r="L421" s="192"/>
      <c r="M421" s="75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2"/>
      <c r="L422" s="192"/>
      <c r="M422" s="75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2"/>
      <c r="L423" s="192"/>
      <c r="M423" s="75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2"/>
      <c r="L424" s="192"/>
      <c r="M424" s="75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2"/>
      <c r="L425" s="192"/>
      <c r="M425" s="75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2"/>
      <c r="L426" s="192"/>
      <c r="M426" s="75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2"/>
      <c r="L427" s="192"/>
      <c r="M427" s="75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2"/>
      <c r="L428" s="192"/>
      <c r="M428" s="75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2"/>
      <c r="L429" s="192"/>
      <c r="M429" s="75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2"/>
      <c r="L430" s="192"/>
      <c r="M430" s="75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2"/>
      <c r="L431" s="192"/>
      <c r="M431" s="75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2"/>
      <c r="L432" s="192"/>
      <c r="M432" s="75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2"/>
      <c r="L433" s="192"/>
      <c r="M433" s="75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2"/>
      <c r="L434" s="192"/>
      <c r="M434" s="75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2"/>
      <c r="L435" s="192"/>
      <c r="M435" s="75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2"/>
      <c r="L436" s="192"/>
      <c r="M436" s="75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2"/>
      <c r="L437" s="192"/>
      <c r="M437" s="75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2"/>
      <c r="L438" s="192"/>
      <c r="M438" s="75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2"/>
      <c r="L439" s="192"/>
      <c r="M439" s="75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2"/>
      <c r="L440" s="192"/>
      <c r="M440" s="75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2"/>
      <c r="L441" s="192"/>
      <c r="M441" s="75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2"/>
      <c r="L442" s="192"/>
      <c r="M442" s="75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2"/>
      <c r="L443" s="192"/>
      <c r="M443" s="75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2"/>
      <c r="L444" s="192"/>
      <c r="M444" s="75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2"/>
      <c r="L445" s="192"/>
      <c r="M445" s="75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2"/>
      <c r="L446" s="192"/>
      <c r="M446" s="75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2"/>
      <c r="L447" s="192"/>
      <c r="M447" s="75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2"/>
      <c r="L448" s="192"/>
      <c r="M448" s="75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2"/>
      <c r="L449" s="192"/>
      <c r="M449" s="75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2"/>
      <c r="L450" s="192"/>
      <c r="M450" s="75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2"/>
      <c r="L451" s="192"/>
      <c r="M451" s="75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2"/>
      <c r="L452" s="192"/>
      <c r="M452" s="75"/>
      <c r="N452" s="2"/>
      <c r="O452" s="2"/>
      <c r="P452" s="2"/>
      <c r="Q452" s="2"/>
      <c r="R452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6" max="12" man="1"/>
    <brk id="85" max="12" man="1"/>
    <brk id="124" max="12" man="1"/>
    <brk id="16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STATS'!$C$22*2</f>
        <v>229528</v>
      </c>
      <c r="D10" s="89">
        <f>'MONTHLY STATS'!$C$35*2</f>
        <v>124414</v>
      </c>
      <c r="E10" s="89">
        <f>'MONTHLY STATS'!$C$48*2</f>
        <v>703680</v>
      </c>
      <c r="F10" s="89">
        <f>'MONTHLY STATS'!$C$61*2</f>
        <v>399396</v>
      </c>
      <c r="G10" s="89">
        <f>'MONTHLY STATS'!$C$74*2</f>
        <v>188900</v>
      </c>
      <c r="H10" s="89">
        <f>'MONTHLY STATS'!$C$87*2</f>
        <v>438240</v>
      </c>
      <c r="I10" s="89">
        <f>'MONTHLY STATS'!$C$100*2</f>
        <v>455910</v>
      </c>
      <c r="J10" s="89">
        <f>'MONTHLY STATS'!$C$113*2</f>
        <v>524176</v>
      </c>
      <c r="K10" s="89">
        <f>'MONTHLY STATS'!$C$126*2</f>
        <v>745328</v>
      </c>
      <c r="L10" s="89">
        <f>'MONTHLY STATS'!$C$139*2</f>
        <v>86244</v>
      </c>
      <c r="M10" s="89">
        <f>'MONTHLY STATS'!$C$152*2</f>
        <v>682716</v>
      </c>
      <c r="N10" s="89">
        <f>'MONTHLY STATS'!$C$165*2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STATS'!$C$23*2</f>
        <v>206976</v>
      </c>
      <c r="D11" s="89">
        <f>'MONTHLY STATS'!$C$36*2</f>
        <v>111582</v>
      </c>
      <c r="E11" s="89">
        <f>'MONTHLY STATS'!$C$49*2</f>
        <v>661644</v>
      </c>
      <c r="F11" s="89">
        <f>'MONTHLY STATS'!$C$62*2</f>
        <v>371724</v>
      </c>
      <c r="G11" s="89">
        <f>'MONTHLY STATS'!$C$75*2</f>
        <v>171280</v>
      </c>
      <c r="H11" s="89">
        <f>'MONTHLY STATS'!$C$88*2</f>
        <v>436176</v>
      </c>
      <c r="I11" s="89">
        <f>'MONTHLY STATS'!$C$101*2</f>
        <v>427886</v>
      </c>
      <c r="J11" s="89">
        <f>'MONTHLY STATS'!$C$114*2</f>
        <v>478446</v>
      </c>
      <c r="K11" s="89">
        <f>'MONTHLY STATS'!$C$127*2</f>
        <v>685290</v>
      </c>
      <c r="L11" s="89">
        <f>'MONTHLY STATS'!$C$140*2</f>
        <v>77588</v>
      </c>
      <c r="M11" s="89">
        <f>'MONTHLY STATS'!$C$153*2</f>
        <v>652506</v>
      </c>
      <c r="N11" s="89">
        <f>'MONTHLY STATS'!$C$166*2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370982</v>
      </c>
      <c r="C12" s="89">
        <f>'MONTHLY STATS'!$C$24*2</f>
        <v>200608</v>
      </c>
      <c r="D12" s="89">
        <f>'MONTHLY STATS'!$C$37*2</f>
        <v>113374</v>
      </c>
      <c r="E12" s="89">
        <f>'MONTHLY STATS'!$C$50*2</f>
        <v>633924</v>
      </c>
      <c r="F12" s="89">
        <f>'MONTHLY STATS'!$C$63*2</f>
        <v>375262</v>
      </c>
      <c r="G12" s="89">
        <f>'MONTHLY STATS'!$C$76*2</f>
        <v>170280</v>
      </c>
      <c r="H12" s="89">
        <f>'MONTHLY STATS'!$C$89*2</f>
        <v>483586</v>
      </c>
      <c r="I12" s="89">
        <f>'MONTHLY STATS'!$C$102*2</f>
        <v>421612</v>
      </c>
      <c r="J12" s="89">
        <f>'MONTHLY STATS'!$C$115*2</f>
        <v>496626</v>
      </c>
      <c r="K12" s="89">
        <f>'MONTHLY STATS'!$C$128*2</f>
        <v>681256</v>
      </c>
      <c r="L12" s="89">
        <f>'MONTHLY STATS'!$C$141*2</f>
        <v>78048</v>
      </c>
      <c r="M12" s="89">
        <f>'MONTHLY STATS'!$C$154*2</f>
        <v>661610</v>
      </c>
      <c r="N12" s="89">
        <f>'MONTHLY STATS'!$C$167*2</f>
        <v>122756</v>
      </c>
      <c r="O12" s="90">
        <f t="shared" si="0"/>
        <v>4809924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338300</v>
      </c>
      <c r="C13" s="89">
        <f>'MONTHLY STATS'!$C$25*2</f>
        <v>186356</v>
      </c>
      <c r="D13" s="89">
        <f>'MONTHLY STATS'!$C$38*2</f>
        <v>100636</v>
      </c>
      <c r="E13" s="89">
        <f>'MONTHLY STATS'!$C$51*2</f>
        <v>577604</v>
      </c>
      <c r="F13" s="89">
        <f>'MONTHLY STATS'!$C$64*2</f>
        <v>367450</v>
      </c>
      <c r="G13" s="89">
        <f>'MONTHLY STATS'!$C$77*2</f>
        <v>156624</v>
      </c>
      <c r="H13" s="89">
        <f>'MONTHLY STATS'!$C$90*2</f>
        <v>490124</v>
      </c>
      <c r="I13" s="89">
        <f>'MONTHLY STATS'!$C$103*2</f>
        <v>384400</v>
      </c>
      <c r="J13" s="89">
        <f>'MONTHLY STATS'!$C$116*2</f>
        <v>455924</v>
      </c>
      <c r="K13" s="89">
        <f>'MONTHLY STATS'!$C$129*2</f>
        <v>656872</v>
      </c>
      <c r="L13" s="89">
        <f>'MONTHLY STATS'!$C$142*2</f>
        <v>79152</v>
      </c>
      <c r="M13" s="89">
        <f>'MONTHLY STATS'!$C$155*2</f>
        <v>607330</v>
      </c>
      <c r="N13" s="89">
        <f>'MONTHLY STATS'!$C$168*2</f>
        <v>114994</v>
      </c>
      <c r="O13" s="90">
        <f t="shared" si="0"/>
        <v>4515766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STATS'!$C$26*2</f>
        <v>178640</v>
      </c>
      <c r="D14" s="89">
        <f>'MONTHLY STATS'!$C$39*2</f>
        <v>100526</v>
      </c>
      <c r="E14" s="89">
        <f>'MONTHLY STATS'!$C$52*2</f>
        <v>577830</v>
      </c>
      <c r="F14" s="89">
        <f>'MONTHLY STATS'!$C$65*2</f>
        <v>336434</v>
      </c>
      <c r="G14" s="89">
        <f>'MONTHLY STATS'!$C$78*2</f>
        <v>153312</v>
      </c>
      <c r="H14" s="89">
        <f>'MONTHLY STATS'!$C$91*2</f>
        <v>470798</v>
      </c>
      <c r="I14" s="89">
        <f>'MONTHLY STATS'!$C$104*2</f>
        <v>394122</v>
      </c>
      <c r="J14" s="89">
        <f>'MONTHLY STATS'!$C$117*2</f>
        <v>448550</v>
      </c>
      <c r="K14" s="89">
        <f>'MONTHLY STATS'!$C$130*2</f>
        <v>679836</v>
      </c>
      <c r="L14" s="89">
        <f>'MONTHLY STATS'!$C$143*2</f>
        <v>77840</v>
      </c>
      <c r="M14" s="89">
        <f>'MONTHLY STATS'!$C$156*2</f>
        <v>614606</v>
      </c>
      <c r="N14" s="89">
        <f>'MONTHLY STATS'!$C$169*2</f>
        <v>115906</v>
      </c>
      <c r="O14" s="90">
        <f t="shared" si="0"/>
        <v>4500550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409404</v>
      </c>
      <c r="C15" s="89">
        <f>'MONTHLY STATS'!$C$27*2</f>
        <v>206564</v>
      </c>
      <c r="D15" s="89">
        <f>'MONTHLY STATS'!$C$40*2</f>
        <v>112680</v>
      </c>
      <c r="E15" s="89">
        <f>'MONTHLY STATS'!$C$53*2</f>
        <v>629486</v>
      </c>
      <c r="F15" s="89">
        <f>'MONTHLY STATS'!$C$66*2</f>
        <v>404448</v>
      </c>
      <c r="G15" s="89">
        <f>'MONTHLY STATS'!$C$79*2</f>
        <v>193580</v>
      </c>
      <c r="H15" s="89">
        <f>'MONTHLY STATS'!$C$92*2</f>
        <v>478824</v>
      </c>
      <c r="I15" s="89">
        <f>'MONTHLY STATS'!$C$105*2</f>
        <v>445790</v>
      </c>
      <c r="J15" s="89">
        <f>'MONTHLY STATS'!$C$118*2</f>
        <v>540324</v>
      </c>
      <c r="K15" s="89">
        <f>'MONTHLY STATS'!$C$131*2</f>
        <v>721190</v>
      </c>
      <c r="L15" s="89">
        <f>'MONTHLY STATS'!$C$144*2</f>
        <v>79872</v>
      </c>
      <c r="M15" s="89">
        <f>'MONTHLY STATS'!$C$157*2</f>
        <v>747934</v>
      </c>
      <c r="N15" s="89">
        <f>'MONTHLY STATS'!$C$170*2</f>
        <v>140488</v>
      </c>
      <c r="O15" s="90">
        <f t="shared" si="0"/>
        <v>5110584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317664</v>
      </c>
      <c r="C16" s="89">
        <f>'MONTHLY STATS'!$C$28*2</f>
        <v>158782</v>
      </c>
      <c r="D16" s="89">
        <f>'MONTHLY STATS'!$C$41*2</f>
        <v>89280</v>
      </c>
      <c r="E16" s="89">
        <f>'MONTHLY STATS'!$C$54*2</f>
        <v>519646</v>
      </c>
      <c r="F16" s="89">
        <f>'MONTHLY STATS'!$C$67*2</f>
        <v>292266</v>
      </c>
      <c r="G16" s="89">
        <f>'MONTHLY STATS'!$C$80*2</f>
        <v>148668</v>
      </c>
      <c r="H16" s="89">
        <f>'MONTHLY STATS'!$C$93*2</f>
        <v>372704</v>
      </c>
      <c r="I16" s="89">
        <f>'MONTHLY STATS'!$C$106*2</f>
        <v>344018</v>
      </c>
      <c r="J16" s="89">
        <f>'MONTHLY STATS'!$C$119*2</f>
        <v>396628</v>
      </c>
      <c r="K16" s="89">
        <f>'MONTHLY STATS'!$C$132*2</f>
        <v>609944</v>
      </c>
      <c r="L16" s="89">
        <f>'MONTHLY STATS'!$C$145*2</f>
        <v>56846</v>
      </c>
      <c r="M16" s="89">
        <f>'MONTHLY STATS'!$C$158*2</f>
        <v>590914</v>
      </c>
      <c r="N16" s="89">
        <f>'MONTHLY STATS'!$C$171*2</f>
        <v>105642</v>
      </c>
      <c r="O16" s="90">
        <f>SUM(B16:N16)</f>
        <v>4003002</v>
      </c>
      <c r="P16" s="83"/>
    </row>
    <row r="17" spans="1:16" ht="15.75" x14ac:dyDescent="0.25">
      <c r="A17" s="88">
        <f>DATE(2024,2,1)</f>
        <v>45323</v>
      </c>
      <c r="B17" s="89">
        <f>'MONTHLY STATS'!$C$16*2</f>
        <v>371406</v>
      </c>
      <c r="C17" s="89">
        <f>'MONTHLY STATS'!$C$29*2</f>
        <v>197702</v>
      </c>
      <c r="D17" s="89">
        <f>'MONTHLY STATS'!$C$42*2</f>
        <v>113604</v>
      </c>
      <c r="E17" s="89">
        <f>'MONTHLY STATS'!$C$55*2</f>
        <v>614936</v>
      </c>
      <c r="F17" s="89">
        <f>'MONTHLY STATS'!$C$68*2</f>
        <v>354040</v>
      </c>
      <c r="G17" s="89">
        <f>'MONTHLY STATS'!$C$81*2</f>
        <v>171910</v>
      </c>
      <c r="H17" s="89">
        <f>'MONTHLY STATS'!$C$94*2</f>
        <v>426790</v>
      </c>
      <c r="I17" s="89">
        <f>'MONTHLY STATS'!$C$107*2</f>
        <v>370338</v>
      </c>
      <c r="J17" s="89">
        <f>'MONTHLY STATS'!$C$120*2</f>
        <v>493442</v>
      </c>
      <c r="K17" s="89">
        <f>'MONTHLY STATS'!$C$133*2</f>
        <v>670384</v>
      </c>
      <c r="L17" s="89">
        <f>'MONTHLY STATS'!$C$146*2</f>
        <v>78888</v>
      </c>
      <c r="M17" s="89">
        <f>'MONTHLY STATS'!$C$159*2</f>
        <v>637000</v>
      </c>
      <c r="N17" s="89">
        <f>'MONTHLY STATS'!$C$172*2</f>
        <v>130456</v>
      </c>
      <c r="O17" s="90">
        <f>SUM(B17:N17)</f>
        <v>4630896</v>
      </c>
      <c r="P17" s="83"/>
    </row>
    <row r="18" spans="1:16" ht="15.75" x14ac:dyDescent="0.25">
      <c r="A18" s="88">
        <f>DATE(2024,3,1)</f>
        <v>45352</v>
      </c>
      <c r="B18" s="89">
        <f>'MONTHLY STATS'!$C$17*2</f>
        <v>419118</v>
      </c>
      <c r="C18" s="89">
        <f>'MONTHLY STATS'!$C$30*2</f>
        <v>215118</v>
      </c>
      <c r="D18" s="89">
        <f>'MONTHLY STATS'!$C$43*2</f>
        <v>128116</v>
      </c>
      <c r="E18" s="89">
        <f>'MONTHLY STATS'!$C$56*2</f>
        <v>650448</v>
      </c>
      <c r="F18" s="89">
        <f>'MONTHLY STATS'!$C$69*2</f>
        <v>411976</v>
      </c>
      <c r="G18" s="89">
        <f>'MONTHLY STATS'!$C$82*2</f>
        <v>203808</v>
      </c>
      <c r="H18" s="89">
        <f>'MONTHLY STATS'!$C$95*2</f>
        <v>486086</v>
      </c>
      <c r="I18" s="89">
        <f>'MONTHLY STATS'!$C$108*2</f>
        <v>422942</v>
      </c>
      <c r="J18" s="89">
        <f>'MONTHLY STATS'!$C$121*2</f>
        <v>546864</v>
      </c>
      <c r="K18" s="89">
        <f>'MONTHLY STATS'!$C$134*2</f>
        <v>715334</v>
      </c>
      <c r="L18" s="89">
        <f>'MONTHLY STATS'!$C$147*2</f>
        <v>90896</v>
      </c>
      <c r="M18" s="89">
        <f>'MONTHLY STATS'!$C$160*2</f>
        <v>703860</v>
      </c>
      <c r="N18" s="89">
        <f>'MONTHLY STATS'!$C$173*2</f>
        <v>138418</v>
      </c>
      <c r="O18" s="90">
        <f>SUM(B18:N18)</f>
        <v>5132984</v>
      </c>
      <c r="P18" s="83"/>
    </row>
    <row r="19" spans="1:16" ht="15.75" x14ac:dyDescent="0.25">
      <c r="A19" s="88">
        <f>DATE(2024,4,1)</f>
        <v>45383</v>
      </c>
      <c r="B19" s="89">
        <f>'MONTHLY STATS'!$C$18*2</f>
        <v>355626</v>
      </c>
      <c r="C19" s="89">
        <f>'MONTHLY STATS'!$C$31*2</f>
        <v>181934</v>
      </c>
      <c r="D19" s="89">
        <f>'MONTHLY STATS'!$C$44*2</f>
        <v>109624</v>
      </c>
      <c r="E19" s="89">
        <f>'MONTHLY STATS'!$C$57*2</f>
        <v>563966</v>
      </c>
      <c r="F19" s="89">
        <f>'MONTHLY STATS'!$C$70*2</f>
        <v>329674</v>
      </c>
      <c r="G19" s="89">
        <f>'MONTHLY STATS'!$C$83*2</f>
        <v>194842</v>
      </c>
      <c r="H19" s="89">
        <f>'MONTHLY STATS'!$C$96*2</f>
        <v>442430</v>
      </c>
      <c r="I19" s="89">
        <f>'MONTHLY STATS'!$C$109*2</f>
        <v>379056</v>
      </c>
      <c r="J19" s="89">
        <f>'MONTHLY STATS'!$C$122*2</f>
        <v>469518</v>
      </c>
      <c r="K19" s="89">
        <f>'MONTHLY STATS'!$C$135*2</f>
        <v>663200</v>
      </c>
      <c r="L19" s="89">
        <f>'MONTHLY STATS'!$C$148*2</f>
        <v>77040</v>
      </c>
      <c r="M19" s="89">
        <f>'MONTHLY STATS'!$C$161*2</f>
        <v>628704</v>
      </c>
      <c r="N19" s="89">
        <f>'MONTHLY STATS'!$C$174*2</f>
        <v>121254</v>
      </c>
      <c r="O19" s="90">
        <f>SUM(B19:N19)</f>
        <v>4516868</v>
      </c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3703764</v>
      </c>
      <c r="C23" s="90">
        <f t="shared" si="1"/>
        <v>1962208</v>
      </c>
      <c r="D23" s="90">
        <f t="shared" si="1"/>
        <v>1103836</v>
      </c>
      <c r="E23" s="90">
        <f t="shared" si="1"/>
        <v>6133164</v>
      </c>
      <c r="F23" s="90">
        <f t="shared" si="1"/>
        <v>3642670</v>
      </c>
      <c r="G23" s="90">
        <f>SUM(G10:G21)</f>
        <v>1753204</v>
      </c>
      <c r="H23" s="90">
        <f t="shared" si="1"/>
        <v>4525758</v>
      </c>
      <c r="I23" s="90">
        <f>SUM(I10:I21)</f>
        <v>4046074</v>
      </c>
      <c r="J23" s="90">
        <f t="shared" si="1"/>
        <v>4850498</v>
      </c>
      <c r="K23" s="90">
        <f>SUM(K10:K21)</f>
        <v>6828634</v>
      </c>
      <c r="L23" s="90">
        <f t="shared" si="1"/>
        <v>782414</v>
      </c>
      <c r="M23" s="90">
        <f t="shared" si="1"/>
        <v>6527180</v>
      </c>
      <c r="N23" s="90">
        <f t="shared" si="1"/>
        <v>1250348</v>
      </c>
      <c r="O23" s="90">
        <f t="shared" si="1"/>
        <v>47109752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STATS'!$K$22*0.21</f>
        <v>1719921.4872000001</v>
      </c>
      <c r="D31" s="89">
        <f>'MONTHLY STATS'!$K$35*0.21</f>
        <v>817934.35290000006</v>
      </c>
      <c r="E31" s="89">
        <f>'MONTHLY STATS'!$K$48*0.21</f>
        <v>4674535.0217999993</v>
      </c>
      <c r="F31" s="89">
        <f>'MONTHLY STATS'!$K$61*0.21</f>
        <v>3228902.0589000001</v>
      </c>
      <c r="G31" s="89">
        <f>'MONTHLY STATS'!$K$74*0.21</f>
        <v>1319580.5342999999</v>
      </c>
      <c r="H31" s="89">
        <f>'MONTHLY STATS'!$K$87*0.21</f>
        <v>2268943.7148000002</v>
      </c>
      <c r="I31" s="89">
        <f>'MONTHLY STATS'!$K$100*0.21</f>
        <v>2947257.6987000001</v>
      </c>
      <c r="J31" s="89">
        <f>'MONTHLY STATS'!$K$113*0.21</f>
        <v>3704387.8221</v>
      </c>
      <c r="K31" s="89">
        <f>'MONTHLY STATS'!$K$126*0.21</f>
        <v>4669398.8481000001</v>
      </c>
      <c r="L31" s="89">
        <f>'MONTHLY STATS'!$K$139*0.21</f>
        <v>667459.5858</v>
      </c>
      <c r="M31" s="89">
        <f>'MONTHLY STATS'!$K$152*0.21</f>
        <v>5390929.9101</v>
      </c>
      <c r="N31" s="89">
        <f>'MONTHLY STATS'!$K$165*0.21</f>
        <v>821402.96069999994</v>
      </c>
      <c r="O31" s="90">
        <f t="shared" ref="O31:O36" si="2">SUM(B31:N31)</f>
        <v>35376870.064199999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STATS'!$K$23*0.21</f>
        <v>1570446.5763000001</v>
      </c>
      <c r="D32" s="89">
        <f>'MONTHLY STATS'!$K$36*0.21</f>
        <v>789048.26909999992</v>
      </c>
      <c r="E32" s="89">
        <f>'MONTHLY STATS'!$K$49*0.21</f>
        <v>4190646.3227999997</v>
      </c>
      <c r="F32" s="89">
        <f>'MONTHLY STATS'!$K$62*0.21</f>
        <v>2955351.3128999998</v>
      </c>
      <c r="G32" s="89">
        <f>'MONTHLY STATS'!$K$75*0.21</f>
        <v>1258922.0027999999</v>
      </c>
      <c r="H32" s="89">
        <f>'MONTHLY STATS'!$K$88*0.21</f>
        <v>2283147.1698000003</v>
      </c>
      <c r="I32" s="89">
        <f>'MONTHLY STATS'!$K$101*0.21</f>
        <v>2743960.2875999999</v>
      </c>
      <c r="J32" s="89">
        <f>'MONTHLY STATS'!$K$114*0.21</f>
        <v>3431592.2823000001</v>
      </c>
      <c r="K32" s="89">
        <f>'MONTHLY STATS'!$K$127*0.21</f>
        <v>4328763.0539999995</v>
      </c>
      <c r="L32" s="89">
        <f>'MONTHLY STATS'!$K$140*0.21</f>
        <v>603333.93329999992</v>
      </c>
      <c r="M32" s="89">
        <f>'MONTHLY STATS'!$K$153*0.21</f>
        <v>4902681.9807000002</v>
      </c>
      <c r="N32" s="89">
        <f>'MONTHLY STATS'!$K$166*0.21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STATS'!$K$24*0.21</f>
        <v>1512998.6402999999</v>
      </c>
      <c r="D33" s="89">
        <f>'MONTHLY STATS'!$K$37*0.21</f>
        <v>844931.44259999995</v>
      </c>
      <c r="E33" s="89">
        <f>'MONTHLY STATS'!$K$50*0.21</f>
        <v>4303547.5833000001</v>
      </c>
      <c r="F33" s="89">
        <f>'MONTHLY STATS'!$K$63*0.21</f>
        <v>2904963.7407</v>
      </c>
      <c r="G33" s="89">
        <f>'MONTHLY STATS'!$K$76*0.21</f>
        <v>1096871.5023000001</v>
      </c>
      <c r="H33" s="89">
        <f>'MONTHLY STATS'!$K$89*0.21</f>
        <v>2467416.0587999998</v>
      </c>
      <c r="I33" s="89">
        <f>'MONTHLY STATS'!$K$102*0.21</f>
        <v>2863533.4391999999</v>
      </c>
      <c r="J33" s="89">
        <f>'MONTHLY STATS'!$K$115*0.21</f>
        <v>3539927.4372</v>
      </c>
      <c r="K33" s="89">
        <f>'MONTHLY STATS'!$K$128*0.21</f>
        <v>4523369.9385000002</v>
      </c>
      <c r="L33" s="89">
        <f>'MONTHLY STATS'!$K$141*0.21</f>
        <v>603992.21609999996</v>
      </c>
      <c r="M33" s="89">
        <f>'MONTHLY STATS'!$K$154*0.21</f>
        <v>5166807.4521000003</v>
      </c>
      <c r="N33" s="89">
        <f>'MONTHLY STATS'!$K$167*0.21</f>
        <v>785676.32849999995</v>
      </c>
      <c r="O33" s="90">
        <f t="shared" si="2"/>
        <v>33298697.867399994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STATS'!$K$25*0.21</f>
        <v>1371526.7223</v>
      </c>
      <c r="D34" s="89">
        <f>'MONTHLY STATS'!$K$38*0.21</f>
        <v>777349.62899999996</v>
      </c>
      <c r="E34" s="89">
        <f>'MONTHLY STATS'!$K$51*0.21</f>
        <v>4064615.5997999995</v>
      </c>
      <c r="F34" s="89">
        <f>'MONTHLY STATS'!$K$64*0.21</f>
        <v>2814623.5781999999</v>
      </c>
      <c r="G34" s="89">
        <f>'MONTHLY STATS'!$K$77*0.21</f>
        <v>1101098.6049000002</v>
      </c>
      <c r="H34" s="89">
        <f>'MONTHLY STATS'!$K$90*0.21</f>
        <v>2466193.7201999999</v>
      </c>
      <c r="I34" s="89">
        <f>'MONTHLY STATS'!$K$103*0.21</f>
        <v>2430873.3078000001</v>
      </c>
      <c r="J34" s="89">
        <f>'MONTHLY STATS'!$K$116*0.21</f>
        <v>3345843.1041000001</v>
      </c>
      <c r="K34" s="89">
        <f>'MONTHLY STATS'!$K$129*0.21</f>
        <v>4094721.8969999999</v>
      </c>
      <c r="L34" s="89">
        <f>'MONTHLY STATS'!$K$142*0.21</f>
        <v>648912.18629999994</v>
      </c>
      <c r="M34" s="89">
        <f>'MONTHLY STATS'!$K$155*0.21</f>
        <v>4966779.1592999995</v>
      </c>
      <c r="N34" s="89">
        <f>'MONTHLY STATS'!$K$168*0.21</f>
        <v>743898.00659999996</v>
      </c>
      <c r="O34" s="90">
        <f t="shared" si="2"/>
        <v>31527468.172199998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STATS'!$K$26*0.21</f>
        <v>1426649.6768999998</v>
      </c>
      <c r="D35" s="89">
        <f>'MONTHLY STATS'!$K$39*0.21</f>
        <v>752210.83349999995</v>
      </c>
      <c r="E35" s="89">
        <f>'MONTHLY STATS'!$K$52*0.21</f>
        <v>4139318.5617</v>
      </c>
      <c r="F35" s="89">
        <f>'MONTHLY STATS'!$K$65*0.21</f>
        <v>2664497.5496999999</v>
      </c>
      <c r="G35" s="89">
        <f>'MONTHLY STATS'!$K$78*0.21</f>
        <v>1095222.4668000001</v>
      </c>
      <c r="H35" s="89">
        <f>'MONTHLY STATS'!$K$91*0.21</f>
        <v>2433806.1908999998</v>
      </c>
      <c r="I35" s="89">
        <f>'MONTHLY STATS'!$K$104*0.21</f>
        <v>2525556.2976000002</v>
      </c>
      <c r="J35" s="89">
        <f>'MONTHLY STATS'!$K$117*0.21</f>
        <v>3087729.1641000002</v>
      </c>
      <c r="K35" s="89">
        <f>'MONTHLY STATS'!$K$130*0.21</f>
        <v>4242167.8067999994</v>
      </c>
      <c r="L35" s="89">
        <f>'MONTHLY STATS'!$K$143*0.21</f>
        <v>579577.9584</v>
      </c>
      <c r="M35" s="89">
        <f>'MONTHLY STATS'!$K$156*0.21</f>
        <v>4634944.6227000002</v>
      </c>
      <c r="N35" s="89">
        <f>'MONTHLY STATS'!$K$169*0.21</f>
        <v>765300.58919999993</v>
      </c>
      <c r="O35" s="90">
        <f t="shared" si="2"/>
        <v>30997307.833799999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STATS'!$K$27*0.21</f>
        <v>1639249.6091999998</v>
      </c>
      <c r="D36" s="89">
        <f>'MONTHLY STATS'!$K$40*0.21</f>
        <v>853822.77119999996</v>
      </c>
      <c r="E36" s="89">
        <f>'MONTHLY STATS'!$K$53*0.21</f>
        <v>4488511.4315999998</v>
      </c>
      <c r="F36" s="89">
        <f>'MONTHLY STATS'!$K$66*0.21</f>
        <v>3270009.0359999998</v>
      </c>
      <c r="G36" s="89">
        <f>'MONTHLY STATS'!$K$79*0.21</f>
        <v>1258609.1531999998</v>
      </c>
      <c r="H36" s="89">
        <f>'MONTHLY STATS'!$K$92*0.21</f>
        <v>2498623.8122999999</v>
      </c>
      <c r="I36" s="89">
        <f>'MONTHLY STATS'!$K$105*0.21</f>
        <v>2935601.6487000003</v>
      </c>
      <c r="J36" s="89">
        <f>'MONTHLY STATS'!$K$118*0.21</f>
        <v>3911817.7077000001</v>
      </c>
      <c r="K36" s="89">
        <f>'MONTHLY STATS'!$K$131*0.21</f>
        <v>4523552.733</v>
      </c>
      <c r="L36" s="89">
        <f>'MONTHLY STATS'!$K$144*0.21</f>
        <v>672575.88509999996</v>
      </c>
      <c r="M36" s="89">
        <f>'MONTHLY STATS'!$K$157*0.21</f>
        <v>5580697.6407000003</v>
      </c>
      <c r="N36" s="89">
        <f>'MONTHLY STATS'!$K$170*0.21</f>
        <v>959752.53359999997</v>
      </c>
      <c r="O36" s="90">
        <f t="shared" si="2"/>
        <v>35490303.580200002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STATS'!$K$28*0.21</f>
        <v>1261256.1968999999</v>
      </c>
      <c r="D37" s="89">
        <f>'MONTHLY STATS'!$K$41*0.21</f>
        <v>708949.48739999998</v>
      </c>
      <c r="E37" s="89">
        <f>'MONTHLY STATS'!$K$54*0.21</f>
        <v>3782160.0053999997</v>
      </c>
      <c r="F37" s="89">
        <f>'MONTHLY STATS'!$K$67*0.21</f>
        <v>2372742.3615000001</v>
      </c>
      <c r="G37" s="89">
        <f>'MONTHLY STATS'!$K$80*0.21</f>
        <v>1004280.8684999999</v>
      </c>
      <c r="H37" s="89">
        <f>'MONTHLY STATS'!$K$93*0.21</f>
        <v>1982892.4646999999</v>
      </c>
      <c r="I37" s="89">
        <f>'MONTHLY STATS'!$K$106*0.21</f>
        <v>2291055.8852999997</v>
      </c>
      <c r="J37" s="89">
        <f>'MONTHLY STATS'!$K$119*0.21</f>
        <v>2957384.2766999998</v>
      </c>
      <c r="K37" s="89">
        <f>'MONTHLY STATS'!$K$132*0.21</f>
        <v>3735999.9914999995</v>
      </c>
      <c r="L37" s="89">
        <f>'MONTHLY STATS'!$K$145*0.21</f>
        <v>465027.45030000003</v>
      </c>
      <c r="M37" s="89">
        <f>'MONTHLY STATS'!$K$158*0.21</f>
        <v>4526947.6832999997</v>
      </c>
      <c r="N37" s="89">
        <f>'MONTHLY STATS'!$K$171*0.21</f>
        <v>698851.04729999998</v>
      </c>
      <c r="O37" s="90">
        <f>SUM(B37:N37)</f>
        <v>28389487.119000003</v>
      </c>
      <c r="P37" s="83"/>
    </row>
    <row r="38" spans="1:16" ht="15.75" x14ac:dyDescent="0.25">
      <c r="A38" s="88">
        <f>DATE(2024,2,1)</f>
        <v>45323</v>
      </c>
      <c r="B38" s="89">
        <f>'MONTHLY STATS'!$K$16*0.21</f>
        <v>2874438.1805999996</v>
      </c>
      <c r="C38" s="89">
        <f>'MONTHLY STATS'!$K$29*0.21</f>
        <v>1488105.108</v>
      </c>
      <c r="D38" s="89">
        <f>'MONTHLY STATS'!$K$42*0.21</f>
        <v>853007.07030000002</v>
      </c>
      <c r="E38" s="89">
        <f>'MONTHLY STATS'!$K$55*0.21</f>
        <v>4339097.3577000005</v>
      </c>
      <c r="F38" s="89">
        <f>'MONTHLY STATS'!$K$68*0.21</f>
        <v>2856430.9724999997</v>
      </c>
      <c r="G38" s="89">
        <f>'MONTHLY STATS'!$K$81*0.21</f>
        <v>1208032.3458</v>
      </c>
      <c r="H38" s="89">
        <f>'MONTHLY STATS'!$K$94*0.21</f>
        <v>2361305.9210999999</v>
      </c>
      <c r="I38" s="89">
        <f>'MONTHLY STATS'!$K$107*0.21</f>
        <v>2585680.3958999999</v>
      </c>
      <c r="J38" s="89">
        <f>'MONTHLY STATS'!$K$120*0.21</f>
        <v>3543978.0053999997</v>
      </c>
      <c r="K38" s="89">
        <f>'MONTHLY STATS'!$K$133*0.21</f>
        <v>4277385.9827999994</v>
      </c>
      <c r="L38" s="89">
        <f>'MONTHLY STATS'!$K$146*0.21</f>
        <v>654201.42059999995</v>
      </c>
      <c r="M38" s="89">
        <f>'MONTHLY STATS'!$K$159*0.21</f>
        <v>5026638.3866999997</v>
      </c>
      <c r="N38" s="89">
        <f>'MONTHLY STATS'!$K$172*0.21</f>
        <v>901193.49810000008</v>
      </c>
      <c r="O38" s="90">
        <f>SUM(B38:N38)</f>
        <v>32969494.645500001</v>
      </c>
      <c r="P38" s="83"/>
    </row>
    <row r="39" spans="1:16" ht="15.75" x14ac:dyDescent="0.25">
      <c r="A39" s="88">
        <f>DATE(2024,3,1)</f>
        <v>45352</v>
      </c>
      <c r="B39" s="89">
        <f>'MONTHLY STATS'!$K$17*0.21</f>
        <v>3435349.5791999996</v>
      </c>
      <c r="C39" s="89">
        <f>'MONTHLY STATS'!$K$30*0.21</f>
        <v>1676615.8857</v>
      </c>
      <c r="D39" s="89">
        <f>'MONTHLY STATS'!$K$43*0.21</f>
        <v>986851.43759999983</v>
      </c>
      <c r="E39" s="89">
        <f>'MONTHLY STATS'!$K$56*0.21</f>
        <v>4543175.5424999995</v>
      </c>
      <c r="F39" s="89">
        <f>'MONTHLY STATS'!$K$69*0.21</f>
        <v>3227699.3657999998</v>
      </c>
      <c r="G39" s="89">
        <f>'MONTHLY STATS'!$K$82*0.21</f>
        <v>1439479.3370999999</v>
      </c>
      <c r="H39" s="89">
        <f>'MONTHLY STATS'!$K$95*0.21</f>
        <v>2634121.0874999999</v>
      </c>
      <c r="I39" s="89">
        <f>'MONTHLY STATS'!$K$108*0.21</f>
        <v>2915563.0622999999</v>
      </c>
      <c r="J39" s="89">
        <f>'MONTHLY STATS'!$K$121*0.21</f>
        <v>3954917.9522999995</v>
      </c>
      <c r="K39" s="89">
        <f>'MONTHLY STATS'!$K$134*0.21</f>
        <v>4813518.8997</v>
      </c>
      <c r="L39" s="89">
        <f>'MONTHLY STATS'!$K$147*0.21</f>
        <v>727920.22169999999</v>
      </c>
      <c r="M39" s="89">
        <f>'MONTHLY STATS'!$K$160*0.21</f>
        <v>5545162.8161999993</v>
      </c>
      <c r="N39" s="89">
        <f>'MONTHLY STATS'!$K$173*0.21</f>
        <v>934894.47659999994</v>
      </c>
      <c r="O39" s="90">
        <f>SUM(B39:N39)</f>
        <v>36835269.6642</v>
      </c>
      <c r="P39" s="83"/>
    </row>
    <row r="40" spans="1:16" ht="15.75" x14ac:dyDescent="0.25">
      <c r="A40" s="88">
        <f>DATE(2024,4,1)</f>
        <v>45383</v>
      </c>
      <c r="B40" s="89">
        <f>'MONTHLY STATS'!$K$18*0.21</f>
        <v>2919444.0512999999</v>
      </c>
      <c r="C40" s="89">
        <f>'MONTHLY STATS'!$K$31*0.21</f>
        <v>1541832.0266999998</v>
      </c>
      <c r="D40" s="89">
        <f>'MONTHLY STATS'!$K$44*0.21</f>
        <v>843843.03149999992</v>
      </c>
      <c r="E40" s="89">
        <f>'MONTHLY STATS'!$K$57*0.21</f>
        <v>4152764.4017999996</v>
      </c>
      <c r="F40" s="89">
        <f>'MONTHLY STATS'!$K$70*0.21</f>
        <v>2685035.2851</v>
      </c>
      <c r="G40" s="89">
        <f>'MONTHLY STATS'!$K$83*0.21</f>
        <v>1281601.0766999999</v>
      </c>
      <c r="H40" s="89">
        <f>'MONTHLY STATS'!$K$96*0.21</f>
        <v>2328528.5583000001</v>
      </c>
      <c r="I40" s="89">
        <f>'MONTHLY STATS'!$K$109*0.21</f>
        <v>2561691.8187000002</v>
      </c>
      <c r="J40" s="89">
        <f>'MONTHLY STATS'!$K$122*0.21</f>
        <v>3431572.6409999998</v>
      </c>
      <c r="K40" s="89">
        <f>'MONTHLY STATS'!$K$135*0.21</f>
        <v>4469381.6601</v>
      </c>
      <c r="L40" s="89">
        <f>'MONTHLY STATS'!$K$148*0.21</f>
        <v>617898.40769999998</v>
      </c>
      <c r="M40" s="89">
        <f>'MONTHLY STATS'!$K$161*0.21</f>
        <v>5068060.3742999993</v>
      </c>
      <c r="N40" s="89">
        <f>'MONTHLY STATS'!$K$174*0.21</f>
        <v>843782.57459999993</v>
      </c>
      <c r="O40" s="90">
        <f>SUM(B40:N40)</f>
        <v>32745435.907799993</v>
      </c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28877584.537199996</v>
      </c>
      <c r="C44" s="90">
        <f t="shared" si="3"/>
        <v>15208601.929499999</v>
      </c>
      <c r="D44" s="90">
        <f t="shared" si="3"/>
        <v>8227948.3250999991</v>
      </c>
      <c r="E44" s="90">
        <f t="shared" si="3"/>
        <v>42678371.828399993</v>
      </c>
      <c r="F44" s="90">
        <f t="shared" si="3"/>
        <v>28980255.261299998</v>
      </c>
      <c r="G44" s="90">
        <f t="shared" si="3"/>
        <v>12063697.8924</v>
      </c>
      <c r="H44" s="90">
        <f t="shared" si="3"/>
        <v>23724978.698399998</v>
      </c>
      <c r="I44" s="90">
        <f>SUM(I31:I42)</f>
        <v>26800773.841800004</v>
      </c>
      <c r="J44" s="90">
        <f t="shared" si="3"/>
        <v>34909150.392899998</v>
      </c>
      <c r="K44" s="90">
        <f>SUM(K31:K42)</f>
        <v>43678260.811499998</v>
      </c>
      <c r="L44" s="90">
        <f t="shared" si="3"/>
        <v>6240899.2653000001</v>
      </c>
      <c r="M44" s="90">
        <f t="shared" si="3"/>
        <v>50809650.026099995</v>
      </c>
      <c r="N44" s="90">
        <f t="shared" si="3"/>
        <v>8265823.1438999996</v>
      </c>
      <c r="O44" s="90">
        <f t="shared" si="3"/>
        <v>330465995.95380002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83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75</v>
      </c>
      <c r="B3" s="117"/>
      <c r="C3" s="200"/>
      <c r="D3" s="200"/>
      <c r="E3" s="200"/>
      <c r="F3" s="117"/>
      <c r="G3" s="210"/>
    </row>
    <row r="4" spans="1:8" x14ac:dyDescent="0.2">
      <c r="A4" s="284" t="s">
        <v>76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>(+D15-E15)/E15</f>
        <v>-0.17147988271850612</v>
      </c>
      <c r="G15" s="215">
        <f>D15/C15</f>
        <v>0.16647950467112987</v>
      </c>
      <c r="H15" s="123"/>
    </row>
    <row r="16" spans="1:8" ht="15.75" x14ac:dyDescent="0.25">
      <c r="A16" s="130"/>
      <c r="B16" s="131">
        <f>DATE(2024,2,1)</f>
        <v>45323</v>
      </c>
      <c r="C16" s="204">
        <v>14656454</v>
      </c>
      <c r="D16" s="204">
        <v>1928252</v>
      </c>
      <c r="E16" s="204">
        <v>2473094.5</v>
      </c>
      <c r="F16" s="132">
        <f>(+D16-E16)/E16</f>
        <v>-0.22030799874408358</v>
      </c>
      <c r="G16" s="215">
        <f>D16/C16</f>
        <v>0.1315633372164918</v>
      </c>
      <c r="H16" s="123"/>
    </row>
    <row r="17" spans="1:8" ht="15.75" x14ac:dyDescent="0.25">
      <c r="A17" s="130"/>
      <c r="B17" s="131">
        <f>DATE(2024,3,1)</f>
        <v>45352</v>
      </c>
      <c r="C17" s="204">
        <v>16662090</v>
      </c>
      <c r="D17" s="204">
        <v>3073230</v>
      </c>
      <c r="E17" s="204">
        <v>2339779</v>
      </c>
      <c r="F17" s="132">
        <f>(+D17-E17)/E17</f>
        <v>0.31347020380984703</v>
      </c>
      <c r="G17" s="215">
        <f>D17/C17</f>
        <v>0.18444444844554314</v>
      </c>
      <c r="H17" s="123"/>
    </row>
    <row r="18" spans="1:8" ht="15.75" x14ac:dyDescent="0.25">
      <c r="A18" s="130"/>
      <c r="B18" s="131">
        <f>DATE(2024,4,1)</f>
        <v>45383</v>
      </c>
      <c r="C18" s="204">
        <v>14239943</v>
      </c>
      <c r="D18" s="204">
        <v>2535724</v>
      </c>
      <c r="E18" s="204">
        <v>2718840.5</v>
      </c>
      <c r="F18" s="132">
        <f>(+D18-E18)/E18</f>
        <v>-6.7350953467112173E-2</v>
      </c>
      <c r="G18" s="215">
        <f>D18/C18</f>
        <v>0.17807121840305118</v>
      </c>
      <c r="H18" s="123"/>
    </row>
    <row r="19" spans="1:8" ht="15.75" thickBot="1" x14ac:dyDescent="0.25">
      <c r="A19" s="133"/>
      <c r="B19" s="134"/>
      <c r="C19" s="204"/>
      <c r="D19" s="204"/>
      <c r="E19" s="204"/>
      <c r="F19" s="132"/>
      <c r="G19" s="215"/>
      <c r="H19" s="123"/>
    </row>
    <row r="20" spans="1:8" ht="17.25" thickTop="1" thickBot="1" x14ac:dyDescent="0.3">
      <c r="A20" s="135" t="s">
        <v>14</v>
      </c>
      <c r="B20" s="136"/>
      <c r="C20" s="201">
        <f>SUM(C9:C19)</f>
        <v>155879652</v>
      </c>
      <c r="D20" s="201">
        <f>SUM(D9:D19)</f>
        <v>24605290.5</v>
      </c>
      <c r="E20" s="201">
        <f>SUM(E9:E19)</f>
        <v>26558018.350000001</v>
      </c>
      <c r="F20" s="137">
        <f>(+D20-E20)/E20</f>
        <v>-7.3526865757286494E-2</v>
      </c>
      <c r="G20" s="212">
        <f>D20/C20</f>
        <v>0.15784799481076595</v>
      </c>
      <c r="H20" s="123"/>
    </row>
    <row r="21" spans="1:8" ht="15.75" customHeight="1" thickTop="1" x14ac:dyDescent="0.25">
      <c r="A21" s="138"/>
      <c r="B21" s="139"/>
      <c r="C21" s="205"/>
      <c r="D21" s="205"/>
      <c r="E21" s="205"/>
      <c r="F21" s="140"/>
      <c r="G21" s="216"/>
      <c r="H21" s="123"/>
    </row>
    <row r="22" spans="1:8" ht="15.75" x14ac:dyDescent="0.25">
      <c r="A22" s="19" t="s">
        <v>15</v>
      </c>
      <c r="B22" s="131">
        <f>DATE(2023,7,1)</f>
        <v>45108</v>
      </c>
      <c r="C22" s="204">
        <v>2471937</v>
      </c>
      <c r="D22" s="204">
        <v>614728</v>
      </c>
      <c r="E22" s="204">
        <v>637839.5</v>
      </c>
      <c r="F22" s="132">
        <f t="shared" ref="F22:F27" si="2">(+D22-E22)/E22</f>
        <v>-3.62340369324885E-2</v>
      </c>
      <c r="G22" s="215">
        <f t="shared" ref="G22:G27" si="3">D22/C22</f>
        <v>0.24868271319212423</v>
      </c>
      <c r="H22" s="123"/>
    </row>
    <row r="23" spans="1:8" ht="15.75" x14ac:dyDescent="0.25">
      <c r="A23" s="19"/>
      <c r="B23" s="131">
        <f>DATE(2023,8,1)</f>
        <v>45139</v>
      </c>
      <c r="C23" s="204">
        <v>2248291</v>
      </c>
      <c r="D23" s="204">
        <v>388628</v>
      </c>
      <c r="E23" s="204">
        <v>695761.5</v>
      </c>
      <c r="F23" s="132">
        <f t="shared" si="2"/>
        <v>-0.44143503197575606</v>
      </c>
      <c r="G23" s="215">
        <f t="shared" si="3"/>
        <v>0.17285484841597462</v>
      </c>
      <c r="H23" s="123"/>
    </row>
    <row r="24" spans="1:8" ht="15.75" x14ac:dyDescent="0.25">
      <c r="A24" s="19"/>
      <c r="B24" s="131">
        <f>DATE(2023,9,1)</f>
        <v>45170</v>
      </c>
      <c r="C24" s="204">
        <v>2515180</v>
      </c>
      <c r="D24" s="204">
        <v>596038.5</v>
      </c>
      <c r="E24" s="204">
        <v>780368</v>
      </c>
      <c r="F24" s="132">
        <f t="shared" si="2"/>
        <v>-0.23620842986898488</v>
      </c>
      <c r="G24" s="215">
        <f t="shared" si="3"/>
        <v>0.2369764788206013</v>
      </c>
      <c r="H24" s="123"/>
    </row>
    <row r="25" spans="1:8" ht="15.75" x14ac:dyDescent="0.25">
      <c r="A25" s="19"/>
      <c r="B25" s="131">
        <f>DATE(2023,10,1)</f>
        <v>45200</v>
      </c>
      <c r="C25" s="204">
        <v>2462749</v>
      </c>
      <c r="D25" s="204">
        <v>457507</v>
      </c>
      <c r="E25" s="204">
        <v>868243</v>
      </c>
      <c r="F25" s="132">
        <f t="shared" si="2"/>
        <v>-0.47306572008066866</v>
      </c>
      <c r="G25" s="215">
        <f t="shared" si="3"/>
        <v>0.18577086012419455</v>
      </c>
      <c r="H25" s="123"/>
    </row>
    <row r="26" spans="1:8" ht="15.75" x14ac:dyDescent="0.25">
      <c r="A26" s="19"/>
      <c r="B26" s="131">
        <f>DATE(2023,11,1)</f>
        <v>45231</v>
      </c>
      <c r="C26" s="204">
        <v>2333327</v>
      </c>
      <c r="D26" s="204">
        <v>573968</v>
      </c>
      <c r="E26" s="204">
        <v>714136.5</v>
      </c>
      <c r="F26" s="132">
        <f t="shared" si="2"/>
        <v>-0.19627690224487895</v>
      </c>
      <c r="G26" s="215">
        <f t="shared" si="3"/>
        <v>0.24598695339315921</v>
      </c>
      <c r="H26" s="123"/>
    </row>
    <row r="27" spans="1:8" ht="15.75" x14ac:dyDescent="0.25">
      <c r="A27" s="19"/>
      <c r="B27" s="131">
        <f>DATE(2023,12,1)</f>
        <v>45261</v>
      </c>
      <c r="C27" s="204">
        <v>2421990</v>
      </c>
      <c r="D27" s="204">
        <v>676389.5</v>
      </c>
      <c r="E27" s="204">
        <v>736054</v>
      </c>
      <c r="F27" s="132">
        <f t="shared" si="2"/>
        <v>-8.1059949405885984E-2</v>
      </c>
      <c r="G27" s="215">
        <f t="shared" si="3"/>
        <v>0.27927014562405295</v>
      </c>
      <c r="H27" s="123"/>
    </row>
    <row r="28" spans="1:8" ht="15.75" x14ac:dyDescent="0.25">
      <c r="A28" s="19"/>
      <c r="B28" s="131">
        <f>DATE(2024,1,1)</f>
        <v>45292</v>
      </c>
      <c r="C28" s="204">
        <v>2145869</v>
      </c>
      <c r="D28" s="204">
        <v>621740</v>
      </c>
      <c r="E28" s="204">
        <v>620241</v>
      </c>
      <c r="F28" s="132">
        <f>(+D28-E28)/E28</f>
        <v>2.4168025009633351E-3</v>
      </c>
      <c r="G28" s="215">
        <f>D28/C28</f>
        <v>0.28973809678037193</v>
      </c>
      <c r="H28" s="123"/>
    </row>
    <row r="29" spans="1:8" ht="15.75" x14ac:dyDescent="0.25">
      <c r="A29" s="19"/>
      <c r="B29" s="131">
        <f>DATE(2024,2,1)</f>
        <v>45323</v>
      </c>
      <c r="C29" s="204">
        <v>2278925</v>
      </c>
      <c r="D29" s="204">
        <v>529666</v>
      </c>
      <c r="E29" s="204">
        <v>564375.5</v>
      </c>
      <c r="F29" s="132">
        <f>(+D29-E29)/E29</f>
        <v>-6.1500720708110114E-2</v>
      </c>
      <c r="G29" s="215">
        <f>D29/C29</f>
        <v>0.23241923275228452</v>
      </c>
      <c r="H29" s="123"/>
    </row>
    <row r="30" spans="1:8" ht="15.75" x14ac:dyDescent="0.25">
      <c r="A30" s="19"/>
      <c r="B30" s="131">
        <f>DATE(2024,3,1)</f>
        <v>45352</v>
      </c>
      <c r="C30" s="204">
        <v>2741615</v>
      </c>
      <c r="D30" s="204">
        <v>724612.5</v>
      </c>
      <c r="E30" s="204">
        <v>903835</v>
      </c>
      <c r="F30" s="132">
        <f>(+D30-E30)/E30</f>
        <v>-0.19829117040167729</v>
      </c>
      <c r="G30" s="215">
        <f>D30/C30</f>
        <v>0.26430133333819666</v>
      </c>
      <c r="H30" s="123"/>
    </row>
    <row r="31" spans="1:8" ht="15.75" x14ac:dyDescent="0.25">
      <c r="A31" s="19"/>
      <c r="B31" s="131">
        <f>DATE(2024,4,1)</f>
        <v>45383</v>
      </c>
      <c r="C31" s="204">
        <v>2267682</v>
      </c>
      <c r="D31" s="204">
        <v>732887</v>
      </c>
      <c r="E31" s="204">
        <v>724571</v>
      </c>
      <c r="F31" s="132">
        <f>(+D31-E31)/E31</f>
        <v>1.1477136126066321E-2</v>
      </c>
      <c r="G31" s="215">
        <f>D31/C31</f>
        <v>0.32318773090759639</v>
      </c>
      <c r="H31" s="123"/>
    </row>
    <row r="32" spans="1:8" ht="15.75" thickBot="1" x14ac:dyDescent="0.25">
      <c r="A32" s="133"/>
      <c r="B32" s="131"/>
      <c r="C32" s="204"/>
      <c r="D32" s="204"/>
      <c r="E32" s="204"/>
      <c r="F32" s="132"/>
      <c r="G32" s="215"/>
      <c r="H32" s="123"/>
    </row>
    <row r="33" spans="1:8" ht="17.25" thickTop="1" thickBot="1" x14ac:dyDescent="0.3">
      <c r="A33" s="135" t="s">
        <v>14</v>
      </c>
      <c r="B33" s="136"/>
      <c r="C33" s="201">
        <f>SUM(C22:C32)</f>
        <v>23887565</v>
      </c>
      <c r="D33" s="201">
        <f>SUM(D22:D32)</f>
        <v>5916164.5</v>
      </c>
      <c r="E33" s="201">
        <f>SUM(E22:E32)</f>
        <v>7245425</v>
      </c>
      <c r="F33" s="137">
        <f>(+D33-E33)/E33</f>
        <v>-0.18346204673983929</v>
      </c>
      <c r="G33" s="212">
        <f>D33/C33</f>
        <v>0.24766712304079549</v>
      </c>
      <c r="H33" s="123"/>
    </row>
    <row r="34" spans="1:8" ht="15.75" customHeight="1" thickTop="1" x14ac:dyDescent="0.25">
      <c r="A34" s="255"/>
      <c r="B34" s="139"/>
      <c r="C34" s="205"/>
      <c r="D34" s="205"/>
      <c r="E34" s="205"/>
      <c r="F34" s="140"/>
      <c r="G34" s="219"/>
      <c r="H34" s="123"/>
    </row>
    <row r="35" spans="1:8" ht="15.75" x14ac:dyDescent="0.25">
      <c r="A35" s="19" t="s">
        <v>62</v>
      </c>
      <c r="B35" s="131">
        <f>DATE(2023,7,1)</f>
        <v>45108</v>
      </c>
      <c r="C35" s="204">
        <v>1300276</v>
      </c>
      <c r="D35" s="204">
        <v>166322.5</v>
      </c>
      <c r="E35" s="204">
        <v>249087.5</v>
      </c>
      <c r="F35" s="132">
        <f t="shared" ref="F35:F40" si="4">(+D35-E35)/E35</f>
        <v>-0.33227279570432078</v>
      </c>
      <c r="G35" s="215">
        <f t="shared" ref="G35:G40" si="5">D35/C35</f>
        <v>0.12791322765320592</v>
      </c>
      <c r="H35" s="123"/>
    </row>
    <row r="36" spans="1:8" ht="15.75" x14ac:dyDescent="0.25">
      <c r="A36" s="19"/>
      <c r="B36" s="131">
        <f>DATE(2023,8,1)</f>
        <v>45139</v>
      </c>
      <c r="C36" s="204">
        <v>1380793</v>
      </c>
      <c r="D36" s="204">
        <v>264487</v>
      </c>
      <c r="E36" s="204">
        <v>272495.5</v>
      </c>
      <c r="F36" s="132">
        <f t="shared" si="4"/>
        <v>-2.9389476156486988E-2</v>
      </c>
      <c r="G36" s="215">
        <f t="shared" si="5"/>
        <v>0.19154717615167516</v>
      </c>
      <c r="H36" s="123"/>
    </row>
    <row r="37" spans="1:8" ht="15.75" x14ac:dyDescent="0.25">
      <c r="A37" s="19"/>
      <c r="B37" s="131">
        <f>DATE(2023,9,1)</f>
        <v>45170</v>
      </c>
      <c r="C37" s="204">
        <v>1331049</v>
      </c>
      <c r="D37" s="204">
        <v>353812</v>
      </c>
      <c r="E37" s="204">
        <v>310850</v>
      </c>
      <c r="F37" s="132">
        <f t="shared" si="4"/>
        <v>0.13820813897378156</v>
      </c>
      <c r="G37" s="215">
        <f t="shared" si="5"/>
        <v>0.26581440653199095</v>
      </c>
      <c r="H37" s="123"/>
    </row>
    <row r="38" spans="1:8" ht="15.75" x14ac:dyDescent="0.25">
      <c r="A38" s="19"/>
      <c r="B38" s="131">
        <f>DATE(2023,10,1)</f>
        <v>45200</v>
      </c>
      <c r="C38" s="204">
        <v>1247669</v>
      </c>
      <c r="D38" s="204">
        <v>292380</v>
      </c>
      <c r="E38" s="204">
        <v>204149.5</v>
      </c>
      <c r="F38" s="132">
        <f t="shared" si="4"/>
        <v>0.43218572663660698</v>
      </c>
      <c r="G38" s="215">
        <f t="shared" si="5"/>
        <v>0.23434099909511258</v>
      </c>
      <c r="H38" s="123"/>
    </row>
    <row r="39" spans="1:8" ht="15.75" x14ac:dyDescent="0.25">
      <c r="A39" s="19"/>
      <c r="B39" s="131">
        <f>DATE(2023,11,1)</f>
        <v>45231</v>
      </c>
      <c r="C39" s="204">
        <v>1223816</v>
      </c>
      <c r="D39" s="204">
        <v>305629</v>
      </c>
      <c r="E39" s="204">
        <v>292609</v>
      </c>
      <c r="F39" s="132">
        <f t="shared" si="4"/>
        <v>4.4496239008369527E-2</v>
      </c>
      <c r="G39" s="215">
        <f t="shared" si="5"/>
        <v>0.24973443720297822</v>
      </c>
      <c r="H39" s="123"/>
    </row>
    <row r="40" spans="1:8" ht="15.75" x14ac:dyDescent="0.25">
      <c r="A40" s="19"/>
      <c r="B40" s="131">
        <f>DATE(2023,12,1)</f>
        <v>45261</v>
      </c>
      <c r="C40" s="204">
        <v>1442415</v>
      </c>
      <c r="D40" s="204">
        <v>320450.5</v>
      </c>
      <c r="E40" s="204">
        <v>300188</v>
      </c>
      <c r="F40" s="132">
        <f t="shared" si="4"/>
        <v>6.7499367063306989E-2</v>
      </c>
      <c r="G40" s="215">
        <f t="shared" si="5"/>
        <v>0.22216248444449066</v>
      </c>
      <c r="H40" s="123"/>
    </row>
    <row r="41" spans="1:8" ht="15.75" x14ac:dyDescent="0.25">
      <c r="A41" s="19"/>
      <c r="B41" s="131">
        <f>DATE(2024,1,1)</f>
        <v>45292</v>
      </c>
      <c r="C41" s="204">
        <v>1112050</v>
      </c>
      <c r="D41" s="204">
        <v>358643</v>
      </c>
      <c r="E41" s="204">
        <v>379305</v>
      </c>
      <c r="F41" s="132">
        <f>(+D41-E41)/E41</f>
        <v>-5.4473313033047283E-2</v>
      </c>
      <c r="G41" s="215">
        <f>D41/C41</f>
        <v>0.32250618227597683</v>
      </c>
      <c r="H41" s="123"/>
    </row>
    <row r="42" spans="1:8" ht="15.75" x14ac:dyDescent="0.25">
      <c r="A42" s="19"/>
      <c r="B42" s="131">
        <f>DATE(2024,2,1)</f>
        <v>45323</v>
      </c>
      <c r="C42" s="204">
        <v>1212041</v>
      </c>
      <c r="D42" s="204">
        <v>243898.5</v>
      </c>
      <c r="E42" s="204">
        <v>255416</v>
      </c>
      <c r="F42" s="132">
        <f>(+D42-E42)/E42</f>
        <v>-4.5093103016255832E-2</v>
      </c>
      <c r="G42" s="215">
        <f>D42/C42</f>
        <v>0.20122957886738155</v>
      </c>
      <c r="H42" s="123"/>
    </row>
    <row r="43" spans="1:8" ht="15.75" x14ac:dyDescent="0.25">
      <c r="A43" s="19"/>
      <c r="B43" s="131">
        <f>DATE(2024,3,1)</f>
        <v>45352</v>
      </c>
      <c r="C43" s="204">
        <v>1447739</v>
      </c>
      <c r="D43" s="204">
        <v>301625</v>
      </c>
      <c r="E43" s="204">
        <v>323646</v>
      </c>
      <c r="F43" s="132">
        <f>(+D43-E43)/E43</f>
        <v>-6.8040389808618054E-2</v>
      </c>
      <c r="G43" s="215">
        <f>D43/C43</f>
        <v>0.20834211138886222</v>
      </c>
      <c r="H43" s="123"/>
    </row>
    <row r="44" spans="1:8" ht="15.75" x14ac:dyDescent="0.25">
      <c r="A44" s="19"/>
      <c r="B44" s="131">
        <f>DATE(2024,4,1)</f>
        <v>45383</v>
      </c>
      <c r="C44" s="204">
        <v>1431526</v>
      </c>
      <c r="D44" s="204">
        <v>315992</v>
      </c>
      <c r="E44" s="204">
        <v>368001.5</v>
      </c>
      <c r="F44" s="132">
        <f>(+D44-E44)/E44</f>
        <v>-0.14132958697179224</v>
      </c>
      <c r="G44" s="215">
        <f>D44/C44</f>
        <v>0.22073786993739547</v>
      </c>
      <c r="H44" s="123"/>
    </row>
    <row r="45" spans="1:8" ht="15.75" thickBot="1" x14ac:dyDescent="0.25">
      <c r="A45" s="133"/>
      <c r="B45" s="131"/>
      <c r="C45" s="204"/>
      <c r="D45" s="204"/>
      <c r="E45" s="204"/>
      <c r="F45" s="132"/>
      <c r="G45" s="215"/>
      <c r="H45" s="123"/>
    </row>
    <row r="46" spans="1:8" ht="17.25" thickTop="1" thickBot="1" x14ac:dyDescent="0.3">
      <c r="A46" s="141" t="s">
        <v>14</v>
      </c>
      <c r="B46" s="142"/>
      <c r="C46" s="206">
        <f>SUM(C35:C45)</f>
        <v>13129374</v>
      </c>
      <c r="D46" s="206">
        <f>SUM(D35:D45)</f>
        <v>2923239.5</v>
      </c>
      <c r="E46" s="206">
        <f>SUM(E35:E45)</f>
        <v>2955748</v>
      </c>
      <c r="F46" s="143">
        <f>(+D46-E46)/E46</f>
        <v>-1.0998400404905967E-2</v>
      </c>
      <c r="G46" s="217">
        <f>D46/C46</f>
        <v>0.22264881021745592</v>
      </c>
      <c r="H46" s="123"/>
    </row>
    <row r="47" spans="1:8" ht="15.75" thickTop="1" x14ac:dyDescent="0.2">
      <c r="A47" s="133"/>
      <c r="B47" s="134"/>
      <c r="C47" s="204"/>
      <c r="D47" s="204"/>
      <c r="E47" s="204"/>
      <c r="F47" s="132"/>
      <c r="G47" s="218"/>
      <c r="H47" s="123"/>
    </row>
    <row r="48" spans="1:8" ht="15.75" x14ac:dyDescent="0.25">
      <c r="A48" s="177" t="s">
        <v>58</v>
      </c>
      <c r="B48" s="131">
        <f>DATE(2023,7,1)</f>
        <v>45108</v>
      </c>
      <c r="C48" s="204">
        <v>17665032</v>
      </c>
      <c r="D48" s="204">
        <v>3803022</v>
      </c>
      <c r="E48" s="204">
        <v>3390213</v>
      </c>
      <c r="F48" s="132">
        <f t="shared" ref="F48:F53" si="6">(+D48-E48)/E48</f>
        <v>0.12176491565574199</v>
      </c>
      <c r="G48" s="215">
        <f t="shared" ref="G48:G53" si="7">D48/C48</f>
        <v>0.21528531621114527</v>
      </c>
      <c r="H48" s="123"/>
    </row>
    <row r="49" spans="1:8" ht="15.75" x14ac:dyDescent="0.25">
      <c r="A49" s="177"/>
      <c r="B49" s="131">
        <f>DATE(2023,8,1)</f>
        <v>45139</v>
      </c>
      <c r="C49" s="204">
        <v>17268495</v>
      </c>
      <c r="D49" s="204">
        <v>2558007.38</v>
      </c>
      <c r="E49" s="204">
        <v>2096973.67</v>
      </c>
      <c r="F49" s="132">
        <f t="shared" si="6"/>
        <v>0.21985669948826778</v>
      </c>
      <c r="G49" s="215">
        <f t="shared" si="7"/>
        <v>0.14813146021121121</v>
      </c>
      <c r="H49" s="123"/>
    </row>
    <row r="50" spans="1:8" ht="15.75" x14ac:dyDescent="0.25">
      <c r="A50" s="177"/>
      <c r="B50" s="131">
        <f>DATE(2023,9,1)</f>
        <v>45170</v>
      </c>
      <c r="C50" s="204">
        <v>15882513</v>
      </c>
      <c r="D50" s="204">
        <v>3090684.15</v>
      </c>
      <c r="E50" s="204">
        <v>3937084.53</v>
      </c>
      <c r="F50" s="132">
        <f t="shared" si="6"/>
        <v>-0.21498151069669819</v>
      </c>
      <c r="G50" s="215">
        <f t="shared" si="7"/>
        <v>0.19459667056466443</v>
      </c>
      <c r="H50" s="123"/>
    </row>
    <row r="51" spans="1:8" ht="15.75" x14ac:dyDescent="0.25">
      <c r="A51" s="177"/>
      <c r="B51" s="131">
        <f>DATE(2023,10,1)</f>
        <v>45200</v>
      </c>
      <c r="C51" s="204">
        <v>14805478</v>
      </c>
      <c r="D51" s="204">
        <v>2879319</v>
      </c>
      <c r="E51" s="204">
        <v>2819327.04</v>
      </c>
      <c r="F51" s="132">
        <f t="shared" si="6"/>
        <v>2.1278822622862497E-2</v>
      </c>
      <c r="G51" s="215">
        <f t="shared" si="7"/>
        <v>0.19447659845902981</v>
      </c>
      <c r="H51" s="123"/>
    </row>
    <row r="52" spans="1:8" ht="15.75" x14ac:dyDescent="0.25">
      <c r="A52" s="177"/>
      <c r="B52" s="131">
        <f>DATE(2023,11,1)</f>
        <v>45231</v>
      </c>
      <c r="C52" s="204">
        <v>14098672</v>
      </c>
      <c r="D52" s="204">
        <v>3291435.87</v>
      </c>
      <c r="E52" s="204">
        <v>2876740.26</v>
      </c>
      <c r="F52" s="132">
        <f t="shared" si="6"/>
        <v>0.1441546933403019</v>
      </c>
      <c r="G52" s="215">
        <f t="shared" si="7"/>
        <v>0.23345715610661771</v>
      </c>
      <c r="H52" s="123"/>
    </row>
    <row r="53" spans="1:8" ht="15.75" x14ac:dyDescent="0.25">
      <c r="A53" s="177"/>
      <c r="B53" s="131">
        <f>DATE(2023,12,1)</f>
        <v>45261</v>
      </c>
      <c r="C53" s="204">
        <v>16834383</v>
      </c>
      <c r="D53" s="204">
        <v>3310603.9</v>
      </c>
      <c r="E53" s="204">
        <v>3108188.89</v>
      </c>
      <c r="F53" s="132">
        <f t="shared" si="6"/>
        <v>6.5123136708721635E-2</v>
      </c>
      <c r="G53" s="215">
        <f t="shared" si="7"/>
        <v>0.19665727576710118</v>
      </c>
      <c r="H53" s="123"/>
    </row>
    <row r="54" spans="1:8" ht="15.75" x14ac:dyDescent="0.25">
      <c r="A54" s="177"/>
      <c r="B54" s="131">
        <f>DATE(2024,1,1)</f>
        <v>45292</v>
      </c>
      <c r="C54" s="204">
        <v>13747903</v>
      </c>
      <c r="D54" s="204">
        <v>2763966.36</v>
      </c>
      <c r="E54" s="204">
        <v>2951407.99</v>
      </c>
      <c r="F54" s="132">
        <f>(+D54-E54)/E54</f>
        <v>-6.3509223609576365E-2</v>
      </c>
      <c r="G54" s="215">
        <f>D54/C54</f>
        <v>0.20104639667591487</v>
      </c>
      <c r="H54" s="123"/>
    </row>
    <row r="55" spans="1:8" ht="15.75" x14ac:dyDescent="0.25">
      <c r="A55" s="177"/>
      <c r="B55" s="131">
        <f>DATE(2024,2,1)</f>
        <v>45323</v>
      </c>
      <c r="C55" s="204">
        <v>15696429.5</v>
      </c>
      <c r="D55" s="204">
        <v>3510721.02</v>
      </c>
      <c r="E55" s="204">
        <v>2375220.2999999998</v>
      </c>
      <c r="F55" s="132">
        <f>(+D55-E55)/E55</f>
        <v>0.47806122236324788</v>
      </c>
      <c r="G55" s="215">
        <f>D55/C55</f>
        <v>0.22366366949885005</v>
      </c>
      <c r="H55" s="123"/>
    </row>
    <row r="56" spans="1:8" ht="15.75" x14ac:dyDescent="0.25">
      <c r="A56" s="177"/>
      <c r="B56" s="131">
        <f>DATE(2024,3,1)</f>
        <v>45352</v>
      </c>
      <c r="C56" s="204">
        <v>14704021</v>
      </c>
      <c r="D56" s="204">
        <v>3147062.97</v>
      </c>
      <c r="E56" s="204">
        <v>3353751.65</v>
      </c>
      <c r="F56" s="132">
        <f>(+D56-E56)/E56</f>
        <v>-6.1629095284977259E-2</v>
      </c>
      <c r="G56" s="215">
        <f>D56/C56</f>
        <v>0.21402737183250758</v>
      </c>
      <c r="H56" s="123"/>
    </row>
    <row r="57" spans="1:8" ht="15.75" x14ac:dyDescent="0.25">
      <c r="A57" s="177"/>
      <c r="B57" s="131">
        <f>DATE(2024,4,1)</f>
        <v>45383</v>
      </c>
      <c r="C57" s="204">
        <v>14806755.51</v>
      </c>
      <c r="D57" s="204">
        <v>2844389.17</v>
      </c>
      <c r="E57" s="204">
        <v>3123735.42</v>
      </c>
      <c r="F57" s="132">
        <f>(+D57-E57)/E57</f>
        <v>-8.9426988025765639E-2</v>
      </c>
      <c r="G57" s="215">
        <f>D57/C57</f>
        <v>0.1921007723858878</v>
      </c>
      <c r="H57" s="123"/>
    </row>
    <row r="58" spans="1:8" ht="15.75" customHeight="1" thickBot="1" x14ac:dyDescent="0.25">
      <c r="A58" s="133"/>
      <c r="B58" s="134"/>
      <c r="C58" s="204"/>
      <c r="D58" s="204"/>
      <c r="E58" s="204"/>
      <c r="F58" s="132"/>
      <c r="G58" s="215"/>
      <c r="H58" s="123"/>
    </row>
    <row r="59" spans="1:8" ht="17.25" customHeight="1" thickTop="1" thickBot="1" x14ac:dyDescent="0.3">
      <c r="A59" s="141" t="s">
        <v>14</v>
      </c>
      <c r="B59" s="142"/>
      <c r="C59" s="206">
        <f>SUM(C48:C58)</f>
        <v>155509682.00999999</v>
      </c>
      <c r="D59" s="206">
        <f>SUM(D48:D58)</f>
        <v>31199211.819999993</v>
      </c>
      <c r="E59" s="206">
        <f>SUM(E48:E58)</f>
        <v>30032642.749999993</v>
      </c>
      <c r="F59" s="143">
        <f>(+D59-E59)/E59</f>
        <v>3.8843370518899828E-2</v>
      </c>
      <c r="G59" s="217">
        <f>D59/C59</f>
        <v>0.20062552644145809</v>
      </c>
      <c r="H59" s="123"/>
    </row>
    <row r="60" spans="1:8" ht="15.75" customHeight="1" thickTop="1" x14ac:dyDescent="0.2">
      <c r="A60" s="133"/>
      <c r="B60" s="134"/>
      <c r="C60" s="204"/>
      <c r="D60" s="204"/>
      <c r="E60" s="204"/>
      <c r="F60" s="132"/>
      <c r="G60" s="218"/>
      <c r="H60" s="123"/>
    </row>
    <row r="61" spans="1:8" ht="15" customHeight="1" x14ac:dyDescent="0.25">
      <c r="A61" s="130" t="s">
        <v>60</v>
      </c>
      <c r="B61" s="131">
        <f>DATE(2023,7,1)</f>
        <v>45108</v>
      </c>
      <c r="C61" s="204">
        <v>12723732</v>
      </c>
      <c r="D61" s="204">
        <v>3308388.5</v>
      </c>
      <c r="E61" s="204">
        <v>3195567.5</v>
      </c>
      <c r="F61" s="132">
        <f t="shared" ref="F61:F66" si="8">(+D61-E61)/E61</f>
        <v>3.5305466087009588E-2</v>
      </c>
      <c r="G61" s="215">
        <f t="shared" ref="G61:G66" si="9">D61/C61</f>
        <v>0.26001714748471594</v>
      </c>
      <c r="H61" s="123"/>
    </row>
    <row r="62" spans="1:8" ht="15" customHeight="1" x14ac:dyDescent="0.25">
      <c r="A62" s="130"/>
      <c r="B62" s="131">
        <f>DATE(2023,8,1)</f>
        <v>45139</v>
      </c>
      <c r="C62" s="204">
        <v>11628258</v>
      </c>
      <c r="D62" s="204">
        <v>3099426.5</v>
      </c>
      <c r="E62" s="204">
        <v>3909171</v>
      </c>
      <c r="F62" s="132">
        <f t="shared" si="8"/>
        <v>-0.20713969790525918</v>
      </c>
      <c r="G62" s="215">
        <f t="shared" si="9"/>
        <v>0.26654263261100675</v>
      </c>
      <c r="H62" s="123"/>
    </row>
    <row r="63" spans="1:8" ht="15" customHeight="1" x14ac:dyDescent="0.25">
      <c r="A63" s="130"/>
      <c r="B63" s="131">
        <f>DATE(2023,9,1)</f>
        <v>45170</v>
      </c>
      <c r="C63" s="204">
        <v>11873656</v>
      </c>
      <c r="D63" s="204">
        <v>3032057</v>
      </c>
      <c r="E63" s="204">
        <v>3778062.5</v>
      </c>
      <c r="F63" s="132">
        <f t="shared" si="8"/>
        <v>-0.19745716223593443</v>
      </c>
      <c r="G63" s="215">
        <f t="shared" si="9"/>
        <v>0.25536001716741669</v>
      </c>
      <c r="H63" s="123"/>
    </row>
    <row r="64" spans="1:8" ht="15" customHeight="1" x14ac:dyDescent="0.25">
      <c r="A64" s="130"/>
      <c r="B64" s="131">
        <f>DATE(2023,10,1)</f>
        <v>45200</v>
      </c>
      <c r="C64" s="204">
        <v>12435915</v>
      </c>
      <c r="D64" s="204">
        <v>2838722.5</v>
      </c>
      <c r="E64" s="204">
        <v>1234436</v>
      </c>
      <c r="F64" s="132">
        <f t="shared" si="8"/>
        <v>1.2996109154302045</v>
      </c>
      <c r="G64" s="215">
        <f t="shared" si="9"/>
        <v>0.22826808481724103</v>
      </c>
      <c r="H64" s="123"/>
    </row>
    <row r="65" spans="1:8" ht="15" customHeight="1" x14ac:dyDescent="0.25">
      <c r="A65" s="130"/>
      <c r="B65" s="131">
        <f>DATE(2023,11,1)</f>
        <v>45231</v>
      </c>
      <c r="C65" s="204">
        <v>12500603</v>
      </c>
      <c r="D65" s="204">
        <v>2777794</v>
      </c>
      <c r="E65" s="204">
        <v>3487549</v>
      </c>
      <c r="F65" s="132">
        <f t="shared" si="8"/>
        <v>-0.2035111191269284</v>
      </c>
      <c r="G65" s="215">
        <f t="shared" si="9"/>
        <v>0.22221280045450609</v>
      </c>
      <c r="H65" s="123"/>
    </row>
    <row r="66" spans="1:8" ht="15" customHeight="1" x14ac:dyDescent="0.25">
      <c r="A66" s="130"/>
      <c r="B66" s="131">
        <f>DATE(2023,12,1)</f>
        <v>45261</v>
      </c>
      <c r="C66" s="204">
        <v>13701598</v>
      </c>
      <c r="D66" s="204">
        <v>3754286.5</v>
      </c>
      <c r="E66" s="204">
        <v>3689598</v>
      </c>
      <c r="F66" s="132">
        <f t="shared" si="8"/>
        <v>1.7532668870700818E-2</v>
      </c>
      <c r="G66" s="215">
        <f t="shared" si="9"/>
        <v>0.27400355053476244</v>
      </c>
      <c r="H66" s="123"/>
    </row>
    <row r="67" spans="1:8" ht="15" customHeight="1" x14ac:dyDescent="0.25">
      <c r="A67" s="130"/>
      <c r="B67" s="131">
        <f>DATE(2024,1,1)</f>
        <v>45292</v>
      </c>
      <c r="C67" s="204">
        <v>11556877</v>
      </c>
      <c r="D67" s="204">
        <v>2662409</v>
      </c>
      <c r="E67" s="204">
        <v>3432704.75</v>
      </c>
      <c r="F67" s="132">
        <f>(+D67-E67)/E67</f>
        <v>-0.22439906898488721</v>
      </c>
      <c r="G67" s="215">
        <f>D67/C67</f>
        <v>0.23037443420051973</v>
      </c>
      <c r="H67" s="123"/>
    </row>
    <row r="68" spans="1:8" ht="15" customHeight="1" x14ac:dyDescent="0.25">
      <c r="A68" s="130"/>
      <c r="B68" s="131">
        <f>DATE(2024,2,1)</f>
        <v>45323</v>
      </c>
      <c r="C68" s="204">
        <v>11951229.5</v>
      </c>
      <c r="D68" s="204">
        <v>3058546</v>
      </c>
      <c r="E68" s="204">
        <v>3123761.5</v>
      </c>
      <c r="F68" s="132">
        <f>(+D68-E68)/E68</f>
        <v>-2.0877234065404801E-2</v>
      </c>
      <c r="G68" s="215">
        <f>D68/C68</f>
        <v>0.25591894122692566</v>
      </c>
      <c r="H68" s="123"/>
    </row>
    <row r="69" spans="1:8" ht="15" customHeight="1" x14ac:dyDescent="0.25">
      <c r="A69" s="130"/>
      <c r="B69" s="131">
        <f>DATE(2024,3,1)</f>
        <v>45352</v>
      </c>
      <c r="C69" s="204">
        <v>13848065</v>
      </c>
      <c r="D69" s="204">
        <v>3219364.5</v>
      </c>
      <c r="E69" s="204">
        <v>3779533.5</v>
      </c>
      <c r="F69" s="132">
        <f>(+D69-E69)/E69</f>
        <v>-0.14821114828060131</v>
      </c>
      <c r="G69" s="215">
        <f>D69/C69</f>
        <v>0.23247756997096705</v>
      </c>
      <c r="H69" s="123"/>
    </row>
    <row r="70" spans="1:8" ht="15" customHeight="1" x14ac:dyDescent="0.25">
      <c r="A70" s="130"/>
      <c r="B70" s="131">
        <f>DATE(2024,4,1)</f>
        <v>45383</v>
      </c>
      <c r="C70" s="204">
        <v>12902700</v>
      </c>
      <c r="D70" s="204">
        <v>2927825.5</v>
      </c>
      <c r="E70" s="204">
        <v>2915753.5</v>
      </c>
      <c r="F70" s="132">
        <f>(+D70-E70)/E70</f>
        <v>4.1402676872376214E-3</v>
      </c>
      <c r="G70" s="215">
        <f>D70/C70</f>
        <v>0.22691572306571492</v>
      </c>
      <c r="H70" s="123"/>
    </row>
    <row r="71" spans="1:8" ht="15.75" thickBot="1" x14ac:dyDescent="0.25">
      <c r="A71" s="133"/>
      <c r="B71" s="131"/>
      <c r="C71" s="204"/>
      <c r="D71" s="204"/>
      <c r="E71" s="204"/>
      <c r="F71" s="132"/>
      <c r="G71" s="215"/>
      <c r="H71" s="123"/>
    </row>
    <row r="72" spans="1:8" ht="17.25" customHeight="1" thickTop="1" thickBot="1" x14ac:dyDescent="0.3">
      <c r="A72" s="141" t="s">
        <v>14</v>
      </c>
      <c r="B72" s="142"/>
      <c r="C72" s="207">
        <f>SUM(C61:C71)</f>
        <v>125122633.5</v>
      </c>
      <c r="D72" s="261">
        <f>SUM(D61:D71)</f>
        <v>30678820</v>
      </c>
      <c r="E72" s="206">
        <f>SUM(E61:E71)</f>
        <v>32546137.25</v>
      </c>
      <c r="F72" s="268">
        <f>(+D72-E72)/E72</f>
        <v>-5.7374466151125202E-2</v>
      </c>
      <c r="G72" s="267">
        <f>D72/C72</f>
        <v>0.2451900119253804</v>
      </c>
      <c r="H72" s="123"/>
    </row>
    <row r="73" spans="1:8" ht="15.75" customHeight="1" thickTop="1" x14ac:dyDescent="0.25">
      <c r="A73" s="130"/>
      <c r="B73" s="134"/>
      <c r="C73" s="204"/>
      <c r="D73" s="204"/>
      <c r="E73" s="204"/>
      <c r="F73" s="132"/>
      <c r="G73" s="218"/>
      <c r="H73" s="123"/>
    </row>
    <row r="74" spans="1:8" ht="15.75" x14ac:dyDescent="0.25">
      <c r="A74" s="130" t="s">
        <v>64</v>
      </c>
      <c r="B74" s="131">
        <f>DATE(2023,7,1)</f>
        <v>45108</v>
      </c>
      <c r="C74" s="204">
        <v>3361117</v>
      </c>
      <c r="D74" s="204">
        <v>707897</v>
      </c>
      <c r="E74" s="204">
        <v>700930</v>
      </c>
      <c r="F74" s="132">
        <f t="shared" ref="F74:F79" si="10">(+D74-E74)/E74</f>
        <v>9.9396516057238243E-3</v>
      </c>
      <c r="G74" s="215">
        <f t="shared" ref="G74:G79" si="11">D74/C74</f>
        <v>0.21061361446209698</v>
      </c>
      <c r="H74" s="123"/>
    </row>
    <row r="75" spans="1:8" ht="15.75" x14ac:dyDescent="0.25">
      <c r="A75" s="130"/>
      <c r="B75" s="131">
        <f>DATE(2023,8,1)</f>
        <v>45139</v>
      </c>
      <c r="C75" s="204">
        <v>2951366</v>
      </c>
      <c r="D75" s="204">
        <v>871889</v>
      </c>
      <c r="E75" s="204">
        <v>630145.5</v>
      </c>
      <c r="F75" s="132">
        <f t="shared" si="10"/>
        <v>0.38363124072138893</v>
      </c>
      <c r="G75" s="215">
        <f t="shared" si="11"/>
        <v>0.29541879929497056</v>
      </c>
      <c r="H75" s="123"/>
    </row>
    <row r="76" spans="1:8" ht="15.75" x14ac:dyDescent="0.25">
      <c r="A76" s="130"/>
      <c r="B76" s="131">
        <f>DATE(2023,9,1)</f>
        <v>45170</v>
      </c>
      <c r="C76" s="204">
        <v>2512048</v>
      </c>
      <c r="D76" s="204">
        <v>529240.5</v>
      </c>
      <c r="E76" s="204">
        <v>538940</v>
      </c>
      <c r="F76" s="132">
        <f t="shared" si="10"/>
        <v>-1.7997365198352322E-2</v>
      </c>
      <c r="G76" s="215">
        <f t="shared" si="11"/>
        <v>0.21068088667095533</v>
      </c>
      <c r="H76" s="123"/>
    </row>
    <row r="77" spans="1:8" ht="15.75" x14ac:dyDescent="0.25">
      <c r="A77" s="130"/>
      <c r="B77" s="131">
        <f>DATE(2023,10,1)</f>
        <v>45200</v>
      </c>
      <c r="C77" s="204">
        <v>2477871</v>
      </c>
      <c r="D77" s="204">
        <v>555726</v>
      </c>
      <c r="E77" s="204">
        <v>664586</v>
      </c>
      <c r="F77" s="132">
        <f t="shared" si="10"/>
        <v>-0.16380122361891464</v>
      </c>
      <c r="G77" s="215">
        <f t="shared" si="11"/>
        <v>0.22427559788221421</v>
      </c>
      <c r="H77" s="123"/>
    </row>
    <row r="78" spans="1:8" ht="15.75" x14ac:dyDescent="0.25">
      <c r="A78" s="130"/>
      <c r="B78" s="131">
        <f>DATE(2023,11,1)</f>
        <v>45231</v>
      </c>
      <c r="C78" s="204">
        <v>2620270</v>
      </c>
      <c r="D78" s="204">
        <v>618313.5</v>
      </c>
      <c r="E78" s="204">
        <v>644592.5</v>
      </c>
      <c r="F78" s="132">
        <f t="shared" si="10"/>
        <v>-4.076839243397961E-2</v>
      </c>
      <c r="G78" s="215">
        <f t="shared" si="11"/>
        <v>0.23597320123498725</v>
      </c>
      <c r="H78" s="123"/>
    </row>
    <row r="79" spans="1:8" ht="15.75" x14ac:dyDescent="0.25">
      <c r="A79" s="130"/>
      <c r="B79" s="131">
        <f>DATE(2023,12,1)</f>
        <v>45261</v>
      </c>
      <c r="C79" s="204">
        <v>3237541</v>
      </c>
      <c r="D79" s="204">
        <v>684848</v>
      </c>
      <c r="E79" s="204">
        <v>621789.5</v>
      </c>
      <c r="F79" s="132">
        <f t="shared" si="10"/>
        <v>0.10141454624113144</v>
      </c>
      <c r="G79" s="215">
        <f t="shared" si="11"/>
        <v>0.21153338289769921</v>
      </c>
      <c r="H79" s="123"/>
    </row>
    <row r="80" spans="1:8" ht="15.75" x14ac:dyDescent="0.25">
      <c r="A80" s="130"/>
      <c r="B80" s="131">
        <f>DATE(2024,1,1)</f>
        <v>45292</v>
      </c>
      <c r="C80" s="204">
        <v>2483414</v>
      </c>
      <c r="D80" s="204">
        <v>610254.26</v>
      </c>
      <c r="E80" s="204">
        <v>561543</v>
      </c>
      <c r="F80" s="132">
        <f>(+D80-E80)/E80</f>
        <v>8.6745378359270806E-2</v>
      </c>
      <c r="G80" s="215">
        <f>D80/C80</f>
        <v>0.24573198830319876</v>
      </c>
      <c r="H80" s="123"/>
    </row>
    <row r="81" spans="1:8" ht="15.75" x14ac:dyDescent="0.25">
      <c r="A81" s="130"/>
      <c r="B81" s="131">
        <f>DATE(2024,2,1)</f>
        <v>45323</v>
      </c>
      <c r="C81" s="204">
        <v>3182905</v>
      </c>
      <c r="D81" s="204">
        <v>692581.7</v>
      </c>
      <c r="E81" s="204">
        <v>653096</v>
      </c>
      <c r="F81" s="132">
        <f>(+D81-E81)/E81</f>
        <v>6.0459258669475782E-2</v>
      </c>
      <c r="G81" s="215">
        <f>D81/C81</f>
        <v>0.21759421032044624</v>
      </c>
      <c r="H81" s="123"/>
    </row>
    <row r="82" spans="1:8" ht="15.75" x14ac:dyDescent="0.25">
      <c r="A82" s="130"/>
      <c r="B82" s="131">
        <f>DATE(2024,3,1)</f>
        <v>45352</v>
      </c>
      <c r="C82" s="204">
        <v>3597454</v>
      </c>
      <c r="D82" s="204">
        <v>1048030</v>
      </c>
      <c r="E82" s="204">
        <v>665245.5</v>
      </c>
      <c r="F82" s="132">
        <f>(+D82-E82)/E82</f>
        <v>0.5754033661257385</v>
      </c>
      <c r="G82" s="215">
        <f>D82/C82</f>
        <v>0.29132547629517985</v>
      </c>
      <c r="H82" s="123"/>
    </row>
    <row r="83" spans="1:8" ht="15.75" x14ac:dyDescent="0.25">
      <c r="A83" s="130"/>
      <c r="B83" s="131">
        <f>DATE(2024,4,1)</f>
        <v>45383</v>
      </c>
      <c r="C83" s="204">
        <v>3045005</v>
      </c>
      <c r="D83" s="204">
        <v>890402</v>
      </c>
      <c r="E83" s="204">
        <v>455284</v>
      </c>
      <c r="F83" s="132">
        <f>(+D83-E83)/E83</f>
        <v>0.95570676764393214</v>
      </c>
      <c r="G83" s="215">
        <f>D83/C83</f>
        <v>0.29241396976359646</v>
      </c>
      <c r="H83" s="123"/>
    </row>
    <row r="84" spans="1:8" ht="15.75" customHeight="1" thickBot="1" x14ac:dyDescent="0.3">
      <c r="A84" s="130"/>
      <c r="B84" s="131"/>
      <c r="C84" s="204"/>
      <c r="D84" s="204"/>
      <c r="E84" s="204"/>
      <c r="F84" s="132"/>
      <c r="G84" s="215"/>
      <c r="H84" s="123"/>
    </row>
    <row r="85" spans="1:8" ht="17.25" thickTop="1" thickBot="1" x14ac:dyDescent="0.3">
      <c r="A85" s="141" t="s">
        <v>14</v>
      </c>
      <c r="B85" s="142"/>
      <c r="C85" s="207">
        <f>SUM(C74:C84)</f>
        <v>29468991</v>
      </c>
      <c r="D85" s="261">
        <f>SUM(D74:D84)</f>
        <v>7209181.96</v>
      </c>
      <c r="E85" s="207">
        <f>SUM(E74:E84)</f>
        <v>6136152</v>
      </c>
      <c r="F85" s="268">
        <f>(+D85-E85)/E85</f>
        <v>0.17487017270758612</v>
      </c>
      <c r="G85" s="267">
        <f>D85/C85</f>
        <v>0.24463619945453849</v>
      </c>
      <c r="H85" s="123"/>
    </row>
    <row r="86" spans="1:8" ht="15.75" customHeight="1" thickTop="1" x14ac:dyDescent="0.25">
      <c r="A86" s="130"/>
      <c r="B86" s="134"/>
      <c r="C86" s="204"/>
      <c r="D86" s="204"/>
      <c r="E86" s="204"/>
      <c r="F86" s="132"/>
      <c r="G86" s="218"/>
      <c r="H86" s="123"/>
    </row>
    <row r="87" spans="1:8" ht="15.75" x14ac:dyDescent="0.25">
      <c r="A87" s="130" t="s">
        <v>67</v>
      </c>
      <c r="B87" s="131">
        <f>DATE(2023,7,1)</f>
        <v>45108</v>
      </c>
      <c r="C87" s="204">
        <v>8239268</v>
      </c>
      <c r="D87" s="204">
        <v>826564</v>
      </c>
      <c r="E87" s="204">
        <v>951854</v>
      </c>
      <c r="F87" s="132">
        <f t="shared" ref="F87:F92" si="12">(+D87-E87)/E87</f>
        <v>-0.13162732940135777</v>
      </c>
      <c r="G87" s="215">
        <f t="shared" ref="G87:G92" si="13">D87/C87</f>
        <v>0.1003200769777121</v>
      </c>
      <c r="H87" s="123"/>
    </row>
    <row r="88" spans="1:8" ht="15.75" x14ac:dyDescent="0.25">
      <c r="A88" s="130"/>
      <c r="B88" s="131">
        <f>DATE(2023,8,1)</f>
        <v>45139</v>
      </c>
      <c r="C88" s="204">
        <v>7087572</v>
      </c>
      <c r="D88" s="204">
        <v>916100.5</v>
      </c>
      <c r="E88" s="204">
        <v>1029739</v>
      </c>
      <c r="F88" s="132">
        <f t="shared" si="12"/>
        <v>-0.11035660492610264</v>
      </c>
      <c r="G88" s="215">
        <f t="shared" si="13"/>
        <v>0.1292544894076561</v>
      </c>
      <c r="H88" s="123"/>
    </row>
    <row r="89" spans="1:8" ht="15.75" x14ac:dyDescent="0.25">
      <c r="A89" s="130"/>
      <c r="B89" s="131">
        <f>DATE(2023,9,1)</f>
        <v>45170</v>
      </c>
      <c r="C89" s="204">
        <v>7246519</v>
      </c>
      <c r="D89" s="204">
        <v>1270044.5</v>
      </c>
      <c r="E89" s="204">
        <v>389281</v>
      </c>
      <c r="F89" s="132">
        <f t="shared" si="12"/>
        <v>2.2625391426758563</v>
      </c>
      <c r="G89" s="215">
        <f t="shared" si="13"/>
        <v>0.17526270199526145</v>
      </c>
      <c r="H89" s="123"/>
    </row>
    <row r="90" spans="1:8" ht="15.75" x14ac:dyDescent="0.25">
      <c r="A90" s="130"/>
      <c r="B90" s="131">
        <f>DATE(2023,10,1)</f>
        <v>45200</v>
      </c>
      <c r="C90" s="204">
        <v>7936605</v>
      </c>
      <c r="D90" s="204">
        <v>1035111.5</v>
      </c>
      <c r="E90" s="204">
        <v>1134882.5</v>
      </c>
      <c r="F90" s="132">
        <f t="shared" si="12"/>
        <v>-8.7913065890081132E-2</v>
      </c>
      <c r="G90" s="215">
        <f t="shared" si="13"/>
        <v>0.13042245393338839</v>
      </c>
      <c r="H90" s="123"/>
    </row>
    <row r="91" spans="1:8" ht="15.75" x14ac:dyDescent="0.25">
      <c r="A91" s="130"/>
      <c r="B91" s="131">
        <f>DATE(2023,11,1)</f>
        <v>45231</v>
      </c>
      <c r="C91" s="204">
        <v>7753074</v>
      </c>
      <c r="D91" s="204">
        <v>1066773</v>
      </c>
      <c r="E91" s="204">
        <v>1197761</v>
      </c>
      <c r="F91" s="132">
        <f t="shared" si="12"/>
        <v>-0.10936071553506918</v>
      </c>
      <c r="G91" s="215">
        <f t="shared" si="13"/>
        <v>0.13759355321515054</v>
      </c>
      <c r="H91" s="123"/>
    </row>
    <row r="92" spans="1:8" ht="15.75" x14ac:dyDescent="0.25">
      <c r="A92" s="130"/>
      <c r="B92" s="131">
        <f>DATE(2023,12,1)</f>
        <v>45261</v>
      </c>
      <c r="C92" s="204">
        <v>7263263</v>
      </c>
      <c r="D92" s="204">
        <v>1133563</v>
      </c>
      <c r="E92" s="204">
        <v>867843</v>
      </c>
      <c r="F92" s="132">
        <f t="shared" si="12"/>
        <v>0.30618441354023712</v>
      </c>
      <c r="G92" s="215">
        <f t="shared" si="13"/>
        <v>0.15606800965351247</v>
      </c>
      <c r="H92" s="123"/>
    </row>
    <row r="93" spans="1:8" ht="15.75" x14ac:dyDescent="0.25">
      <c r="A93" s="130"/>
      <c r="B93" s="131">
        <f>DATE(2024,1,1)</f>
        <v>45292</v>
      </c>
      <c r="C93" s="204">
        <v>5843655</v>
      </c>
      <c r="D93" s="204">
        <v>937413.5</v>
      </c>
      <c r="E93" s="204">
        <v>1084536.5</v>
      </c>
      <c r="F93" s="132">
        <f>(+D93-E93)/E93</f>
        <v>-0.13565518541791816</v>
      </c>
      <c r="G93" s="215">
        <f>D93/C93</f>
        <v>0.16041561317360453</v>
      </c>
      <c r="H93" s="123"/>
    </row>
    <row r="94" spans="1:8" ht="15.75" x14ac:dyDescent="0.25">
      <c r="A94" s="130"/>
      <c r="B94" s="131">
        <f>DATE(2024,2,1)</f>
        <v>45323</v>
      </c>
      <c r="C94" s="204">
        <v>6756303</v>
      </c>
      <c r="D94" s="204">
        <v>1237946</v>
      </c>
      <c r="E94" s="204">
        <v>924380.5</v>
      </c>
      <c r="F94" s="132">
        <f>(+D94-E94)/E94</f>
        <v>0.33921691338144844</v>
      </c>
      <c r="G94" s="215">
        <f>D94/C94</f>
        <v>0.18322831288057981</v>
      </c>
      <c r="H94" s="123"/>
    </row>
    <row r="95" spans="1:8" ht="15.75" x14ac:dyDescent="0.25">
      <c r="A95" s="130"/>
      <c r="B95" s="131">
        <f>DATE(2024,3,1)</f>
        <v>45352</v>
      </c>
      <c r="C95" s="204">
        <v>9480030</v>
      </c>
      <c r="D95" s="204">
        <v>1487693</v>
      </c>
      <c r="E95" s="204">
        <v>1007342.5</v>
      </c>
      <c r="F95" s="132">
        <f>(+D95-E95)/E95</f>
        <v>0.4768492344957152</v>
      </c>
      <c r="G95" s="215">
        <f>D95/C95</f>
        <v>0.15692914473899344</v>
      </c>
      <c r="H95" s="123"/>
    </row>
    <row r="96" spans="1:8" ht="15.75" x14ac:dyDescent="0.25">
      <c r="A96" s="130"/>
      <c r="B96" s="131">
        <f>DATE(2024,4,1)</f>
        <v>45383</v>
      </c>
      <c r="C96" s="204">
        <v>10368680</v>
      </c>
      <c r="D96" s="204">
        <v>1080222.5</v>
      </c>
      <c r="E96" s="204">
        <v>1326409</v>
      </c>
      <c r="F96" s="132">
        <f>(+D96-E96)/E96</f>
        <v>-0.18560376173563359</v>
      </c>
      <c r="G96" s="215">
        <f>D96/C96</f>
        <v>0.1041812940509303</v>
      </c>
      <c r="H96" s="123"/>
    </row>
    <row r="97" spans="1:8" ht="15.75" customHeight="1" thickBot="1" x14ac:dyDescent="0.3">
      <c r="A97" s="130"/>
      <c r="B97" s="131"/>
      <c r="C97" s="204"/>
      <c r="D97" s="204"/>
      <c r="E97" s="204"/>
      <c r="F97" s="132"/>
      <c r="G97" s="215"/>
      <c r="H97" s="123"/>
    </row>
    <row r="98" spans="1:8" ht="17.25" thickTop="1" thickBot="1" x14ac:dyDescent="0.3">
      <c r="A98" s="141" t="s">
        <v>14</v>
      </c>
      <c r="B98" s="142"/>
      <c r="C98" s="207">
        <f>SUM(C87:C97)</f>
        <v>77974969</v>
      </c>
      <c r="D98" s="261">
        <f>SUM(D87:D97)</f>
        <v>10991431.5</v>
      </c>
      <c r="E98" s="207">
        <f>SUM(E87:E97)</f>
        <v>9914029</v>
      </c>
      <c r="F98" s="269">
        <f>(+D98-E98)/E98</f>
        <v>0.10867453585217474</v>
      </c>
      <c r="G98" s="267">
        <f>D98/C98</f>
        <v>0.14096102429999041</v>
      </c>
      <c r="H98" s="123"/>
    </row>
    <row r="99" spans="1:8" ht="15.75" customHeight="1" thickTop="1" x14ac:dyDescent="0.25">
      <c r="A99" s="130"/>
      <c r="B99" s="139"/>
      <c r="C99" s="205"/>
      <c r="D99" s="205"/>
      <c r="E99" s="205"/>
      <c r="F99" s="140"/>
      <c r="G99" s="216"/>
      <c r="H99" s="123"/>
    </row>
    <row r="100" spans="1:8" ht="15.75" x14ac:dyDescent="0.25">
      <c r="A100" s="130" t="s">
        <v>69</v>
      </c>
      <c r="B100" s="131">
        <f>DATE(2023,7,1)</f>
        <v>45108</v>
      </c>
      <c r="C100" s="204">
        <v>6583612</v>
      </c>
      <c r="D100" s="204">
        <v>1705016.95</v>
      </c>
      <c r="E100" s="204">
        <v>1405783</v>
      </c>
      <c r="F100" s="132">
        <f t="shared" ref="F100:F105" si="14">(+D100-E100)/E100</f>
        <v>0.21285927486674683</v>
      </c>
      <c r="G100" s="215">
        <f t="shared" ref="G100:G105" si="15">D100/C100</f>
        <v>0.25897895410604393</v>
      </c>
      <c r="H100" s="123"/>
    </row>
    <row r="101" spans="1:8" ht="15.75" x14ac:dyDescent="0.25">
      <c r="A101" s="130"/>
      <c r="B101" s="131">
        <f>DATE(2023,8,1)</f>
        <v>45139</v>
      </c>
      <c r="C101" s="204">
        <v>6682064</v>
      </c>
      <c r="D101" s="204">
        <v>1401382.35</v>
      </c>
      <c r="E101" s="204">
        <v>1387184.42</v>
      </c>
      <c r="F101" s="132">
        <f t="shared" si="14"/>
        <v>1.0235070258358415E-2</v>
      </c>
      <c r="G101" s="215">
        <f t="shared" si="15"/>
        <v>0.20972297631390541</v>
      </c>
      <c r="H101" s="123"/>
    </row>
    <row r="102" spans="1:8" ht="15.75" x14ac:dyDescent="0.25">
      <c r="A102" s="130"/>
      <c r="B102" s="131">
        <f>DATE(2023,9,1)</f>
        <v>45170</v>
      </c>
      <c r="C102" s="204">
        <v>6212275</v>
      </c>
      <c r="D102" s="204">
        <v>1626153.96</v>
      </c>
      <c r="E102" s="204">
        <v>1318470</v>
      </c>
      <c r="F102" s="132">
        <f t="shared" si="14"/>
        <v>0.2333643996450431</v>
      </c>
      <c r="G102" s="215">
        <f t="shared" si="15"/>
        <v>0.26176464499720309</v>
      </c>
      <c r="H102" s="123"/>
    </row>
    <row r="103" spans="1:8" ht="15.75" x14ac:dyDescent="0.25">
      <c r="A103" s="130"/>
      <c r="B103" s="131">
        <f>DATE(2023,10,1)</f>
        <v>45200</v>
      </c>
      <c r="C103" s="204">
        <v>5515298</v>
      </c>
      <c r="D103" s="204">
        <v>1039539</v>
      </c>
      <c r="E103" s="204">
        <v>1379988.01</v>
      </c>
      <c r="F103" s="132">
        <f t="shared" si="14"/>
        <v>-0.24670432462670455</v>
      </c>
      <c r="G103" s="215">
        <f t="shared" si="15"/>
        <v>0.18848283447240746</v>
      </c>
      <c r="H103" s="123"/>
    </row>
    <row r="104" spans="1:8" ht="15.75" x14ac:dyDescent="0.25">
      <c r="A104" s="130"/>
      <c r="B104" s="131">
        <f>DATE(2023,11,1)</f>
        <v>45231</v>
      </c>
      <c r="C104" s="204">
        <v>5590365</v>
      </c>
      <c r="D104" s="204">
        <v>1359520</v>
      </c>
      <c r="E104" s="204">
        <v>1234881.42</v>
      </c>
      <c r="F104" s="132">
        <f t="shared" si="14"/>
        <v>0.10093161819537302</v>
      </c>
      <c r="G104" s="215">
        <f t="shared" si="15"/>
        <v>0.24318984538576641</v>
      </c>
      <c r="H104" s="123"/>
    </row>
    <row r="105" spans="1:8" ht="15.75" x14ac:dyDescent="0.25">
      <c r="A105" s="130"/>
      <c r="B105" s="131">
        <f>DATE(2023,12,1)</f>
        <v>45261</v>
      </c>
      <c r="C105" s="204">
        <v>6722180</v>
      </c>
      <c r="D105" s="204">
        <v>1397248.95</v>
      </c>
      <c r="E105" s="204">
        <v>1290058.78</v>
      </c>
      <c r="F105" s="132">
        <f t="shared" si="14"/>
        <v>8.3089368997589341E-2</v>
      </c>
      <c r="G105" s="215">
        <f t="shared" si="15"/>
        <v>0.20785652124757145</v>
      </c>
      <c r="H105" s="123"/>
    </row>
    <row r="106" spans="1:8" ht="15.75" x14ac:dyDescent="0.25">
      <c r="A106" s="130"/>
      <c r="B106" s="131">
        <f>DATE(2024,1,1)</f>
        <v>45292</v>
      </c>
      <c r="C106" s="204">
        <v>5789716</v>
      </c>
      <c r="D106" s="204">
        <v>1471960.42</v>
      </c>
      <c r="E106" s="204">
        <v>1422588.36</v>
      </c>
      <c r="F106" s="132">
        <f>(+D106-E106)/E106</f>
        <v>3.4705795005942425E-2</v>
      </c>
      <c r="G106" s="215">
        <f>D106/C106</f>
        <v>0.25423706793217488</v>
      </c>
      <c r="H106" s="123"/>
    </row>
    <row r="107" spans="1:8" ht="15.75" x14ac:dyDescent="0.25">
      <c r="A107" s="130"/>
      <c r="B107" s="131">
        <f>DATE(2024,2,1)</f>
        <v>45323</v>
      </c>
      <c r="C107" s="204">
        <v>6194369</v>
      </c>
      <c r="D107" s="204">
        <v>1426796.76</v>
      </c>
      <c r="E107" s="204">
        <v>1163658.3</v>
      </c>
      <c r="F107" s="132">
        <f>(+D107-E107)/E107</f>
        <v>0.22613035115205207</v>
      </c>
      <c r="G107" s="215">
        <f>D107/C107</f>
        <v>0.23033770832832207</v>
      </c>
      <c r="H107" s="123"/>
    </row>
    <row r="108" spans="1:8" ht="15.75" x14ac:dyDescent="0.25">
      <c r="A108" s="130"/>
      <c r="B108" s="131">
        <f>DATE(2024,3,1)</f>
        <v>45352</v>
      </c>
      <c r="C108" s="204">
        <v>6754369</v>
      </c>
      <c r="D108" s="204">
        <v>1623792.5</v>
      </c>
      <c r="E108" s="204">
        <v>1328707.6599999999</v>
      </c>
      <c r="F108" s="132">
        <f>(+D108-E108)/E108</f>
        <v>0.22208409636172347</v>
      </c>
      <c r="G108" s="215">
        <f>D108/C108</f>
        <v>0.24040624668270272</v>
      </c>
      <c r="H108" s="123"/>
    </row>
    <row r="109" spans="1:8" ht="15.75" x14ac:dyDescent="0.25">
      <c r="A109" s="130"/>
      <c r="B109" s="131">
        <f>DATE(2024,4,1)</f>
        <v>45383</v>
      </c>
      <c r="C109" s="204">
        <v>6142948</v>
      </c>
      <c r="D109" s="204">
        <v>1586957.78</v>
      </c>
      <c r="E109" s="204">
        <v>1720849.86</v>
      </c>
      <c r="F109" s="132">
        <f>(+D109-E109)/E109</f>
        <v>-7.7805788356225369E-2</v>
      </c>
      <c r="G109" s="215">
        <f>D109/C109</f>
        <v>0.25833814318467291</v>
      </c>
      <c r="H109" s="123"/>
    </row>
    <row r="110" spans="1:8" ht="15.75" customHeight="1" thickBot="1" x14ac:dyDescent="0.3">
      <c r="A110" s="130"/>
      <c r="B110" s="131"/>
      <c r="C110" s="204"/>
      <c r="D110" s="204"/>
      <c r="E110" s="204"/>
      <c r="F110" s="132"/>
      <c r="G110" s="215"/>
      <c r="H110" s="123"/>
    </row>
    <row r="111" spans="1:8" ht="17.25" thickTop="1" thickBot="1" x14ac:dyDescent="0.3">
      <c r="A111" s="141" t="s">
        <v>14</v>
      </c>
      <c r="B111" s="142"/>
      <c r="C111" s="206">
        <f>SUM(C100:C110)</f>
        <v>62187196</v>
      </c>
      <c r="D111" s="206">
        <f>SUM(D100:D110)</f>
        <v>14638368.669999998</v>
      </c>
      <c r="E111" s="206">
        <f>SUM(E100:E110)</f>
        <v>13652169.810000001</v>
      </c>
      <c r="F111" s="143">
        <f>(+D111-E111)/E111</f>
        <v>7.2237517825014336E-2</v>
      </c>
      <c r="G111" s="217">
        <f>D111/C111</f>
        <v>0.23539200368513155</v>
      </c>
      <c r="H111" s="123"/>
    </row>
    <row r="112" spans="1:8" ht="15.75" customHeight="1" thickTop="1" x14ac:dyDescent="0.25">
      <c r="A112" s="138"/>
      <c r="B112" s="139"/>
      <c r="C112" s="205"/>
      <c r="D112" s="205"/>
      <c r="E112" s="205"/>
      <c r="F112" s="140"/>
      <c r="G112" s="216"/>
      <c r="H112" s="123"/>
    </row>
    <row r="113" spans="1:8" ht="15.75" x14ac:dyDescent="0.25">
      <c r="A113" s="130" t="s">
        <v>16</v>
      </c>
      <c r="B113" s="131">
        <f>DATE(2023,7,1)</f>
        <v>45108</v>
      </c>
      <c r="C113" s="204">
        <v>10870339</v>
      </c>
      <c r="D113" s="204">
        <v>2105009.5</v>
      </c>
      <c r="E113" s="204">
        <v>2289729.5</v>
      </c>
      <c r="F113" s="132">
        <f t="shared" ref="F113:F118" si="16">(+D113-E113)/E113</f>
        <v>-8.0673284770100578E-2</v>
      </c>
      <c r="G113" s="215">
        <f t="shared" ref="G113:G118" si="17">D113/C113</f>
        <v>0.1936470886510531</v>
      </c>
      <c r="H113" s="123"/>
    </row>
    <row r="114" spans="1:8" ht="15.75" x14ac:dyDescent="0.25">
      <c r="A114" s="130"/>
      <c r="B114" s="131">
        <f>DATE(2023,8,1)</f>
        <v>45139</v>
      </c>
      <c r="C114" s="204">
        <v>10577694.15</v>
      </c>
      <c r="D114" s="204">
        <v>1767561.15</v>
      </c>
      <c r="E114" s="204">
        <v>2099615</v>
      </c>
      <c r="F114" s="132">
        <f t="shared" si="16"/>
        <v>-0.15814987509614861</v>
      </c>
      <c r="G114" s="215">
        <f t="shared" si="17"/>
        <v>0.16710269033445252</v>
      </c>
      <c r="H114" s="123"/>
    </row>
    <row r="115" spans="1:8" ht="15.75" x14ac:dyDescent="0.25">
      <c r="A115" s="130"/>
      <c r="B115" s="131">
        <f>DATE(2023,9,1)</f>
        <v>45170</v>
      </c>
      <c r="C115" s="204">
        <v>11010233</v>
      </c>
      <c r="D115" s="204">
        <v>2123175</v>
      </c>
      <c r="E115" s="204">
        <v>1892853.5</v>
      </c>
      <c r="F115" s="132">
        <f t="shared" si="16"/>
        <v>0.12167951719454252</v>
      </c>
      <c r="G115" s="215">
        <f t="shared" si="17"/>
        <v>0.19283651853689199</v>
      </c>
      <c r="H115" s="123"/>
    </row>
    <row r="116" spans="1:8" ht="15.75" x14ac:dyDescent="0.25">
      <c r="A116" s="130"/>
      <c r="B116" s="131">
        <f>DATE(2023,10,1)</f>
        <v>45200</v>
      </c>
      <c r="C116" s="204">
        <v>10359340</v>
      </c>
      <c r="D116" s="204">
        <v>1980886.5</v>
      </c>
      <c r="E116" s="204">
        <v>1720920</v>
      </c>
      <c r="F116" s="132">
        <f t="shared" si="16"/>
        <v>0.15106251307440208</v>
      </c>
      <c r="G116" s="215">
        <f t="shared" si="17"/>
        <v>0.19121744242393821</v>
      </c>
      <c r="H116" s="123"/>
    </row>
    <row r="117" spans="1:8" ht="15.75" x14ac:dyDescent="0.25">
      <c r="A117" s="130"/>
      <c r="B117" s="131">
        <f>DATE(2023,11,1)</f>
        <v>45231</v>
      </c>
      <c r="C117" s="204">
        <v>10158371</v>
      </c>
      <c r="D117" s="204">
        <v>1968225</v>
      </c>
      <c r="E117" s="204">
        <v>1878662</v>
      </c>
      <c r="F117" s="132">
        <f t="shared" si="16"/>
        <v>4.7673823178411019E-2</v>
      </c>
      <c r="G117" s="215">
        <f t="shared" si="17"/>
        <v>0.19375399854957059</v>
      </c>
      <c r="H117" s="123"/>
    </row>
    <row r="118" spans="1:8" ht="15.75" x14ac:dyDescent="0.25">
      <c r="A118" s="130"/>
      <c r="B118" s="131">
        <f>DATE(2023,12,1)</f>
        <v>45261</v>
      </c>
      <c r="C118" s="204">
        <v>11753235</v>
      </c>
      <c r="D118" s="204">
        <v>2810336.5</v>
      </c>
      <c r="E118" s="204">
        <v>2169033.7999999998</v>
      </c>
      <c r="F118" s="132">
        <f t="shared" si="16"/>
        <v>0.29566284305943052</v>
      </c>
      <c r="G118" s="215">
        <f t="shared" si="17"/>
        <v>0.23911174242665956</v>
      </c>
      <c r="H118" s="123"/>
    </row>
    <row r="119" spans="1:8" ht="15.75" x14ac:dyDescent="0.25">
      <c r="A119" s="130"/>
      <c r="B119" s="131">
        <f>DATE(2024,1,1)</f>
        <v>45292</v>
      </c>
      <c r="C119" s="204">
        <v>9271778</v>
      </c>
      <c r="D119" s="204">
        <v>1768692.5</v>
      </c>
      <c r="E119" s="204">
        <v>2093677.04</v>
      </c>
      <c r="F119" s="132">
        <f>(+D119-E119)/E119</f>
        <v>-0.1552219056669791</v>
      </c>
      <c r="G119" s="215">
        <f>D119/C119</f>
        <v>0.19076087671641836</v>
      </c>
      <c r="H119" s="123"/>
    </row>
    <row r="120" spans="1:8" ht="15.75" x14ac:dyDescent="0.25">
      <c r="A120" s="130"/>
      <c r="B120" s="131">
        <f>DATE(2024,2,1)</f>
        <v>45323</v>
      </c>
      <c r="C120" s="204">
        <v>9943689</v>
      </c>
      <c r="D120" s="204">
        <v>2319014</v>
      </c>
      <c r="E120" s="204">
        <v>1592170</v>
      </c>
      <c r="F120" s="132">
        <f>(+D120-E120)/E120</f>
        <v>0.45651155341452232</v>
      </c>
      <c r="G120" s="215">
        <f>D120/C120</f>
        <v>0.23321465504401837</v>
      </c>
      <c r="H120" s="123"/>
    </row>
    <row r="121" spans="1:8" ht="15.75" x14ac:dyDescent="0.25">
      <c r="A121" s="130"/>
      <c r="B121" s="131">
        <f>DATE(2024,3,1)</f>
        <v>45352</v>
      </c>
      <c r="C121" s="204">
        <v>11419979</v>
      </c>
      <c r="D121" s="204">
        <v>1989362</v>
      </c>
      <c r="E121" s="204">
        <v>1970288.5</v>
      </c>
      <c r="F121" s="132">
        <f>(+D121-E121)/E121</f>
        <v>9.6805620090661855E-3</v>
      </c>
      <c r="G121" s="215">
        <f>D121/C121</f>
        <v>0.17420014520166807</v>
      </c>
      <c r="H121" s="123"/>
    </row>
    <row r="122" spans="1:8" ht="15.75" x14ac:dyDescent="0.25">
      <c r="A122" s="130"/>
      <c r="B122" s="131">
        <f>DATE(2024,4,1)</f>
        <v>45383</v>
      </c>
      <c r="C122" s="204">
        <v>10241052</v>
      </c>
      <c r="D122" s="204">
        <v>1698873</v>
      </c>
      <c r="E122" s="204">
        <v>2451828.5</v>
      </c>
      <c r="F122" s="132">
        <f>(+D122-E122)/E122</f>
        <v>-0.30709957894689616</v>
      </c>
      <c r="G122" s="215">
        <f>D122/C122</f>
        <v>0.16588852395242207</v>
      </c>
      <c r="H122" s="123"/>
    </row>
    <row r="123" spans="1:8" ht="15.75" customHeight="1" thickBot="1" x14ac:dyDescent="0.3">
      <c r="A123" s="130"/>
      <c r="B123" s="131"/>
      <c r="C123" s="204"/>
      <c r="D123" s="204"/>
      <c r="E123" s="204"/>
      <c r="F123" s="132"/>
      <c r="G123" s="215"/>
      <c r="H123" s="123"/>
    </row>
    <row r="124" spans="1:8" ht="17.25" thickTop="1" thickBot="1" x14ac:dyDescent="0.3">
      <c r="A124" s="141" t="s">
        <v>14</v>
      </c>
      <c r="B124" s="142"/>
      <c r="C124" s="206">
        <f>SUM(C113:C123)</f>
        <v>105605710.15000001</v>
      </c>
      <c r="D124" s="206">
        <f>SUM(D113:D123)</f>
        <v>20531135.149999999</v>
      </c>
      <c r="E124" s="206">
        <f>SUM(E113:E123)</f>
        <v>20158777.84</v>
      </c>
      <c r="F124" s="143">
        <f>(+D124-E124)/E124</f>
        <v>1.8471224444031011E-2</v>
      </c>
      <c r="G124" s="217">
        <f>D124/C124</f>
        <v>0.19441311573813602</v>
      </c>
      <c r="H124" s="123"/>
    </row>
    <row r="125" spans="1:8" ht="15.75" customHeight="1" thickTop="1" x14ac:dyDescent="0.25">
      <c r="A125" s="138"/>
      <c r="B125" s="139"/>
      <c r="C125" s="205"/>
      <c r="D125" s="205"/>
      <c r="E125" s="205"/>
      <c r="F125" s="140"/>
      <c r="G125" s="216"/>
      <c r="H125" s="123"/>
    </row>
    <row r="126" spans="1:8" ht="15.75" x14ac:dyDescent="0.25">
      <c r="A126" s="130" t="s">
        <v>53</v>
      </c>
      <c r="B126" s="131">
        <f>DATE(2023,7,1)</f>
        <v>45108</v>
      </c>
      <c r="C126" s="204">
        <v>14493632</v>
      </c>
      <c r="D126" s="204">
        <v>2697018.32</v>
      </c>
      <c r="E126" s="204">
        <v>2740415.54</v>
      </c>
      <c r="F126" s="132">
        <f t="shared" ref="F126:F131" si="18">(+D126-E126)/E126</f>
        <v>-1.5835999820669609E-2</v>
      </c>
      <c r="G126" s="215">
        <f t="shared" ref="G126:G131" si="19">D126/C126</f>
        <v>0.18608298596238679</v>
      </c>
      <c r="H126" s="123"/>
    </row>
    <row r="127" spans="1:8" ht="15.75" x14ac:dyDescent="0.25">
      <c r="A127" s="130"/>
      <c r="B127" s="131">
        <f>DATE(2023,8,1)</f>
        <v>45139</v>
      </c>
      <c r="C127" s="204">
        <v>13342517</v>
      </c>
      <c r="D127" s="204">
        <v>2176274.1</v>
      </c>
      <c r="E127" s="204">
        <v>2942976.84</v>
      </c>
      <c r="F127" s="132">
        <f t="shared" si="18"/>
        <v>-0.26051946096864281</v>
      </c>
      <c r="G127" s="215">
        <f t="shared" si="19"/>
        <v>0.1631082126408383</v>
      </c>
      <c r="H127" s="123"/>
    </row>
    <row r="128" spans="1:8" ht="15.75" x14ac:dyDescent="0.25">
      <c r="A128" s="130"/>
      <c r="B128" s="131">
        <f>DATE(2023,9,1)</f>
        <v>45170</v>
      </c>
      <c r="C128" s="204">
        <v>12919096</v>
      </c>
      <c r="D128" s="204">
        <v>3641267.7</v>
      </c>
      <c r="E128" s="204">
        <v>2470080.11</v>
      </c>
      <c r="F128" s="132">
        <f t="shared" si="18"/>
        <v>0.47414963800506066</v>
      </c>
      <c r="G128" s="215">
        <f t="shared" si="19"/>
        <v>0.28185158621005679</v>
      </c>
      <c r="H128" s="123"/>
    </row>
    <row r="129" spans="1:8" ht="15.75" x14ac:dyDescent="0.25">
      <c r="A129" s="130"/>
      <c r="B129" s="131">
        <f>DATE(2023,10,1)</f>
        <v>45200</v>
      </c>
      <c r="C129" s="204">
        <v>12747730</v>
      </c>
      <c r="D129" s="204">
        <v>2255484.27</v>
      </c>
      <c r="E129" s="204">
        <v>3215532.42</v>
      </c>
      <c r="F129" s="132">
        <f t="shared" si="18"/>
        <v>-0.29856584372425637</v>
      </c>
      <c r="G129" s="215">
        <f t="shared" si="19"/>
        <v>0.1769322279339145</v>
      </c>
      <c r="H129" s="123"/>
    </row>
    <row r="130" spans="1:8" ht="15.75" x14ac:dyDescent="0.25">
      <c r="A130" s="130"/>
      <c r="B130" s="131">
        <f>DATE(2023,11,1)</f>
        <v>45231</v>
      </c>
      <c r="C130" s="204">
        <v>12382493</v>
      </c>
      <c r="D130" s="204">
        <v>2883631.5</v>
      </c>
      <c r="E130" s="204">
        <v>3258473.52</v>
      </c>
      <c r="F130" s="132">
        <f t="shared" si="18"/>
        <v>-0.11503607983900388</v>
      </c>
      <c r="G130" s="215">
        <f t="shared" si="19"/>
        <v>0.23287971977856156</v>
      </c>
      <c r="H130" s="123"/>
    </row>
    <row r="131" spans="1:8" ht="15.75" x14ac:dyDescent="0.25">
      <c r="A131" s="130"/>
      <c r="B131" s="131">
        <f>DATE(2023,12,1)</f>
        <v>45261</v>
      </c>
      <c r="C131" s="204">
        <v>13069344</v>
      </c>
      <c r="D131" s="204">
        <v>2283089.39</v>
      </c>
      <c r="E131" s="204">
        <v>2403855.66</v>
      </c>
      <c r="F131" s="132">
        <f t="shared" si="18"/>
        <v>-5.0238569648562013E-2</v>
      </c>
      <c r="G131" s="215">
        <f t="shared" si="19"/>
        <v>0.17469043511288709</v>
      </c>
      <c r="H131" s="123"/>
    </row>
    <row r="132" spans="1:8" ht="15.75" x14ac:dyDescent="0.25">
      <c r="A132" s="130"/>
      <c r="B132" s="131">
        <f>DATE(2024,1,1)</f>
        <v>45292</v>
      </c>
      <c r="C132" s="204">
        <v>11538016</v>
      </c>
      <c r="D132" s="204">
        <v>1993320.36</v>
      </c>
      <c r="E132" s="204">
        <v>3153729.45</v>
      </c>
      <c r="F132" s="132">
        <f>(+D132-E132)/E132</f>
        <v>-0.36794820494192992</v>
      </c>
      <c r="G132" s="215">
        <f>D132/C132</f>
        <v>0.17276110208202172</v>
      </c>
      <c r="H132" s="123"/>
    </row>
    <row r="133" spans="1:8" ht="15.75" x14ac:dyDescent="0.25">
      <c r="A133" s="130"/>
      <c r="B133" s="131">
        <f>DATE(2024,2,1)</f>
        <v>45323</v>
      </c>
      <c r="C133" s="204">
        <v>11252008</v>
      </c>
      <c r="D133" s="204">
        <v>2104947.1800000002</v>
      </c>
      <c r="E133" s="204">
        <v>2846898.89</v>
      </c>
      <c r="F133" s="132">
        <f>(+D133-E133)/E133</f>
        <v>-0.26061751353593027</v>
      </c>
      <c r="G133" s="215">
        <f>D133/C133</f>
        <v>0.18707302554352967</v>
      </c>
      <c r="H133" s="123"/>
    </row>
    <row r="134" spans="1:8" ht="15.75" x14ac:dyDescent="0.25">
      <c r="A134" s="130"/>
      <c r="B134" s="131">
        <f>DATE(2024,3,1)</f>
        <v>45352</v>
      </c>
      <c r="C134" s="204">
        <v>13330207.1</v>
      </c>
      <c r="D134" s="204">
        <v>2682909.0099999998</v>
      </c>
      <c r="E134" s="204">
        <v>3199533</v>
      </c>
      <c r="F134" s="132">
        <f>(+D134-E134)/E134</f>
        <v>-0.1614685611931492</v>
      </c>
      <c r="G134" s="215">
        <f>D134/C134</f>
        <v>0.20126536593718786</v>
      </c>
      <c r="H134" s="123"/>
    </row>
    <row r="135" spans="1:8" ht="15.75" x14ac:dyDescent="0.25">
      <c r="A135" s="130"/>
      <c r="B135" s="131">
        <f>DATE(2024,4,1)</f>
        <v>45383</v>
      </c>
      <c r="C135" s="204">
        <v>11697079</v>
      </c>
      <c r="D135" s="204">
        <v>2487838.5499999998</v>
      </c>
      <c r="E135" s="204">
        <v>2871825.14</v>
      </c>
      <c r="F135" s="132">
        <f>(+D135-E135)/E135</f>
        <v>-0.13370820690009014</v>
      </c>
      <c r="G135" s="215">
        <f>D135/C135</f>
        <v>0.21268887300838096</v>
      </c>
      <c r="H135" s="123"/>
    </row>
    <row r="136" spans="1:8" ht="15.75" thickBot="1" x14ac:dyDescent="0.25">
      <c r="A136" s="133"/>
      <c r="B136" s="131"/>
      <c r="C136" s="204"/>
      <c r="D136" s="204"/>
      <c r="E136" s="204"/>
      <c r="F136" s="132"/>
      <c r="G136" s="215"/>
      <c r="H136" s="123"/>
    </row>
    <row r="137" spans="1:8" ht="17.25" thickTop="1" thickBot="1" x14ac:dyDescent="0.3">
      <c r="A137" s="141" t="s">
        <v>14</v>
      </c>
      <c r="B137" s="142"/>
      <c r="C137" s="207">
        <f>SUM(C126:C136)</f>
        <v>126772122.09999999</v>
      </c>
      <c r="D137" s="207">
        <f>SUM(D126:D136)</f>
        <v>25205780.379999999</v>
      </c>
      <c r="E137" s="207">
        <f>SUM(E126:E136)</f>
        <v>29103320.57</v>
      </c>
      <c r="F137" s="143">
        <f>(+D137-E137)/E137</f>
        <v>-0.13392080744276397</v>
      </c>
      <c r="G137" s="267">
        <f>D137/C137</f>
        <v>0.19882747060207176</v>
      </c>
      <c r="H137" s="123"/>
    </row>
    <row r="138" spans="1:8" ht="15.75" customHeight="1" thickTop="1" x14ac:dyDescent="0.25">
      <c r="A138" s="138"/>
      <c r="B138" s="139"/>
      <c r="C138" s="205"/>
      <c r="D138" s="205"/>
      <c r="E138" s="205"/>
      <c r="F138" s="140"/>
      <c r="G138" s="219"/>
      <c r="H138" s="123"/>
    </row>
    <row r="139" spans="1:8" ht="15.75" x14ac:dyDescent="0.25">
      <c r="A139" s="130" t="s">
        <v>54</v>
      </c>
      <c r="B139" s="131">
        <f>DATE(2023,7,1)</f>
        <v>45108</v>
      </c>
      <c r="C139" s="204">
        <v>199161</v>
      </c>
      <c r="D139" s="204">
        <v>54168.5</v>
      </c>
      <c r="E139" s="204">
        <v>33672.5</v>
      </c>
      <c r="F139" s="132">
        <f t="shared" ref="F139:F144" si="20">(+D139-E139)/E139</f>
        <v>0.60868661370554611</v>
      </c>
      <c r="G139" s="215">
        <f>D139/C139</f>
        <v>0.27198347065941625</v>
      </c>
      <c r="H139" s="123"/>
    </row>
    <row r="140" spans="1:8" ht="15.75" x14ac:dyDescent="0.25">
      <c r="A140" s="130"/>
      <c r="B140" s="131">
        <f>DATE(2023,8,1)</f>
        <v>45139</v>
      </c>
      <c r="C140" s="204">
        <v>175878</v>
      </c>
      <c r="D140" s="204">
        <v>48279.5</v>
      </c>
      <c r="E140" s="204">
        <v>43554</v>
      </c>
      <c r="F140" s="132">
        <f t="shared" si="20"/>
        <v>0.10849749735959957</v>
      </c>
      <c r="G140" s="215">
        <f>D140/C140</f>
        <v>0.27450562321609295</v>
      </c>
      <c r="H140" s="123"/>
    </row>
    <row r="141" spans="1:8" ht="15.75" x14ac:dyDescent="0.25">
      <c r="A141" s="130"/>
      <c r="B141" s="131">
        <f>DATE(2023,9,1)</f>
        <v>45170</v>
      </c>
      <c r="C141" s="204">
        <v>172935</v>
      </c>
      <c r="D141" s="204">
        <v>44777.5</v>
      </c>
      <c r="E141" s="204">
        <v>21940.5</v>
      </c>
      <c r="F141" s="132">
        <f t="shared" si="20"/>
        <v>1.0408605091041681</v>
      </c>
      <c r="G141" s="215">
        <f>D141/C141</f>
        <v>0.25892676439124529</v>
      </c>
      <c r="H141" s="123"/>
    </row>
    <row r="142" spans="1:8" ht="15.75" x14ac:dyDescent="0.25">
      <c r="A142" s="130"/>
      <c r="B142" s="131">
        <f>DATE(2023,10,1)</f>
        <v>45200</v>
      </c>
      <c r="C142" s="204">
        <v>199343</v>
      </c>
      <c r="D142" s="204">
        <v>43819.5</v>
      </c>
      <c r="E142" s="204">
        <v>23452.5</v>
      </c>
      <c r="F142" s="132">
        <f t="shared" si="20"/>
        <v>0.86843620083146789</v>
      </c>
      <c r="G142" s="215">
        <f>D142/C142</f>
        <v>0.21981960741034298</v>
      </c>
      <c r="H142" s="123"/>
    </row>
    <row r="143" spans="1:8" ht="15.75" x14ac:dyDescent="0.25">
      <c r="A143" s="130"/>
      <c r="B143" s="131">
        <f>DATE(2023,11,1)</f>
        <v>45231</v>
      </c>
      <c r="C143" s="204">
        <v>159884</v>
      </c>
      <c r="D143" s="204">
        <v>38077.5</v>
      </c>
      <c r="E143" s="204">
        <v>27986</v>
      </c>
      <c r="F143" s="132">
        <f t="shared" si="20"/>
        <v>0.3605910097906096</v>
      </c>
      <c r="G143" s="215">
        <f>D143/C143</f>
        <v>0.23815703885316855</v>
      </c>
      <c r="H143" s="123"/>
    </row>
    <row r="144" spans="1:8" ht="15.75" x14ac:dyDescent="0.25">
      <c r="A144" s="130"/>
      <c r="B144" s="131">
        <f>DATE(2023,12,1)</f>
        <v>45261</v>
      </c>
      <c r="C144" s="204">
        <v>0</v>
      </c>
      <c r="D144" s="204">
        <v>0</v>
      </c>
      <c r="E144" s="204">
        <v>31936</v>
      </c>
      <c r="F144" s="132">
        <f t="shared" si="20"/>
        <v>-1</v>
      </c>
      <c r="G144" s="215">
        <v>0</v>
      </c>
      <c r="H144" s="123"/>
    </row>
    <row r="145" spans="1:8" ht="15.75" x14ac:dyDescent="0.25">
      <c r="A145" s="130"/>
      <c r="B145" s="131">
        <f>DATE(2024,1,1)</f>
        <v>45292</v>
      </c>
      <c r="C145" s="204">
        <v>0</v>
      </c>
      <c r="D145" s="204">
        <v>0</v>
      </c>
      <c r="E145" s="204">
        <v>19398.5</v>
      </c>
      <c r="F145" s="132">
        <f>(+D145-E145)/E145</f>
        <v>-1</v>
      </c>
      <c r="G145" s="215">
        <v>0</v>
      </c>
      <c r="H145" s="123"/>
    </row>
    <row r="146" spans="1:8" ht="15.75" x14ac:dyDescent="0.25">
      <c r="A146" s="130"/>
      <c r="B146" s="131">
        <f>DATE(2024,2,1)</f>
        <v>45323</v>
      </c>
      <c r="C146" s="204">
        <v>0</v>
      </c>
      <c r="D146" s="204">
        <v>0</v>
      </c>
      <c r="E146" s="204">
        <v>38642.5</v>
      </c>
      <c r="F146" s="132">
        <f>(+D146-E146)/E146</f>
        <v>-1</v>
      </c>
      <c r="G146" s="215">
        <v>0</v>
      </c>
      <c r="H146" s="123"/>
    </row>
    <row r="147" spans="1:8" ht="15.75" x14ac:dyDescent="0.25">
      <c r="A147" s="130"/>
      <c r="B147" s="131">
        <f>DATE(2024,3,1)</f>
        <v>45352</v>
      </c>
      <c r="C147" s="204">
        <v>0</v>
      </c>
      <c r="D147" s="204">
        <v>0</v>
      </c>
      <c r="E147" s="204">
        <v>57536.5</v>
      </c>
      <c r="F147" s="132">
        <f>(+D147-E147)/E147</f>
        <v>-1</v>
      </c>
      <c r="G147" s="215">
        <v>0</v>
      </c>
      <c r="H147" s="123"/>
    </row>
    <row r="148" spans="1:8" ht="15.75" x14ac:dyDescent="0.25">
      <c r="A148" s="130"/>
      <c r="B148" s="131">
        <f>DATE(2024,4,1)</f>
        <v>45383</v>
      </c>
      <c r="C148" s="204">
        <v>0</v>
      </c>
      <c r="D148" s="204">
        <v>0</v>
      </c>
      <c r="E148" s="204">
        <v>40604.5</v>
      </c>
      <c r="F148" s="132">
        <f>(+D148-E148)/E148</f>
        <v>-1</v>
      </c>
      <c r="G148" s="215">
        <v>0</v>
      </c>
      <c r="H148" s="123"/>
    </row>
    <row r="149" spans="1:8" ht="15.75" thickBot="1" x14ac:dyDescent="0.25">
      <c r="A149" s="133"/>
      <c r="B149" s="134"/>
      <c r="C149" s="204"/>
      <c r="D149" s="204"/>
      <c r="E149" s="204"/>
      <c r="F149" s="132"/>
      <c r="G149" s="215"/>
      <c r="H149" s="123"/>
    </row>
    <row r="150" spans="1:8" ht="17.25" thickTop="1" thickBot="1" x14ac:dyDescent="0.3">
      <c r="A150" s="144" t="s">
        <v>14</v>
      </c>
      <c r="B150" s="145"/>
      <c r="C150" s="207">
        <f>SUM(C139:C149)</f>
        <v>907201</v>
      </c>
      <c r="D150" s="207">
        <f>SUM(D139:D149)</f>
        <v>229122.5</v>
      </c>
      <c r="E150" s="207">
        <f>SUM(E139:E149)</f>
        <v>338723.5</v>
      </c>
      <c r="F150" s="143">
        <f>(+D150-E150)/E150</f>
        <v>-0.32357069999571925</v>
      </c>
      <c r="G150" s="217">
        <f>D150/C150</f>
        <v>0.2525597965610708</v>
      </c>
      <c r="H150" s="123"/>
    </row>
    <row r="151" spans="1:8" ht="15.75" customHeight="1" thickTop="1" x14ac:dyDescent="0.25">
      <c r="A151" s="130"/>
      <c r="B151" s="134"/>
      <c r="C151" s="204"/>
      <c r="D151" s="204"/>
      <c r="E151" s="204"/>
      <c r="F151" s="132"/>
      <c r="G151" s="218"/>
      <c r="H151" s="123"/>
    </row>
    <row r="152" spans="1:8" ht="15.75" x14ac:dyDescent="0.25">
      <c r="A152" s="130" t="s">
        <v>37</v>
      </c>
      <c r="B152" s="131">
        <f>DATE(2023,7,1)</f>
        <v>45108</v>
      </c>
      <c r="C152" s="204">
        <v>20709684</v>
      </c>
      <c r="D152" s="204">
        <v>4690410.88</v>
      </c>
      <c r="E152" s="204">
        <v>4747644.93</v>
      </c>
      <c r="F152" s="132">
        <f t="shared" ref="F152:F157" si="21">(+D152-E152)/E152</f>
        <v>-1.2055250728280519E-2</v>
      </c>
      <c r="G152" s="215">
        <f t="shared" ref="G152:G157" si="22">D152/C152</f>
        <v>0.22648394248796844</v>
      </c>
      <c r="H152" s="123"/>
    </row>
    <row r="153" spans="1:8" ht="15.75" x14ac:dyDescent="0.25">
      <c r="A153" s="130"/>
      <c r="B153" s="131">
        <f>DATE(2023,8,1)</f>
        <v>45139</v>
      </c>
      <c r="C153" s="204">
        <v>20362139</v>
      </c>
      <c r="D153" s="204">
        <v>3109199.97</v>
      </c>
      <c r="E153" s="204">
        <v>5944421.2300000004</v>
      </c>
      <c r="F153" s="132">
        <f t="shared" si="21"/>
        <v>-0.47695497177948137</v>
      </c>
      <c r="G153" s="215">
        <f t="shared" si="22"/>
        <v>0.15269515496382774</v>
      </c>
      <c r="H153" s="123"/>
    </row>
    <row r="154" spans="1:8" ht="15.75" x14ac:dyDescent="0.25">
      <c r="A154" s="130"/>
      <c r="B154" s="131">
        <f>DATE(2023,9,1)</f>
        <v>45170</v>
      </c>
      <c r="C154" s="204">
        <v>21392075</v>
      </c>
      <c r="D154" s="204">
        <v>4835353.0999999996</v>
      </c>
      <c r="E154" s="204">
        <v>4482002.3499999996</v>
      </c>
      <c r="F154" s="132">
        <f t="shared" si="21"/>
        <v>7.8837698512139343E-2</v>
      </c>
      <c r="G154" s="215">
        <f t="shared" si="22"/>
        <v>0.22603478624677595</v>
      </c>
      <c r="H154" s="123"/>
    </row>
    <row r="155" spans="1:8" ht="15.75" x14ac:dyDescent="0.25">
      <c r="A155" s="130"/>
      <c r="B155" s="131">
        <f>DATE(2023,10,1)</f>
        <v>45200</v>
      </c>
      <c r="C155" s="204">
        <v>19934793</v>
      </c>
      <c r="D155" s="204">
        <v>4925406.22</v>
      </c>
      <c r="E155" s="204">
        <v>4856222.42</v>
      </c>
      <c r="F155" s="132">
        <f t="shared" si="21"/>
        <v>1.4246423251758681E-2</v>
      </c>
      <c r="G155" s="215">
        <f t="shared" si="22"/>
        <v>0.24707586479578694</v>
      </c>
      <c r="H155" s="123"/>
    </row>
    <row r="156" spans="1:8" ht="15.75" x14ac:dyDescent="0.25">
      <c r="A156" s="130"/>
      <c r="B156" s="131">
        <f>DATE(2023,11,1)</f>
        <v>45231</v>
      </c>
      <c r="C156" s="204">
        <v>20304922</v>
      </c>
      <c r="D156" s="204">
        <v>3625420.69</v>
      </c>
      <c r="E156" s="204">
        <v>4475648.3499999996</v>
      </c>
      <c r="F156" s="132">
        <f t="shared" si="21"/>
        <v>-0.18996748482261788</v>
      </c>
      <c r="G156" s="215">
        <f t="shared" si="22"/>
        <v>0.17854886071465825</v>
      </c>
      <c r="H156" s="123"/>
    </row>
    <row r="157" spans="1:8" ht="15.75" x14ac:dyDescent="0.25">
      <c r="A157" s="130"/>
      <c r="B157" s="131">
        <f>DATE(2023,12,1)</f>
        <v>45261</v>
      </c>
      <c r="C157" s="204">
        <v>23730013</v>
      </c>
      <c r="D157" s="204">
        <v>5033601.1500000004</v>
      </c>
      <c r="E157" s="204">
        <v>4385866.74</v>
      </c>
      <c r="F157" s="132">
        <f t="shared" si="21"/>
        <v>0.14768675119390429</v>
      </c>
      <c r="G157" s="215">
        <f t="shared" si="22"/>
        <v>0.21211961198672755</v>
      </c>
      <c r="H157" s="123"/>
    </row>
    <row r="158" spans="1:8" ht="15.75" x14ac:dyDescent="0.25">
      <c r="A158" s="130"/>
      <c r="B158" s="131">
        <f>DATE(2024,1,1)</f>
        <v>45292</v>
      </c>
      <c r="C158" s="204">
        <v>22155236</v>
      </c>
      <c r="D158" s="204">
        <v>4031282.04</v>
      </c>
      <c r="E158" s="204">
        <v>4078609.4</v>
      </c>
      <c r="F158" s="132">
        <f>(+D158-E158)/E158</f>
        <v>-1.1603798098440088E-2</v>
      </c>
      <c r="G158" s="215">
        <f>D158/C158</f>
        <v>0.18195617686040447</v>
      </c>
      <c r="H158" s="123"/>
    </row>
    <row r="159" spans="1:8" ht="15.75" x14ac:dyDescent="0.25">
      <c r="A159" s="130"/>
      <c r="B159" s="131">
        <f>DATE(2024,2,1)</f>
        <v>45323</v>
      </c>
      <c r="C159" s="204">
        <v>20554023</v>
      </c>
      <c r="D159" s="204">
        <v>4101154.55</v>
      </c>
      <c r="E159" s="204">
        <v>5567189.9299999997</v>
      </c>
      <c r="F159" s="132">
        <f>(+D159-E159)/E159</f>
        <v>-0.26333489577927871</v>
      </c>
      <c r="G159" s="215">
        <f>D159/C159</f>
        <v>0.19953050310394221</v>
      </c>
      <c r="H159" s="123"/>
    </row>
    <row r="160" spans="1:8" ht="15.75" x14ac:dyDescent="0.25">
      <c r="A160" s="130"/>
      <c r="B160" s="131">
        <f>DATE(2024,3,1)</f>
        <v>45352</v>
      </c>
      <c r="C160" s="204">
        <v>23574838</v>
      </c>
      <c r="D160" s="204">
        <v>4751168.29</v>
      </c>
      <c r="E160" s="204">
        <v>4791404.6399999997</v>
      </c>
      <c r="F160" s="132">
        <f>(+D160-E160)/E160</f>
        <v>-8.397610517820852E-3</v>
      </c>
      <c r="G160" s="215">
        <f>D160/C160</f>
        <v>0.20153556474067819</v>
      </c>
      <c r="H160" s="123"/>
    </row>
    <row r="161" spans="1:8" ht="15.75" x14ac:dyDescent="0.25">
      <c r="A161" s="130"/>
      <c r="B161" s="131">
        <f>DATE(2024,4,1)</f>
        <v>45383</v>
      </c>
      <c r="C161" s="204">
        <v>22140681</v>
      </c>
      <c r="D161" s="204">
        <v>4168058.85</v>
      </c>
      <c r="E161" s="204">
        <v>4936530.01</v>
      </c>
      <c r="F161" s="132">
        <f>(+D161-E161)/E161</f>
        <v>-0.1556703106115625</v>
      </c>
      <c r="G161" s="215">
        <f>D161/C161</f>
        <v>0.18825341686644598</v>
      </c>
      <c r="H161" s="123"/>
    </row>
    <row r="162" spans="1:8" ht="15.75" thickBot="1" x14ac:dyDescent="0.25">
      <c r="A162" s="133"/>
      <c r="B162" s="134"/>
      <c r="C162" s="204"/>
      <c r="D162" s="204"/>
      <c r="E162" s="204"/>
      <c r="F162" s="132"/>
      <c r="G162" s="215"/>
      <c r="H162" s="123"/>
    </row>
    <row r="163" spans="1:8" ht="17.25" thickTop="1" thickBot="1" x14ac:dyDescent="0.3">
      <c r="A163" s="141" t="s">
        <v>14</v>
      </c>
      <c r="B163" s="142"/>
      <c r="C163" s="206">
        <f>SUM(C152:C162)</f>
        <v>214858404</v>
      </c>
      <c r="D163" s="207">
        <f>SUM(D152:D162)</f>
        <v>43271055.739999995</v>
      </c>
      <c r="E163" s="206">
        <f>SUM(E152:E162)</f>
        <v>48265540</v>
      </c>
      <c r="F163" s="143">
        <f>(+D163-E163)/E163</f>
        <v>-0.10347929930961107</v>
      </c>
      <c r="G163" s="217">
        <f>D163/C163</f>
        <v>0.2013933592283409</v>
      </c>
      <c r="H163" s="123"/>
    </row>
    <row r="164" spans="1:8" ht="15.75" customHeight="1" thickTop="1" x14ac:dyDescent="0.25">
      <c r="A164" s="130"/>
      <c r="B164" s="134"/>
      <c r="C164" s="204"/>
      <c r="D164" s="204"/>
      <c r="E164" s="204"/>
      <c r="F164" s="132"/>
      <c r="G164" s="218"/>
      <c r="H164" s="123"/>
    </row>
    <row r="165" spans="1:8" ht="15.75" x14ac:dyDescent="0.25">
      <c r="A165" s="130" t="s">
        <v>57</v>
      </c>
      <c r="B165" s="131">
        <f>DATE(2023,7,1)</f>
        <v>45108</v>
      </c>
      <c r="C165" s="204">
        <v>667022</v>
      </c>
      <c r="D165" s="204">
        <v>167507.5</v>
      </c>
      <c r="E165" s="204">
        <v>196833</v>
      </c>
      <c r="F165" s="132">
        <f t="shared" ref="F165:F170" si="23">(+D165-E165)/E165</f>
        <v>-0.14898670446520654</v>
      </c>
      <c r="G165" s="215">
        <f t="shared" ref="G165:G170" si="24">D165/C165</f>
        <v>0.25112739909628168</v>
      </c>
      <c r="H165" s="123"/>
    </row>
    <row r="166" spans="1:8" ht="15.75" x14ac:dyDescent="0.25">
      <c r="A166" s="130"/>
      <c r="B166" s="131">
        <f>DATE(2023,8,1)</f>
        <v>45139</v>
      </c>
      <c r="C166" s="204">
        <v>610032</v>
      </c>
      <c r="D166" s="204">
        <v>211410</v>
      </c>
      <c r="E166" s="204">
        <v>151280.5</v>
      </c>
      <c r="F166" s="132">
        <f t="shared" si="23"/>
        <v>0.39747026219506149</v>
      </c>
      <c r="G166" s="215">
        <f t="shared" si="24"/>
        <v>0.34655559052639862</v>
      </c>
      <c r="H166" s="123"/>
    </row>
    <row r="167" spans="1:8" ht="15.75" x14ac:dyDescent="0.25">
      <c r="A167" s="130"/>
      <c r="B167" s="131">
        <f>DATE(2023,9,1)</f>
        <v>45170</v>
      </c>
      <c r="C167" s="204">
        <v>532466</v>
      </c>
      <c r="D167" s="204">
        <v>169350</v>
      </c>
      <c r="E167" s="204">
        <v>193974</v>
      </c>
      <c r="F167" s="132">
        <f t="shared" si="23"/>
        <v>-0.12694484827863528</v>
      </c>
      <c r="G167" s="215">
        <f t="shared" si="24"/>
        <v>0.31804847633463923</v>
      </c>
      <c r="H167" s="123"/>
    </row>
    <row r="168" spans="1:8" ht="15.75" x14ac:dyDescent="0.25">
      <c r="A168" s="130"/>
      <c r="B168" s="131">
        <f>DATE(2023,10,1)</f>
        <v>45200</v>
      </c>
      <c r="C168" s="204">
        <v>417867</v>
      </c>
      <c r="D168" s="204">
        <v>88179.5</v>
      </c>
      <c r="E168" s="204">
        <v>196489.5</v>
      </c>
      <c r="F168" s="132">
        <f t="shared" si="23"/>
        <v>-0.55122538354466777</v>
      </c>
      <c r="G168" s="215">
        <f t="shared" si="24"/>
        <v>0.21102288527210811</v>
      </c>
      <c r="H168" s="123"/>
    </row>
    <row r="169" spans="1:8" ht="15.75" x14ac:dyDescent="0.25">
      <c r="A169" s="130"/>
      <c r="B169" s="131">
        <f>DATE(2023,11,1)</f>
        <v>45231</v>
      </c>
      <c r="C169" s="204">
        <v>535756</v>
      </c>
      <c r="D169" s="204">
        <v>133089.5</v>
      </c>
      <c r="E169" s="204">
        <v>205853.5</v>
      </c>
      <c r="F169" s="132">
        <f t="shared" si="23"/>
        <v>-0.3534746798086989</v>
      </c>
      <c r="G169" s="215">
        <f t="shared" si="24"/>
        <v>0.24841439013282166</v>
      </c>
      <c r="H169" s="123"/>
    </row>
    <row r="170" spans="1:8" ht="15.75" x14ac:dyDescent="0.25">
      <c r="A170" s="130"/>
      <c r="B170" s="131">
        <f>DATE(2023,12,1)</f>
        <v>45261</v>
      </c>
      <c r="C170" s="204">
        <v>646232</v>
      </c>
      <c r="D170" s="204">
        <v>263841.5</v>
      </c>
      <c r="E170" s="204">
        <v>179648</v>
      </c>
      <c r="F170" s="132">
        <f t="shared" si="23"/>
        <v>0.46865815372283576</v>
      </c>
      <c r="G170" s="215">
        <f t="shared" si="24"/>
        <v>0.40827674890751309</v>
      </c>
      <c r="H170" s="123"/>
    </row>
    <row r="171" spans="1:8" ht="15.75" x14ac:dyDescent="0.25">
      <c r="A171" s="130"/>
      <c r="B171" s="131">
        <f>DATE(2024,1,1)</f>
        <v>45292</v>
      </c>
      <c r="C171" s="204">
        <v>452540</v>
      </c>
      <c r="D171" s="204">
        <v>139110</v>
      </c>
      <c r="E171" s="204">
        <v>120250</v>
      </c>
      <c r="F171" s="132">
        <f>(+D171-E171)/E171</f>
        <v>0.15683991683991683</v>
      </c>
      <c r="G171" s="215">
        <f>D171/C171</f>
        <v>0.30739824103946611</v>
      </c>
      <c r="H171" s="123"/>
    </row>
    <row r="172" spans="1:8" ht="15.75" x14ac:dyDescent="0.25">
      <c r="A172" s="130"/>
      <c r="B172" s="131">
        <f>DATE(2024,2,1)</f>
        <v>45323</v>
      </c>
      <c r="C172" s="204">
        <v>556739</v>
      </c>
      <c r="D172" s="204">
        <v>167570.5</v>
      </c>
      <c r="E172" s="204">
        <v>189664</v>
      </c>
      <c r="F172" s="132">
        <f>(+D172-E172)/E172</f>
        <v>-0.11648757803273156</v>
      </c>
      <c r="G172" s="215">
        <f>D172/C172</f>
        <v>0.3009857401762765</v>
      </c>
      <c r="H172" s="123"/>
    </row>
    <row r="173" spans="1:8" ht="15.75" x14ac:dyDescent="0.25">
      <c r="A173" s="130"/>
      <c r="B173" s="131">
        <f>DATE(2024,3,1)</f>
        <v>45352</v>
      </c>
      <c r="C173" s="204">
        <v>709180</v>
      </c>
      <c r="D173" s="204">
        <v>169974.5</v>
      </c>
      <c r="E173" s="204">
        <v>187974</v>
      </c>
      <c r="F173" s="132">
        <f>(+D173-E173)/E173</f>
        <v>-9.5755264025875919E-2</v>
      </c>
      <c r="G173" s="215">
        <f>D173/C173</f>
        <v>0.23967751487633604</v>
      </c>
      <c r="H173" s="123"/>
    </row>
    <row r="174" spans="1:8" ht="15.75" x14ac:dyDescent="0.25">
      <c r="A174" s="130"/>
      <c r="B174" s="131">
        <f>DATE(2024,4,1)</f>
        <v>45383</v>
      </c>
      <c r="C174" s="204">
        <v>608443</v>
      </c>
      <c r="D174" s="204">
        <v>92042.5</v>
      </c>
      <c r="E174" s="204">
        <v>218310</v>
      </c>
      <c r="F174" s="132">
        <f>(+D174-E174)/E174</f>
        <v>-0.57838623975081305</v>
      </c>
      <c r="G174" s="215">
        <f>D174/C174</f>
        <v>0.15127546869632816</v>
      </c>
      <c r="H174" s="123"/>
    </row>
    <row r="175" spans="1:8" ht="15.75" thickBot="1" x14ac:dyDescent="0.25">
      <c r="A175" s="133"/>
      <c r="B175" s="134"/>
      <c r="C175" s="204"/>
      <c r="D175" s="204"/>
      <c r="E175" s="204"/>
      <c r="F175" s="132"/>
      <c r="G175" s="215"/>
      <c r="H175" s="123"/>
    </row>
    <row r="176" spans="1:8" ht="17.25" thickTop="1" thickBot="1" x14ac:dyDescent="0.3">
      <c r="A176" s="135" t="s">
        <v>14</v>
      </c>
      <c r="B176" s="136"/>
      <c r="C176" s="201">
        <f>SUM(C165:C175)</f>
        <v>5736277</v>
      </c>
      <c r="D176" s="207">
        <f>SUM(D165:D175)</f>
        <v>1602075.5</v>
      </c>
      <c r="E176" s="207">
        <f>SUM(E165:E175)</f>
        <v>1840276.5</v>
      </c>
      <c r="F176" s="143">
        <f>(+D176-E176)/E176</f>
        <v>-0.12943761440196622</v>
      </c>
      <c r="G176" s="217">
        <f>D176/C176</f>
        <v>0.27928837815886504</v>
      </c>
      <c r="H176" s="123"/>
    </row>
    <row r="177" spans="1:8" ht="16.5" thickTop="1" thickBot="1" x14ac:dyDescent="0.25">
      <c r="A177" s="146"/>
      <c r="B177" s="139"/>
      <c r="C177" s="205"/>
      <c r="D177" s="205"/>
      <c r="E177" s="205"/>
      <c r="F177" s="140"/>
      <c r="G177" s="216"/>
      <c r="H177" s="123"/>
    </row>
    <row r="178" spans="1:8" ht="17.25" thickTop="1" thickBot="1" x14ac:dyDescent="0.3">
      <c r="A178" s="147" t="s">
        <v>38</v>
      </c>
      <c r="B178" s="121"/>
      <c r="C178" s="201">
        <f>C176+C163+C124+C98+C72+C46+C20+C59+C150+C33+C111+C137+C85</f>
        <v>1097039776.76</v>
      </c>
      <c r="D178" s="201">
        <f>D176+D163+D124+D98+D72+D46+D20+D59+D150+D33+D111+D137+D85</f>
        <v>219000877.71999997</v>
      </c>
      <c r="E178" s="201">
        <f>E176+E163+E124+E98+E72+E46+E20+E59+E150+E33+E111+E137+E85</f>
        <v>228746960.56999999</v>
      </c>
      <c r="F178" s="137">
        <f>(+D178-E178)/E178</f>
        <v>-4.2606392783162583E-2</v>
      </c>
      <c r="G178" s="212">
        <f>D178/C178</f>
        <v>0.199628930836763</v>
      </c>
      <c r="H178" s="123"/>
    </row>
    <row r="179" spans="1:8" ht="17.25" thickTop="1" thickBot="1" x14ac:dyDescent="0.3">
      <c r="A179" s="147"/>
      <c r="B179" s="121"/>
      <c r="C179" s="201"/>
      <c r="D179" s="201"/>
      <c r="E179" s="201"/>
      <c r="F179" s="137"/>
      <c r="G179" s="212"/>
      <c r="H179" s="123"/>
    </row>
    <row r="180" spans="1:8" ht="17.25" thickTop="1" thickBot="1" x14ac:dyDescent="0.3">
      <c r="A180" s="265" t="s">
        <v>39</v>
      </c>
      <c r="B180" s="266"/>
      <c r="C180" s="206">
        <f>+C18+C31+C44+C57+C70+C83+C96+C109+C122+C135+C148+C161+C174</f>
        <v>109892494.50999999</v>
      </c>
      <c r="D180" s="206">
        <f>+D18+D31+D44+D57+D70+D83+D96+D109+D122+D135+D148+D161+D174</f>
        <v>21361212.850000001</v>
      </c>
      <c r="E180" s="206">
        <f>+E18+E31+E44+E57+E70+E83+E96+E109+E122+E135+E148+E161+E174</f>
        <v>23872542.93</v>
      </c>
      <c r="F180" s="268">
        <f>(+D180-E180)/E180</f>
        <v>-0.10519742648966296</v>
      </c>
      <c r="G180" s="217">
        <f>D180/C180</f>
        <v>0.19438281881986194</v>
      </c>
      <c r="H180" s="123"/>
    </row>
    <row r="181" spans="1:8" ht="16.5" thickTop="1" x14ac:dyDescent="0.25">
      <c r="A181" s="256"/>
      <c r="B181" s="258"/>
      <c r="C181" s="259"/>
      <c r="D181" s="259"/>
      <c r="E181" s="259"/>
      <c r="F181" s="260"/>
      <c r="G181" s="257"/>
      <c r="H181" s="257"/>
    </row>
    <row r="182" spans="1:8" ht="18.75" x14ac:dyDescent="0.3">
      <c r="A182" s="263" t="s">
        <v>40</v>
      </c>
      <c r="B182" s="117"/>
      <c r="C182" s="208"/>
      <c r="D182" s="208"/>
      <c r="E182" s="208"/>
      <c r="F182" s="148"/>
      <c r="G182" s="220"/>
    </row>
    <row r="183" spans="1:8" ht="15.75" x14ac:dyDescent="0.25">
      <c r="A183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6" max="7" man="1"/>
    <brk id="85" max="7" man="1"/>
    <brk id="124" max="7" man="1"/>
    <brk id="16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77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73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64"/>
      <c r="B17" s="165">
        <f>DATE(24,2,1)</f>
        <v>8798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x14ac:dyDescent="0.25">
      <c r="A18" s="164"/>
      <c r="B18" s="165">
        <f>DATE(24,3,1)</f>
        <v>8827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x14ac:dyDescent="0.25">
      <c r="A19" s="164"/>
      <c r="B19" s="165">
        <f>DATE(24,4,1)</f>
        <v>8858</v>
      </c>
      <c r="C19" s="226">
        <v>0</v>
      </c>
      <c r="D19" s="226">
        <v>0</v>
      </c>
      <c r="E19" s="226">
        <v>0</v>
      </c>
      <c r="F19" s="166">
        <v>0</v>
      </c>
      <c r="G19" s="241">
        <v>0</v>
      </c>
      <c r="H19" s="242">
        <v>0</v>
      </c>
    </row>
    <row r="20" spans="1:8" ht="15.75" thickBot="1" x14ac:dyDescent="0.25">
      <c r="A20" s="167"/>
      <c r="B20" s="168"/>
      <c r="C20" s="226"/>
      <c r="D20" s="226"/>
      <c r="E20" s="226"/>
      <c r="F20" s="166"/>
      <c r="G20" s="241"/>
      <c r="H20" s="242"/>
    </row>
    <row r="21" spans="1:8" ht="17.25" thickTop="1" thickBot="1" x14ac:dyDescent="0.3">
      <c r="A21" s="169" t="s">
        <v>14</v>
      </c>
      <c r="B21" s="155"/>
      <c r="C21" s="223">
        <f>SUM(C10:C20)</f>
        <v>0</v>
      </c>
      <c r="D21" s="223">
        <f>SUM(D10:D20)</f>
        <v>0</v>
      </c>
      <c r="E21" s="223">
        <f>SUM(E10:E20)</f>
        <v>506770.29000000004</v>
      </c>
      <c r="F21" s="176">
        <f>+(D21-E21)/E21</f>
        <v>-1</v>
      </c>
      <c r="G21" s="245">
        <v>0</v>
      </c>
      <c r="H21" s="246">
        <v>0</v>
      </c>
    </row>
    <row r="22" spans="1:8" ht="15.75" thickTop="1" x14ac:dyDescent="0.2">
      <c r="A22" s="171"/>
      <c r="B22" s="172"/>
      <c r="C22" s="227"/>
      <c r="D22" s="227"/>
      <c r="E22" s="227"/>
      <c r="F22" s="173"/>
      <c r="G22" s="243"/>
      <c r="H22" s="244"/>
    </row>
    <row r="23" spans="1:8" ht="15.75" x14ac:dyDescent="0.25">
      <c r="A23" s="19" t="s">
        <v>48</v>
      </c>
      <c r="B23" s="165">
        <f>DATE(23,7,1)</f>
        <v>8583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DATE(23,8,1)</f>
        <v>8614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DATE(23,9,1)</f>
        <v>8645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DATE(23,10,1)</f>
        <v>8675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DATE(23,11,1)</f>
        <v>8706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DATE(23,12,1)</f>
        <v>8736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DATE(24,1,1)</f>
        <v>8767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DATE(24,2,1)</f>
        <v>8798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DATE(24,3,1)</f>
        <v>8827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DATE(24,4,1)</f>
        <v>8858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thickBot="1" x14ac:dyDescent="0.25">
      <c r="A33" s="167"/>
      <c r="B33" s="165"/>
      <c r="C33" s="226"/>
      <c r="D33" s="226"/>
      <c r="E33" s="226"/>
      <c r="F33" s="166"/>
      <c r="G33" s="241"/>
      <c r="H33" s="242"/>
    </row>
    <row r="34" spans="1:8" ht="17.25" thickTop="1" thickBot="1" x14ac:dyDescent="0.3">
      <c r="A34" s="169" t="s">
        <v>14</v>
      </c>
      <c r="B34" s="155"/>
      <c r="C34" s="223">
        <f>SUM(C23:C33)</f>
        <v>0</v>
      </c>
      <c r="D34" s="223">
        <f>SUM(D23:D33)</f>
        <v>0</v>
      </c>
      <c r="E34" s="223">
        <f>SUM(E23:E33)</f>
        <v>0</v>
      </c>
      <c r="F34" s="170">
        <v>0</v>
      </c>
      <c r="G34" s="236">
        <v>0</v>
      </c>
      <c r="H34" s="237">
        <v>0</v>
      </c>
    </row>
    <row r="35" spans="1:8" ht="15.75" thickTop="1" x14ac:dyDescent="0.2">
      <c r="A35" s="171"/>
      <c r="B35" s="172"/>
      <c r="C35" s="227"/>
      <c r="D35" s="227"/>
      <c r="E35" s="227"/>
      <c r="F35" s="173"/>
      <c r="G35" s="243"/>
      <c r="H35" s="244"/>
    </row>
    <row r="36" spans="1:8" ht="15.75" x14ac:dyDescent="0.25">
      <c r="A36" s="19" t="s">
        <v>62</v>
      </c>
      <c r="B36" s="165">
        <f>DATE(23,7,1)</f>
        <v>8583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x14ac:dyDescent="0.25">
      <c r="A37" s="19"/>
      <c r="B37" s="165">
        <f>DATE(23,8,1)</f>
        <v>8614</v>
      </c>
      <c r="C37" s="226">
        <v>0</v>
      </c>
      <c r="D37" s="226">
        <v>0</v>
      </c>
      <c r="E37" s="226">
        <v>0</v>
      </c>
      <c r="F37" s="166">
        <v>0</v>
      </c>
      <c r="G37" s="241">
        <v>0</v>
      </c>
      <c r="H37" s="242">
        <v>0</v>
      </c>
    </row>
    <row r="38" spans="1:8" ht="15.75" x14ac:dyDescent="0.25">
      <c r="A38" s="19"/>
      <c r="B38" s="165">
        <f>DATE(23,9,1)</f>
        <v>8645</v>
      </c>
      <c r="C38" s="226">
        <v>0</v>
      </c>
      <c r="D38" s="226">
        <v>0</v>
      </c>
      <c r="E38" s="226">
        <v>0</v>
      </c>
      <c r="F38" s="166">
        <v>0</v>
      </c>
      <c r="G38" s="241">
        <v>0</v>
      </c>
      <c r="H38" s="242">
        <v>0</v>
      </c>
    </row>
    <row r="39" spans="1:8" ht="15.75" x14ac:dyDescent="0.25">
      <c r="A39" s="19"/>
      <c r="B39" s="165">
        <f>DATE(23,10,1)</f>
        <v>8675</v>
      </c>
      <c r="C39" s="226">
        <v>0</v>
      </c>
      <c r="D39" s="226">
        <v>0</v>
      </c>
      <c r="E39" s="226">
        <v>0</v>
      </c>
      <c r="F39" s="166">
        <v>0</v>
      </c>
      <c r="G39" s="241">
        <v>0</v>
      </c>
      <c r="H39" s="242">
        <v>0</v>
      </c>
    </row>
    <row r="40" spans="1:8" ht="15.75" x14ac:dyDescent="0.25">
      <c r="A40" s="19"/>
      <c r="B40" s="165">
        <f>DATE(23,11,1)</f>
        <v>8706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9"/>
      <c r="B41" s="165">
        <f>DATE(23,12,1)</f>
        <v>8736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9"/>
      <c r="B42" s="165">
        <f>DATE(24,1,1)</f>
        <v>8767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x14ac:dyDescent="0.25">
      <c r="A43" s="19"/>
      <c r="B43" s="165">
        <f>DATE(24,2,1)</f>
        <v>8798</v>
      </c>
      <c r="C43" s="226">
        <v>0</v>
      </c>
      <c r="D43" s="226">
        <v>0</v>
      </c>
      <c r="E43" s="226">
        <v>0</v>
      </c>
      <c r="F43" s="166">
        <v>0</v>
      </c>
      <c r="G43" s="241">
        <v>0</v>
      </c>
      <c r="H43" s="242">
        <v>0</v>
      </c>
    </row>
    <row r="44" spans="1:8" ht="15.75" x14ac:dyDescent="0.25">
      <c r="A44" s="19"/>
      <c r="B44" s="165">
        <f>DATE(24,3,1)</f>
        <v>8827</v>
      </c>
      <c r="C44" s="226">
        <v>0</v>
      </c>
      <c r="D44" s="226">
        <v>0</v>
      </c>
      <c r="E44" s="226">
        <v>0</v>
      </c>
      <c r="F44" s="166">
        <v>0</v>
      </c>
      <c r="G44" s="241">
        <v>0</v>
      </c>
      <c r="H44" s="242">
        <v>0</v>
      </c>
    </row>
    <row r="45" spans="1:8" ht="15.75" x14ac:dyDescent="0.25">
      <c r="A45" s="19"/>
      <c r="B45" s="165">
        <f>DATE(24,4,1)</f>
        <v>8858</v>
      </c>
      <c r="C45" s="226">
        <v>0</v>
      </c>
      <c r="D45" s="226">
        <v>0</v>
      </c>
      <c r="E45" s="226">
        <v>0</v>
      </c>
      <c r="F45" s="166">
        <v>0</v>
      </c>
      <c r="G45" s="241">
        <v>0</v>
      </c>
      <c r="H45" s="242">
        <v>0</v>
      </c>
    </row>
    <row r="46" spans="1:8" ht="15.75" thickBot="1" x14ac:dyDescent="0.25">
      <c r="A46" s="167"/>
      <c r="B46" s="165"/>
      <c r="C46" s="226"/>
      <c r="D46" s="226"/>
      <c r="E46" s="226"/>
      <c r="F46" s="166"/>
      <c r="G46" s="241"/>
      <c r="H46" s="242"/>
    </row>
    <row r="47" spans="1:8" ht="17.25" thickTop="1" thickBot="1" x14ac:dyDescent="0.3">
      <c r="A47" s="174" t="s">
        <v>14</v>
      </c>
      <c r="B47" s="175"/>
      <c r="C47" s="228">
        <f>SUM(C36:C46)</f>
        <v>0</v>
      </c>
      <c r="D47" s="228">
        <f>SUM(D36:D46)</f>
        <v>0</v>
      </c>
      <c r="E47" s="228">
        <f>SUM(E36:E46)</f>
        <v>0</v>
      </c>
      <c r="F47" s="176">
        <v>0</v>
      </c>
      <c r="G47" s="245">
        <v>0</v>
      </c>
      <c r="H47" s="246">
        <v>0</v>
      </c>
    </row>
    <row r="48" spans="1:8" ht="15.75" thickTop="1" x14ac:dyDescent="0.2">
      <c r="A48" s="167"/>
      <c r="B48" s="168"/>
      <c r="C48" s="226"/>
      <c r="D48" s="226"/>
      <c r="E48" s="226"/>
      <c r="F48" s="166"/>
      <c r="G48" s="241"/>
      <c r="H48" s="242"/>
    </row>
    <row r="49" spans="1:8" ht="15.75" x14ac:dyDescent="0.25">
      <c r="A49" s="295" t="s">
        <v>58</v>
      </c>
      <c r="B49" s="165">
        <f>DATE(23,7,1)</f>
        <v>8583</v>
      </c>
      <c r="C49" s="226">
        <v>0</v>
      </c>
      <c r="D49" s="226">
        <v>0</v>
      </c>
      <c r="E49" s="226">
        <v>133555.04</v>
      </c>
      <c r="F49" s="166">
        <v>-1</v>
      </c>
      <c r="G49" s="241">
        <v>0</v>
      </c>
      <c r="H49" s="289">
        <v>0</v>
      </c>
    </row>
    <row r="50" spans="1:8" ht="15.75" x14ac:dyDescent="0.25">
      <c r="A50" s="177"/>
      <c r="B50" s="165">
        <f>DATE(23,8,1)</f>
        <v>8614</v>
      </c>
      <c r="C50" s="226">
        <v>0</v>
      </c>
      <c r="D50" s="226">
        <v>0</v>
      </c>
      <c r="E50" s="226">
        <v>183477.77</v>
      </c>
      <c r="F50" s="166">
        <v>-1</v>
      </c>
      <c r="G50" s="241">
        <v>0</v>
      </c>
      <c r="H50" s="289">
        <v>0</v>
      </c>
    </row>
    <row r="51" spans="1:8" ht="15.75" x14ac:dyDescent="0.25">
      <c r="A51" s="177"/>
      <c r="B51" s="165">
        <f>DATE(23,9,1)</f>
        <v>8645</v>
      </c>
      <c r="C51" s="226">
        <v>0</v>
      </c>
      <c r="D51" s="226">
        <v>0</v>
      </c>
      <c r="E51" s="226">
        <v>155342.66</v>
      </c>
      <c r="F51" s="166">
        <v>-1</v>
      </c>
      <c r="G51" s="241">
        <v>0</v>
      </c>
      <c r="H51" s="289">
        <v>0</v>
      </c>
    </row>
    <row r="52" spans="1:8" ht="15.75" x14ac:dyDescent="0.25">
      <c r="A52" s="177"/>
      <c r="B52" s="165">
        <f>DATE(23,10,1)</f>
        <v>8675</v>
      </c>
      <c r="C52" s="226">
        <v>0</v>
      </c>
      <c r="D52" s="226">
        <v>0</v>
      </c>
      <c r="E52" s="226">
        <v>95342.11</v>
      </c>
      <c r="F52" s="166">
        <v>-1</v>
      </c>
      <c r="G52" s="241">
        <v>0</v>
      </c>
      <c r="H52" s="289">
        <v>0</v>
      </c>
    </row>
    <row r="53" spans="1:8" ht="15.75" x14ac:dyDescent="0.25">
      <c r="A53" s="177"/>
      <c r="B53" s="165">
        <f>DATE(23,11,1)</f>
        <v>8706</v>
      </c>
      <c r="C53" s="226">
        <v>0</v>
      </c>
      <c r="D53" s="226">
        <v>0</v>
      </c>
      <c r="E53" s="226">
        <v>123201.53</v>
      </c>
      <c r="F53" s="166">
        <v>-1</v>
      </c>
      <c r="G53" s="241">
        <v>0</v>
      </c>
      <c r="H53" s="289">
        <v>0</v>
      </c>
    </row>
    <row r="54" spans="1:8" ht="15.75" x14ac:dyDescent="0.25">
      <c r="A54" s="177"/>
      <c r="B54" s="165">
        <f>DATE(23,12,1)</f>
        <v>8736</v>
      </c>
      <c r="C54" s="226">
        <v>0</v>
      </c>
      <c r="D54" s="226">
        <v>0</v>
      </c>
      <c r="E54" s="226">
        <v>124084.02</v>
      </c>
      <c r="F54" s="166">
        <v>-1</v>
      </c>
      <c r="G54" s="241">
        <v>0</v>
      </c>
      <c r="H54" s="289">
        <v>0</v>
      </c>
    </row>
    <row r="55" spans="1:8" ht="15.75" x14ac:dyDescent="0.25">
      <c r="A55" s="177"/>
      <c r="B55" s="165">
        <f>DATE(24,1,1)</f>
        <v>8767</v>
      </c>
      <c r="C55" s="226">
        <v>0</v>
      </c>
      <c r="D55" s="226">
        <v>0</v>
      </c>
      <c r="E55" s="226">
        <v>43801.09</v>
      </c>
      <c r="F55" s="166">
        <v>-1</v>
      </c>
      <c r="G55" s="241">
        <v>0</v>
      </c>
      <c r="H55" s="289">
        <v>0</v>
      </c>
    </row>
    <row r="56" spans="1:8" ht="15.75" x14ac:dyDescent="0.25">
      <c r="A56" s="177"/>
      <c r="B56" s="291">
        <f>DATE(24,2,1)</f>
        <v>8798</v>
      </c>
      <c r="C56" s="226">
        <v>0</v>
      </c>
      <c r="D56" s="226">
        <v>0</v>
      </c>
      <c r="E56" s="294">
        <v>0</v>
      </c>
      <c r="F56" s="166">
        <v>0</v>
      </c>
      <c r="G56" s="241">
        <v>0</v>
      </c>
      <c r="H56" s="242">
        <v>0</v>
      </c>
    </row>
    <row r="57" spans="1:8" ht="15.75" x14ac:dyDescent="0.25">
      <c r="A57" s="177"/>
      <c r="B57" s="165">
        <f>DATE(24,3,1)</f>
        <v>8827</v>
      </c>
      <c r="C57" s="226">
        <v>0</v>
      </c>
      <c r="D57" s="226">
        <v>0</v>
      </c>
      <c r="E57" s="294">
        <v>0</v>
      </c>
      <c r="F57" s="166">
        <v>0</v>
      </c>
      <c r="G57" s="241">
        <v>0</v>
      </c>
      <c r="H57" s="242">
        <v>0</v>
      </c>
    </row>
    <row r="58" spans="1:8" ht="15.75" x14ac:dyDescent="0.25">
      <c r="A58" s="177"/>
      <c r="B58" s="165">
        <f>DATE(24,4,1)</f>
        <v>8858</v>
      </c>
      <c r="C58" s="226">
        <v>0</v>
      </c>
      <c r="D58" s="226">
        <v>0</v>
      </c>
      <c r="E58" s="294">
        <v>0</v>
      </c>
      <c r="F58" s="166">
        <v>0</v>
      </c>
      <c r="G58" s="241">
        <v>0</v>
      </c>
      <c r="H58" s="242">
        <v>0</v>
      </c>
    </row>
    <row r="59" spans="1:8" ht="15.75" thickBot="1" x14ac:dyDescent="0.25">
      <c r="A59" s="167"/>
      <c r="B59" s="168"/>
      <c r="C59" s="226"/>
      <c r="D59" s="226"/>
      <c r="E59" s="226"/>
      <c r="F59" s="166"/>
      <c r="G59" s="241"/>
      <c r="H59" s="242"/>
    </row>
    <row r="60" spans="1:8" ht="17.25" thickTop="1" thickBot="1" x14ac:dyDescent="0.3">
      <c r="A60" s="174" t="s">
        <v>14</v>
      </c>
      <c r="B60" s="178"/>
      <c r="C60" s="228">
        <f>SUM(C49:C59)</f>
        <v>0</v>
      </c>
      <c r="D60" s="228">
        <f>SUM(D49:D59)</f>
        <v>0</v>
      </c>
      <c r="E60" s="228">
        <f>SUM(E49:E59)</f>
        <v>858804.22</v>
      </c>
      <c r="F60" s="176">
        <f>+(D60-E60)/E60</f>
        <v>-1</v>
      </c>
      <c r="G60" s="245">
        <v>0</v>
      </c>
      <c r="H60" s="246">
        <v>0</v>
      </c>
    </row>
    <row r="61" spans="1:8" ht="15.75" thickTop="1" x14ac:dyDescent="0.2">
      <c r="A61" s="167"/>
      <c r="B61" s="168"/>
      <c r="C61" s="226"/>
      <c r="D61" s="226"/>
      <c r="E61" s="226"/>
      <c r="F61" s="166"/>
      <c r="G61" s="241"/>
      <c r="H61" s="242"/>
    </row>
    <row r="62" spans="1:8" ht="15.75" x14ac:dyDescent="0.25">
      <c r="A62" s="164" t="s">
        <v>60</v>
      </c>
      <c r="B62" s="165">
        <f>DATE(23,7,1)</f>
        <v>8583</v>
      </c>
      <c r="C62" s="226">
        <v>0</v>
      </c>
      <c r="D62" s="226">
        <v>0</v>
      </c>
      <c r="E62" s="226">
        <v>0</v>
      </c>
      <c r="F62" s="166">
        <v>0</v>
      </c>
      <c r="G62" s="241">
        <v>0</v>
      </c>
      <c r="H62" s="242">
        <v>0</v>
      </c>
    </row>
    <row r="63" spans="1:8" ht="15.75" x14ac:dyDescent="0.25">
      <c r="A63" s="164"/>
      <c r="B63" s="165">
        <f>DATE(23,8,1)</f>
        <v>8614</v>
      </c>
      <c r="C63" s="226">
        <v>0</v>
      </c>
      <c r="D63" s="226">
        <v>0</v>
      </c>
      <c r="E63" s="226">
        <v>0</v>
      </c>
      <c r="F63" s="166">
        <v>0</v>
      </c>
      <c r="G63" s="241">
        <v>0</v>
      </c>
      <c r="H63" s="242">
        <v>0</v>
      </c>
    </row>
    <row r="64" spans="1:8" ht="15.75" x14ac:dyDescent="0.25">
      <c r="A64" s="164"/>
      <c r="B64" s="165">
        <f>DATE(23,9,1)</f>
        <v>8645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DATE(23,10,1)</f>
        <v>8675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DATE(23,11,1)</f>
        <v>8706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x14ac:dyDescent="0.25">
      <c r="A67" s="164"/>
      <c r="B67" s="165">
        <f>DATE(23,12,1)</f>
        <v>8736</v>
      </c>
      <c r="C67" s="226">
        <v>0</v>
      </c>
      <c r="D67" s="226">
        <v>0</v>
      </c>
      <c r="E67" s="226">
        <v>0</v>
      </c>
      <c r="F67" s="166">
        <v>0</v>
      </c>
      <c r="G67" s="241">
        <v>0</v>
      </c>
      <c r="H67" s="242">
        <v>0</v>
      </c>
    </row>
    <row r="68" spans="1:8" ht="15.75" x14ac:dyDescent="0.25">
      <c r="A68" s="164"/>
      <c r="B68" s="165">
        <f>DATE(24,1,1)</f>
        <v>8767</v>
      </c>
      <c r="C68" s="226">
        <v>0</v>
      </c>
      <c r="D68" s="226">
        <v>0</v>
      </c>
      <c r="E68" s="226">
        <v>0</v>
      </c>
      <c r="F68" s="166">
        <v>0</v>
      </c>
      <c r="G68" s="241">
        <v>0</v>
      </c>
      <c r="H68" s="242">
        <v>0</v>
      </c>
    </row>
    <row r="69" spans="1:8" ht="15.75" x14ac:dyDescent="0.25">
      <c r="A69" s="164"/>
      <c r="B69" s="165">
        <f>DATE(24,2,1)</f>
        <v>8798</v>
      </c>
      <c r="C69" s="226">
        <v>0</v>
      </c>
      <c r="D69" s="226">
        <v>0</v>
      </c>
      <c r="E69" s="226">
        <v>0</v>
      </c>
      <c r="F69" s="166">
        <v>0</v>
      </c>
      <c r="G69" s="241">
        <v>0</v>
      </c>
      <c r="H69" s="242">
        <v>0</v>
      </c>
    </row>
    <row r="70" spans="1:8" ht="15.75" x14ac:dyDescent="0.25">
      <c r="A70" s="164"/>
      <c r="B70" s="165">
        <f>DATE(24,3,1)</f>
        <v>8827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DATE(24,4,1)</f>
        <v>8858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thickBot="1" x14ac:dyDescent="0.25">
      <c r="A72" s="167"/>
      <c r="B72" s="165"/>
      <c r="C72" s="226"/>
      <c r="D72" s="226"/>
      <c r="E72" s="226"/>
      <c r="F72" s="166"/>
      <c r="G72" s="241"/>
      <c r="H72" s="242"/>
    </row>
    <row r="73" spans="1:8" ht="17.25" thickTop="1" thickBot="1" x14ac:dyDescent="0.3">
      <c r="A73" s="174" t="s">
        <v>14</v>
      </c>
      <c r="B73" s="175"/>
      <c r="C73" s="228">
        <f>SUM(C62:C72)</f>
        <v>0</v>
      </c>
      <c r="D73" s="230">
        <f>SUM(D62:D72)</f>
        <v>0</v>
      </c>
      <c r="E73" s="271">
        <f>SUM(E62:E72)</f>
        <v>0</v>
      </c>
      <c r="F73" s="176">
        <v>0</v>
      </c>
      <c r="G73" s="245">
        <v>0</v>
      </c>
      <c r="H73" s="246">
        <v>0</v>
      </c>
    </row>
    <row r="74" spans="1:8" ht="15.75" thickTop="1" x14ac:dyDescent="0.2">
      <c r="A74" s="167"/>
      <c r="B74" s="168"/>
      <c r="C74" s="226"/>
      <c r="D74" s="226"/>
      <c r="E74" s="226"/>
      <c r="F74" s="166"/>
      <c r="G74" s="241"/>
      <c r="H74" s="242"/>
    </row>
    <row r="75" spans="1:8" ht="15.75" x14ac:dyDescent="0.25">
      <c r="A75" s="164" t="s">
        <v>64</v>
      </c>
      <c r="B75" s="165">
        <f>DATE(23,7,1)</f>
        <v>8583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DATE(23,8,1)</f>
        <v>8614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DATE(23,9,1)</f>
        <v>8645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DATE(23,10,1)</f>
        <v>8675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5.75" x14ac:dyDescent="0.25">
      <c r="A79" s="164"/>
      <c r="B79" s="165">
        <f>DATE(23,11,1)</f>
        <v>8706</v>
      </c>
      <c r="C79" s="226">
        <v>0</v>
      </c>
      <c r="D79" s="226">
        <v>0</v>
      </c>
      <c r="E79" s="226">
        <v>0</v>
      </c>
      <c r="F79" s="166">
        <v>0</v>
      </c>
      <c r="G79" s="241">
        <v>0</v>
      </c>
      <c r="H79" s="242">
        <v>0</v>
      </c>
    </row>
    <row r="80" spans="1:8" ht="15.75" x14ac:dyDescent="0.25">
      <c r="A80" s="164"/>
      <c r="B80" s="165">
        <f>DATE(23,12,1)</f>
        <v>8736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DATE(24,1,1)</f>
        <v>8767</v>
      </c>
      <c r="C81" s="226">
        <v>0</v>
      </c>
      <c r="D81" s="226">
        <v>0</v>
      </c>
      <c r="E81" s="226">
        <v>0</v>
      </c>
      <c r="F81" s="166">
        <v>0</v>
      </c>
      <c r="G81" s="241">
        <v>0</v>
      </c>
      <c r="H81" s="242">
        <v>0</v>
      </c>
    </row>
    <row r="82" spans="1:8" ht="15.75" x14ac:dyDescent="0.25">
      <c r="A82" s="164"/>
      <c r="B82" s="165">
        <f>DATE(24,2,1)</f>
        <v>8798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DATE(24,3,1)</f>
        <v>8827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DATE(24,4,1)</f>
        <v>8858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thickBot="1" x14ac:dyDescent="0.25">
      <c r="A85" s="167"/>
      <c r="B85" s="165"/>
      <c r="C85" s="226"/>
      <c r="D85" s="226"/>
      <c r="E85" s="226"/>
      <c r="F85" s="166"/>
      <c r="G85" s="241"/>
      <c r="H85" s="242"/>
    </row>
    <row r="86" spans="1:8" ht="17.25" thickTop="1" thickBot="1" x14ac:dyDescent="0.3">
      <c r="A86" s="174" t="s">
        <v>14</v>
      </c>
      <c r="B86" s="175"/>
      <c r="C86" s="228">
        <f>SUM(C75:C85)</f>
        <v>0</v>
      </c>
      <c r="D86" s="230">
        <f>SUM(D75:D85)</f>
        <v>0</v>
      </c>
      <c r="E86" s="271">
        <f>SUM(E75:E85)</f>
        <v>0</v>
      </c>
      <c r="F86" s="176">
        <v>0</v>
      </c>
      <c r="G86" s="245">
        <v>0</v>
      </c>
      <c r="H86" s="246">
        <v>0</v>
      </c>
    </row>
    <row r="87" spans="1:8" ht="15.75" thickTop="1" x14ac:dyDescent="0.2">
      <c r="A87" s="167"/>
      <c r="B87" s="168"/>
      <c r="C87" s="226"/>
      <c r="D87" s="226"/>
      <c r="E87" s="226"/>
      <c r="F87" s="166"/>
      <c r="G87" s="241"/>
      <c r="H87" s="242"/>
    </row>
    <row r="88" spans="1:8" ht="15.75" x14ac:dyDescent="0.25">
      <c r="A88" s="164" t="s">
        <v>67</v>
      </c>
      <c r="B88" s="165">
        <f>DATE(23,7,1)</f>
        <v>8583</v>
      </c>
      <c r="C88" s="226">
        <v>0</v>
      </c>
      <c r="D88" s="226">
        <v>0</v>
      </c>
      <c r="E88" s="226">
        <v>0</v>
      </c>
      <c r="F88" s="166">
        <v>0</v>
      </c>
      <c r="G88" s="241">
        <v>0</v>
      </c>
      <c r="H88" s="242">
        <v>0</v>
      </c>
    </row>
    <row r="89" spans="1:8" ht="15.75" x14ac:dyDescent="0.25">
      <c r="A89" s="164"/>
      <c r="B89" s="165">
        <f>DATE(23,8,1)</f>
        <v>8614</v>
      </c>
      <c r="C89" s="226">
        <v>0</v>
      </c>
      <c r="D89" s="226">
        <v>0</v>
      </c>
      <c r="E89" s="226">
        <v>0</v>
      </c>
      <c r="F89" s="166">
        <v>0</v>
      </c>
      <c r="G89" s="241">
        <v>0</v>
      </c>
      <c r="H89" s="242">
        <v>0</v>
      </c>
    </row>
    <row r="90" spans="1:8" ht="15.75" x14ac:dyDescent="0.25">
      <c r="A90" s="164"/>
      <c r="B90" s="165">
        <f>DATE(23,9,1)</f>
        <v>8645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DATE(23,10,1)</f>
        <v>8675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DATE(23,11,1)</f>
        <v>8706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DATE(23,12,1)</f>
        <v>8736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DATE(24,1,1)</f>
        <v>8767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DATE(24,2,1)</f>
        <v>8798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DATE(24,3,1)</f>
        <v>8827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5.75" x14ac:dyDescent="0.25">
      <c r="A97" s="164"/>
      <c r="B97" s="165">
        <f>DATE(24,4,1)</f>
        <v>8858</v>
      </c>
      <c r="C97" s="226">
        <v>0</v>
      </c>
      <c r="D97" s="226">
        <v>0</v>
      </c>
      <c r="E97" s="226">
        <v>0</v>
      </c>
      <c r="F97" s="166">
        <v>0</v>
      </c>
      <c r="G97" s="241">
        <v>0</v>
      </c>
      <c r="H97" s="242">
        <v>0</v>
      </c>
    </row>
    <row r="98" spans="1:8" ht="15.75" thickBot="1" x14ac:dyDescent="0.25">
      <c r="A98" s="167"/>
      <c r="B98" s="165"/>
      <c r="C98" s="226"/>
      <c r="D98" s="226"/>
      <c r="E98" s="226"/>
      <c r="F98" s="166"/>
      <c r="G98" s="241"/>
      <c r="H98" s="242"/>
    </row>
    <row r="99" spans="1:8" ht="17.25" thickTop="1" thickBot="1" x14ac:dyDescent="0.3">
      <c r="A99" s="174" t="s">
        <v>14</v>
      </c>
      <c r="B99" s="175"/>
      <c r="C99" s="228">
        <f>SUM(C88:C98)</f>
        <v>0</v>
      </c>
      <c r="D99" s="230">
        <f>SUM(D88:D98)</f>
        <v>0</v>
      </c>
      <c r="E99" s="271">
        <f>SUM(E88:E98)</f>
        <v>0</v>
      </c>
      <c r="F99" s="176">
        <v>0</v>
      </c>
      <c r="G99" s="245">
        <v>0</v>
      </c>
      <c r="H99" s="246">
        <v>0</v>
      </c>
    </row>
    <row r="100" spans="1:8" ht="15.75" thickTop="1" x14ac:dyDescent="0.2">
      <c r="A100" s="167"/>
      <c r="B100" s="168"/>
      <c r="C100" s="226"/>
      <c r="D100" s="226"/>
      <c r="E100" s="226"/>
      <c r="F100" s="166"/>
      <c r="G100" s="241"/>
      <c r="H100" s="242"/>
    </row>
    <row r="101" spans="1:8" ht="15.75" x14ac:dyDescent="0.25">
      <c r="A101" s="164" t="s">
        <v>69</v>
      </c>
      <c r="B101" s="165">
        <f>DATE(23,7,1)</f>
        <v>8583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DATE(23,8,1)</f>
        <v>8614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DATE(23,9,1)</f>
        <v>8645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DATE(23,10,1)</f>
        <v>8675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DATE(23,11,1)</f>
        <v>8706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5.75" x14ac:dyDescent="0.25">
      <c r="A106" s="164"/>
      <c r="B106" s="165">
        <f>DATE(23,12,1)</f>
        <v>8736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x14ac:dyDescent="0.25">
      <c r="A107" s="164"/>
      <c r="B107" s="165">
        <f>DATE(24,1,1)</f>
        <v>8767</v>
      </c>
      <c r="C107" s="226">
        <v>0</v>
      </c>
      <c r="D107" s="226">
        <v>0</v>
      </c>
      <c r="E107" s="226">
        <v>0</v>
      </c>
      <c r="F107" s="166">
        <v>0</v>
      </c>
      <c r="G107" s="241">
        <v>0</v>
      </c>
      <c r="H107" s="242">
        <v>0</v>
      </c>
    </row>
    <row r="108" spans="1:8" ht="15.75" x14ac:dyDescent="0.25">
      <c r="A108" s="164"/>
      <c r="B108" s="165">
        <f>DATE(24,2,1)</f>
        <v>8798</v>
      </c>
      <c r="C108" s="226">
        <v>0</v>
      </c>
      <c r="D108" s="226">
        <v>0</v>
      </c>
      <c r="E108" s="226">
        <v>0</v>
      </c>
      <c r="F108" s="166">
        <v>0</v>
      </c>
      <c r="G108" s="241">
        <v>0</v>
      </c>
      <c r="H108" s="242">
        <v>0</v>
      </c>
    </row>
    <row r="109" spans="1:8" ht="15.75" x14ac:dyDescent="0.25">
      <c r="A109" s="164"/>
      <c r="B109" s="165">
        <f>DATE(24,3,1)</f>
        <v>8827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DATE(24,4,1)</f>
        <v>8858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thickBot="1" x14ac:dyDescent="0.25">
      <c r="A111" s="167"/>
      <c r="B111" s="165"/>
      <c r="C111" s="226"/>
      <c r="D111" s="226"/>
      <c r="E111" s="226"/>
      <c r="F111" s="166"/>
      <c r="G111" s="241"/>
      <c r="H111" s="242"/>
    </row>
    <row r="112" spans="1:8" ht="17.25" thickTop="1" thickBot="1" x14ac:dyDescent="0.3">
      <c r="A112" s="174" t="s">
        <v>14</v>
      </c>
      <c r="B112" s="175"/>
      <c r="C112" s="228">
        <f>SUM(C101:C111)</f>
        <v>0</v>
      </c>
      <c r="D112" s="230">
        <f>SUM(D101:D111)</f>
        <v>0</v>
      </c>
      <c r="E112" s="271">
        <f>SUM(E101:E111)</f>
        <v>0</v>
      </c>
      <c r="F112" s="176">
        <v>0</v>
      </c>
      <c r="G112" s="249">
        <v>0</v>
      </c>
      <c r="H112" s="270">
        <v>0</v>
      </c>
    </row>
    <row r="113" spans="1:8" ht="15.75" thickTop="1" x14ac:dyDescent="0.2">
      <c r="A113" s="167"/>
      <c r="B113" s="179"/>
      <c r="C113" s="229"/>
      <c r="D113" s="229"/>
      <c r="E113" s="229"/>
      <c r="F113" s="180"/>
      <c r="G113" s="247"/>
      <c r="H113" s="248"/>
    </row>
    <row r="114" spans="1:8" ht="15.75" x14ac:dyDescent="0.25">
      <c r="A114" s="164" t="s">
        <v>16</v>
      </c>
      <c r="B114" s="165">
        <f>DATE(23,7,1)</f>
        <v>8583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5.75" x14ac:dyDescent="0.25">
      <c r="A115" s="164"/>
      <c r="B115" s="165">
        <f>DATE(23,8,1)</f>
        <v>8614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165">
        <f>DATE(23,9,1)</f>
        <v>8645</v>
      </c>
      <c r="C116" s="226">
        <v>0</v>
      </c>
      <c r="D116" s="226">
        <v>0</v>
      </c>
      <c r="E116" s="226">
        <v>0</v>
      </c>
      <c r="F116" s="166">
        <v>0</v>
      </c>
      <c r="G116" s="241">
        <v>0</v>
      </c>
      <c r="H116" s="242">
        <v>0</v>
      </c>
    </row>
    <row r="117" spans="1:8" ht="15.75" x14ac:dyDescent="0.25">
      <c r="A117" s="164"/>
      <c r="B117" s="165">
        <f>DATE(23,10,1)</f>
        <v>8675</v>
      </c>
      <c r="C117" s="226">
        <v>0</v>
      </c>
      <c r="D117" s="226">
        <v>0</v>
      </c>
      <c r="E117" s="226">
        <v>0</v>
      </c>
      <c r="F117" s="166">
        <v>0</v>
      </c>
      <c r="G117" s="241">
        <v>0</v>
      </c>
      <c r="H117" s="242">
        <v>0</v>
      </c>
    </row>
    <row r="118" spans="1:8" ht="15.75" x14ac:dyDescent="0.25">
      <c r="A118" s="164"/>
      <c r="B118" s="165">
        <f>DATE(23,11,1)</f>
        <v>8706</v>
      </c>
      <c r="C118" s="226">
        <v>0</v>
      </c>
      <c r="D118" s="226">
        <v>0</v>
      </c>
      <c r="E118" s="226">
        <v>0</v>
      </c>
      <c r="F118" s="166">
        <v>0</v>
      </c>
      <c r="G118" s="241">
        <v>0</v>
      </c>
      <c r="H118" s="242">
        <v>0</v>
      </c>
    </row>
    <row r="119" spans="1:8" ht="15.75" x14ac:dyDescent="0.25">
      <c r="A119" s="164"/>
      <c r="B119" s="165">
        <f>DATE(23,12,1)</f>
        <v>8736</v>
      </c>
      <c r="C119" s="226">
        <v>0</v>
      </c>
      <c r="D119" s="226">
        <v>0</v>
      </c>
      <c r="E119" s="226">
        <v>0</v>
      </c>
      <c r="F119" s="166">
        <v>0</v>
      </c>
      <c r="G119" s="241">
        <v>0</v>
      </c>
      <c r="H119" s="242">
        <v>0</v>
      </c>
    </row>
    <row r="120" spans="1:8" ht="15.75" x14ac:dyDescent="0.25">
      <c r="A120" s="164"/>
      <c r="B120" s="165">
        <f>DATE(24,1,1)</f>
        <v>8767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DATE(24,2,1)</f>
        <v>8798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DATE(24,3,1)</f>
        <v>8827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DATE(24,4,1)</f>
        <v>8858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6.5" thickBot="1" x14ac:dyDescent="0.3">
      <c r="A124" s="164"/>
      <c r="B124" s="165"/>
      <c r="C124" s="226"/>
      <c r="D124" s="226"/>
      <c r="E124" s="226"/>
      <c r="F124" s="166"/>
      <c r="G124" s="241"/>
      <c r="H124" s="242"/>
    </row>
    <row r="125" spans="1:8" ht="17.25" thickTop="1" thickBot="1" x14ac:dyDescent="0.3">
      <c r="A125" s="174" t="s">
        <v>14</v>
      </c>
      <c r="B125" s="181"/>
      <c r="C125" s="228">
        <f>SUM(C114:C124)</f>
        <v>0</v>
      </c>
      <c r="D125" s="228">
        <f>SUM(D114:D124)</f>
        <v>0</v>
      </c>
      <c r="E125" s="228">
        <f>SUM(E114:E124)</f>
        <v>0</v>
      </c>
      <c r="F125" s="176">
        <v>0</v>
      </c>
      <c r="G125" s="245">
        <v>0</v>
      </c>
      <c r="H125" s="246">
        <v>0</v>
      </c>
    </row>
    <row r="126" spans="1:8" ht="15.75" thickTop="1" x14ac:dyDescent="0.2">
      <c r="A126" s="171"/>
      <c r="B126" s="172"/>
      <c r="C126" s="227"/>
      <c r="D126" s="227"/>
      <c r="E126" s="227"/>
      <c r="F126" s="173"/>
      <c r="G126" s="243"/>
      <c r="H126" s="244"/>
    </row>
    <row r="127" spans="1:8" ht="15.75" x14ac:dyDescent="0.25">
      <c r="A127" s="293" t="s">
        <v>53</v>
      </c>
      <c r="B127" s="165">
        <f>DATE(23,7,1)</f>
        <v>8583</v>
      </c>
      <c r="C127" s="226">
        <v>0</v>
      </c>
      <c r="D127" s="226">
        <v>0</v>
      </c>
      <c r="E127" s="226">
        <v>0</v>
      </c>
      <c r="F127" s="166">
        <v>0</v>
      </c>
      <c r="G127" s="241">
        <v>0</v>
      </c>
      <c r="H127" s="242">
        <v>0</v>
      </c>
    </row>
    <row r="128" spans="1:8" ht="15.75" x14ac:dyDescent="0.25">
      <c r="A128" s="164"/>
      <c r="B128" s="165">
        <f>DATE(23,8,1)</f>
        <v>8614</v>
      </c>
      <c r="C128" s="226">
        <v>0</v>
      </c>
      <c r="D128" s="226">
        <v>0</v>
      </c>
      <c r="E128" s="226">
        <v>0</v>
      </c>
      <c r="F128" s="166">
        <v>0</v>
      </c>
      <c r="G128" s="241">
        <v>0</v>
      </c>
      <c r="H128" s="242">
        <v>0</v>
      </c>
    </row>
    <row r="129" spans="1:8" ht="15.75" x14ac:dyDescent="0.25">
      <c r="A129" s="164"/>
      <c r="B129" s="165">
        <f>DATE(23,9,1)</f>
        <v>8645</v>
      </c>
      <c r="C129" s="226">
        <v>0</v>
      </c>
      <c r="D129" s="226">
        <v>0</v>
      </c>
      <c r="E129" s="226">
        <v>0</v>
      </c>
      <c r="F129" s="166">
        <v>0</v>
      </c>
      <c r="G129" s="241">
        <v>0</v>
      </c>
      <c r="H129" s="242">
        <v>0</v>
      </c>
    </row>
    <row r="130" spans="1:8" ht="15.75" x14ac:dyDescent="0.25">
      <c r="A130" s="164"/>
      <c r="B130" s="165">
        <f>DATE(23,10,1)</f>
        <v>8675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DATE(23,11,1)</f>
        <v>8706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DATE(23,12,1)</f>
        <v>8736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5.75" x14ac:dyDescent="0.25">
      <c r="A133" s="164"/>
      <c r="B133" s="165">
        <f>DATE(24,1,1)</f>
        <v>8767</v>
      </c>
      <c r="C133" s="226">
        <v>0</v>
      </c>
      <c r="D133" s="226">
        <v>0</v>
      </c>
      <c r="E133" s="226">
        <v>0</v>
      </c>
      <c r="F133" s="166">
        <v>0</v>
      </c>
      <c r="G133" s="241">
        <v>0</v>
      </c>
      <c r="H133" s="242">
        <v>0</v>
      </c>
    </row>
    <row r="134" spans="1:8" ht="15.75" x14ac:dyDescent="0.25">
      <c r="A134" s="164"/>
      <c r="B134" s="291">
        <f>DATE(24,2,1)</f>
        <v>8798</v>
      </c>
      <c r="C134" s="292">
        <v>1763767</v>
      </c>
      <c r="D134" s="292">
        <v>73367.44</v>
      </c>
      <c r="E134" s="226">
        <v>0</v>
      </c>
      <c r="F134" s="166">
        <v>1</v>
      </c>
      <c r="G134" s="241">
        <f>+D134/C134</f>
        <v>4.1597013664503309E-2</v>
      </c>
      <c r="H134" s="289">
        <f>1-G134</f>
        <v>0.9584029863354967</v>
      </c>
    </row>
    <row r="135" spans="1:8" ht="15.75" x14ac:dyDescent="0.25">
      <c r="A135" s="164"/>
      <c r="B135" s="165">
        <f>DATE(24,3,1)</f>
        <v>8827</v>
      </c>
      <c r="C135" s="292">
        <v>2765877</v>
      </c>
      <c r="D135" s="292">
        <v>135296.38</v>
      </c>
      <c r="E135" s="226">
        <v>0</v>
      </c>
      <c r="F135" s="166">
        <v>1</v>
      </c>
      <c r="G135" s="241">
        <f>+D135/C135</f>
        <v>4.8916267787757733E-2</v>
      </c>
      <c r="H135" s="289">
        <f>1-G135</f>
        <v>0.95108373221224229</v>
      </c>
    </row>
    <row r="136" spans="1:8" ht="15.75" x14ac:dyDescent="0.25">
      <c r="A136" s="164"/>
      <c r="B136" s="165">
        <f>DATE(24,4,1)</f>
        <v>8858</v>
      </c>
      <c r="C136" s="292">
        <v>2145666</v>
      </c>
      <c r="D136" s="292">
        <v>106251.34</v>
      </c>
      <c r="E136" s="226">
        <v>0</v>
      </c>
      <c r="F136" s="166">
        <v>1</v>
      </c>
      <c r="G136" s="241">
        <f>+D136/C136</f>
        <v>4.951904909711017E-2</v>
      </c>
      <c r="H136" s="289">
        <f>1-G136</f>
        <v>0.95048095090288987</v>
      </c>
    </row>
    <row r="137" spans="1:8" ht="15.75" thickBot="1" x14ac:dyDescent="0.25">
      <c r="A137" s="167"/>
      <c r="B137" s="168"/>
      <c r="C137" s="226"/>
      <c r="D137" s="226"/>
      <c r="E137" s="226"/>
      <c r="F137" s="166"/>
      <c r="G137" s="241"/>
      <c r="H137" s="242"/>
    </row>
    <row r="138" spans="1:8" ht="17.25" thickTop="1" thickBot="1" x14ac:dyDescent="0.3">
      <c r="A138" s="174" t="s">
        <v>14</v>
      </c>
      <c r="B138" s="175"/>
      <c r="C138" s="228">
        <f>SUM(C127:C137)</f>
        <v>6675310</v>
      </c>
      <c r="D138" s="228">
        <f>SUM(D127:D137)</f>
        <v>314915.16000000003</v>
      </c>
      <c r="E138" s="228">
        <f>SUM(E127:E137)</f>
        <v>0</v>
      </c>
      <c r="F138" s="176">
        <v>1</v>
      </c>
      <c r="G138" s="245">
        <f>+D138/C138</f>
        <v>4.71761101731605E-2</v>
      </c>
      <c r="H138" s="246">
        <f>1-G138</f>
        <v>0.95282388982683952</v>
      </c>
    </row>
    <row r="139" spans="1:8" ht="15.75" thickTop="1" x14ac:dyDescent="0.2">
      <c r="A139" s="167"/>
      <c r="B139" s="168"/>
      <c r="C139" s="226"/>
      <c r="D139" s="226"/>
      <c r="E139" s="226"/>
      <c r="F139" s="166"/>
      <c r="G139" s="241"/>
      <c r="H139" s="242"/>
    </row>
    <row r="140" spans="1:8" ht="15.75" x14ac:dyDescent="0.25">
      <c r="A140" s="164" t="s">
        <v>54</v>
      </c>
      <c r="B140" s="165">
        <f>DATE(23,7,1)</f>
        <v>8583</v>
      </c>
      <c r="C140" s="226">
        <v>0</v>
      </c>
      <c r="D140" s="226">
        <v>0</v>
      </c>
      <c r="E140" s="226">
        <v>0</v>
      </c>
      <c r="F140" s="166">
        <v>0</v>
      </c>
      <c r="G140" s="241">
        <v>0</v>
      </c>
      <c r="H140" s="242">
        <v>0</v>
      </c>
    </row>
    <row r="141" spans="1:8" ht="15.75" x14ac:dyDescent="0.25">
      <c r="A141" s="164"/>
      <c r="B141" s="165">
        <f>DATE(23,8,1)</f>
        <v>8614</v>
      </c>
      <c r="C141" s="226">
        <v>0</v>
      </c>
      <c r="D141" s="226">
        <v>0</v>
      </c>
      <c r="E141" s="226">
        <v>0</v>
      </c>
      <c r="F141" s="166">
        <v>0</v>
      </c>
      <c r="G141" s="241">
        <v>0</v>
      </c>
      <c r="H141" s="242">
        <v>0</v>
      </c>
    </row>
    <row r="142" spans="1:8" ht="15.75" x14ac:dyDescent="0.25">
      <c r="A142" s="164"/>
      <c r="B142" s="165">
        <f>DATE(23,9,1)</f>
        <v>8645</v>
      </c>
      <c r="C142" s="226">
        <v>0</v>
      </c>
      <c r="D142" s="226">
        <v>0</v>
      </c>
      <c r="E142" s="226">
        <v>0</v>
      </c>
      <c r="F142" s="166">
        <v>0</v>
      </c>
      <c r="G142" s="241">
        <v>0</v>
      </c>
      <c r="H142" s="242">
        <v>0</v>
      </c>
    </row>
    <row r="143" spans="1:8" ht="15.75" x14ac:dyDescent="0.25">
      <c r="A143" s="164"/>
      <c r="B143" s="165">
        <f>DATE(23,10,1)</f>
        <v>8675</v>
      </c>
      <c r="C143" s="226">
        <v>0</v>
      </c>
      <c r="D143" s="226">
        <v>0</v>
      </c>
      <c r="E143" s="226">
        <v>0</v>
      </c>
      <c r="F143" s="166">
        <v>0</v>
      </c>
      <c r="G143" s="241">
        <v>0</v>
      </c>
      <c r="H143" s="242">
        <v>0</v>
      </c>
    </row>
    <row r="144" spans="1:8" ht="15.75" x14ac:dyDescent="0.25">
      <c r="A144" s="164"/>
      <c r="B144" s="165">
        <f>DATE(23,11,1)</f>
        <v>8706</v>
      </c>
      <c r="C144" s="226">
        <v>0</v>
      </c>
      <c r="D144" s="226">
        <v>0</v>
      </c>
      <c r="E144" s="226">
        <v>0</v>
      </c>
      <c r="F144" s="166">
        <v>0</v>
      </c>
      <c r="G144" s="241">
        <v>0</v>
      </c>
      <c r="H144" s="242">
        <v>0</v>
      </c>
    </row>
    <row r="145" spans="1:8" ht="15.75" x14ac:dyDescent="0.25">
      <c r="A145" s="164"/>
      <c r="B145" s="165">
        <f>DATE(23,12,1)</f>
        <v>8736</v>
      </c>
      <c r="C145" s="226">
        <v>0</v>
      </c>
      <c r="D145" s="226">
        <v>0</v>
      </c>
      <c r="E145" s="226">
        <v>0</v>
      </c>
      <c r="F145" s="166">
        <v>0</v>
      </c>
      <c r="G145" s="241">
        <v>0</v>
      </c>
      <c r="H145" s="242">
        <v>0</v>
      </c>
    </row>
    <row r="146" spans="1:8" ht="15.75" x14ac:dyDescent="0.25">
      <c r="A146" s="164"/>
      <c r="B146" s="165">
        <f>DATE(24,1,1)</f>
        <v>8767</v>
      </c>
      <c r="C146" s="226">
        <v>0</v>
      </c>
      <c r="D146" s="226">
        <v>0</v>
      </c>
      <c r="E146" s="226">
        <v>0</v>
      </c>
      <c r="F146" s="166">
        <v>0</v>
      </c>
      <c r="G146" s="241">
        <v>0</v>
      </c>
      <c r="H146" s="242">
        <v>0</v>
      </c>
    </row>
    <row r="147" spans="1:8" ht="15.75" x14ac:dyDescent="0.25">
      <c r="A147" s="164"/>
      <c r="B147" s="165">
        <f>DATE(24,2,1)</f>
        <v>8798</v>
      </c>
      <c r="C147" s="226">
        <v>0</v>
      </c>
      <c r="D147" s="226">
        <v>0</v>
      </c>
      <c r="E147" s="226">
        <v>0</v>
      </c>
      <c r="F147" s="166">
        <v>0</v>
      </c>
      <c r="G147" s="241">
        <v>0</v>
      </c>
      <c r="H147" s="242">
        <v>0</v>
      </c>
    </row>
    <row r="148" spans="1:8" ht="15.75" x14ac:dyDescent="0.25">
      <c r="A148" s="164"/>
      <c r="B148" s="165">
        <f>DATE(24,3,1)</f>
        <v>8827</v>
      </c>
      <c r="C148" s="226">
        <v>0</v>
      </c>
      <c r="D148" s="226">
        <v>0</v>
      </c>
      <c r="E148" s="226">
        <v>0</v>
      </c>
      <c r="F148" s="166">
        <v>0</v>
      </c>
      <c r="G148" s="241">
        <v>0</v>
      </c>
      <c r="H148" s="242">
        <v>0</v>
      </c>
    </row>
    <row r="149" spans="1:8" ht="15.75" x14ac:dyDescent="0.25">
      <c r="A149" s="164"/>
      <c r="B149" s="165">
        <f>DATE(24,4,1)</f>
        <v>8858</v>
      </c>
      <c r="C149" s="226">
        <v>0</v>
      </c>
      <c r="D149" s="226">
        <v>0</v>
      </c>
      <c r="E149" s="226">
        <v>0</v>
      </c>
      <c r="F149" s="166">
        <v>0</v>
      </c>
      <c r="G149" s="241">
        <v>0</v>
      </c>
      <c r="H149" s="242">
        <v>0</v>
      </c>
    </row>
    <row r="150" spans="1:8" ht="15.75" thickBot="1" x14ac:dyDescent="0.25">
      <c r="A150" s="167"/>
      <c r="B150" s="168"/>
      <c r="C150" s="226"/>
      <c r="D150" s="226"/>
      <c r="E150" s="226"/>
      <c r="F150" s="166"/>
      <c r="G150" s="241"/>
      <c r="H150" s="242"/>
    </row>
    <row r="151" spans="1:8" ht="17.25" thickTop="1" thickBot="1" x14ac:dyDescent="0.3">
      <c r="A151" s="182" t="s">
        <v>14</v>
      </c>
      <c r="B151" s="183"/>
      <c r="C151" s="230">
        <f>SUM(C140:C150)</f>
        <v>0</v>
      </c>
      <c r="D151" s="230">
        <f>SUM(D140:D150)</f>
        <v>0</v>
      </c>
      <c r="E151" s="230">
        <f>SUM(E140:E150)</f>
        <v>0</v>
      </c>
      <c r="F151" s="176">
        <v>0</v>
      </c>
      <c r="G151" s="245">
        <v>0</v>
      </c>
      <c r="H151" s="246">
        <v>0</v>
      </c>
    </row>
    <row r="152" spans="1:8" ht="15.75" thickTop="1" x14ac:dyDescent="0.2">
      <c r="A152" s="167"/>
      <c r="B152" s="168"/>
      <c r="C152" s="226"/>
      <c r="D152" s="226"/>
      <c r="E152" s="226"/>
      <c r="F152" s="166"/>
      <c r="G152" s="241"/>
      <c r="H152" s="242"/>
    </row>
    <row r="153" spans="1:8" ht="15.75" x14ac:dyDescent="0.25">
      <c r="A153" s="293" t="s">
        <v>37</v>
      </c>
      <c r="B153" s="165">
        <f>DATE(23,7,1)</f>
        <v>8583</v>
      </c>
      <c r="C153" s="226">
        <v>3921585</v>
      </c>
      <c r="D153" s="226">
        <v>179389.2</v>
      </c>
      <c r="E153" s="226">
        <v>215844.68</v>
      </c>
      <c r="F153" s="166">
        <f t="shared" ref="F153:F158" si="0">+(D153-E153)/E153</f>
        <v>-0.16889681969460624</v>
      </c>
      <c r="G153" s="241">
        <f>+D153/C153</f>
        <v>4.5744055018570304E-2</v>
      </c>
      <c r="H153" s="289">
        <f>1-G153</f>
        <v>0.95425594498142974</v>
      </c>
    </row>
    <row r="154" spans="1:8" ht="15.75" x14ac:dyDescent="0.25">
      <c r="A154" s="164"/>
      <c r="B154" s="165">
        <f>DATE(23,8,1)</f>
        <v>8614</v>
      </c>
      <c r="C154" s="226">
        <v>4810863</v>
      </c>
      <c r="D154" s="226">
        <v>198288.36</v>
      </c>
      <c r="E154" s="226">
        <v>222475.66</v>
      </c>
      <c r="F154" s="166">
        <f t="shared" si="0"/>
        <v>-0.10871885940241741</v>
      </c>
      <c r="G154" s="241">
        <f>+D154/C154</f>
        <v>4.1216796238013845E-2</v>
      </c>
      <c r="H154" s="289">
        <f>1-G154</f>
        <v>0.95878320376198611</v>
      </c>
    </row>
    <row r="155" spans="1:8" ht="15.75" x14ac:dyDescent="0.25">
      <c r="A155" s="164"/>
      <c r="B155" s="165">
        <f>DATE(23,9,1)</f>
        <v>8645</v>
      </c>
      <c r="C155" s="226">
        <v>4650603.5</v>
      </c>
      <c r="D155" s="226">
        <v>223122.42</v>
      </c>
      <c r="E155" s="226">
        <v>213180.35</v>
      </c>
      <c r="F155" s="166">
        <f t="shared" si="0"/>
        <v>4.6636896880974284E-2</v>
      </c>
      <c r="G155" s="241">
        <f>+D155/C155</f>
        <v>4.797708942506064E-2</v>
      </c>
      <c r="H155" s="289">
        <f>1-G155</f>
        <v>0.95202291057493937</v>
      </c>
    </row>
    <row r="156" spans="1:8" ht="15.75" x14ac:dyDescent="0.25">
      <c r="A156" s="164"/>
      <c r="B156" s="165">
        <f>DATE(23,10,1)</f>
        <v>8675</v>
      </c>
      <c r="C156" s="226">
        <v>5353656.5</v>
      </c>
      <c r="D156" s="226">
        <v>233641.67</v>
      </c>
      <c r="E156" s="226">
        <v>197241.83</v>
      </c>
      <c r="F156" s="166">
        <f t="shared" si="0"/>
        <v>0.18454422167954956</v>
      </c>
      <c r="G156" s="241">
        <f>+D156/C156</f>
        <v>4.3641513048138222E-2</v>
      </c>
      <c r="H156" s="289">
        <f>1-G156</f>
        <v>0.95635848695186176</v>
      </c>
    </row>
    <row r="157" spans="1:8" ht="15.75" x14ac:dyDescent="0.25">
      <c r="A157" s="164"/>
      <c r="B157" s="165">
        <f>DATE(23,11,1)</f>
        <v>8706</v>
      </c>
      <c r="C157" s="226">
        <v>945680</v>
      </c>
      <c r="D157" s="226">
        <v>43064.43</v>
      </c>
      <c r="E157" s="226">
        <v>191836.78</v>
      </c>
      <c r="F157" s="166">
        <f t="shared" si="0"/>
        <v>-0.77551525833575818</v>
      </c>
      <c r="G157" s="241">
        <f>+D157/C157</f>
        <v>4.5538057270958464E-2</v>
      </c>
      <c r="H157" s="289">
        <f>1-G157</f>
        <v>0.9544619427290415</v>
      </c>
    </row>
    <row r="158" spans="1:8" ht="15.75" x14ac:dyDescent="0.25">
      <c r="A158" s="164"/>
      <c r="B158" s="165">
        <f>DATE(23,12,1)</f>
        <v>8736</v>
      </c>
      <c r="C158" s="226">
        <v>0</v>
      </c>
      <c r="D158" s="226">
        <v>0</v>
      </c>
      <c r="E158" s="226">
        <v>198418.76</v>
      </c>
      <c r="F158" s="166">
        <f t="shared" si="0"/>
        <v>-1</v>
      </c>
      <c r="G158" s="241">
        <v>0</v>
      </c>
      <c r="H158" s="289">
        <v>0</v>
      </c>
    </row>
    <row r="159" spans="1:8" ht="15.75" x14ac:dyDescent="0.25">
      <c r="A159" s="164"/>
      <c r="B159" s="165">
        <f>DATE(24,1,1)</f>
        <v>8767</v>
      </c>
      <c r="C159" s="226">
        <v>0</v>
      </c>
      <c r="D159" s="226">
        <v>0</v>
      </c>
      <c r="E159" s="226">
        <v>161229.07</v>
      </c>
      <c r="F159" s="166">
        <f>+(D159-E159)/E159</f>
        <v>-1</v>
      </c>
      <c r="G159" s="241">
        <v>0</v>
      </c>
      <c r="H159" s="289">
        <v>0</v>
      </c>
    </row>
    <row r="160" spans="1:8" ht="15.75" x14ac:dyDescent="0.25">
      <c r="A160" s="164"/>
      <c r="B160" s="291">
        <f>DATE(24,2,1)</f>
        <v>8798</v>
      </c>
      <c r="C160" s="226">
        <v>0</v>
      </c>
      <c r="D160" s="226">
        <v>0</v>
      </c>
      <c r="E160" s="294">
        <v>159252.82</v>
      </c>
      <c r="F160" s="166">
        <f>+(D160-E160)/E160</f>
        <v>-1</v>
      </c>
      <c r="G160" s="241">
        <v>0</v>
      </c>
      <c r="H160" s="289">
        <v>0</v>
      </c>
    </row>
    <row r="161" spans="1:8" ht="15.75" x14ac:dyDescent="0.25">
      <c r="A161" s="164"/>
      <c r="B161" s="165">
        <f>DATE(24,3,1)</f>
        <v>8827</v>
      </c>
      <c r="C161" s="226">
        <v>0</v>
      </c>
      <c r="D161" s="226">
        <v>0</v>
      </c>
      <c r="E161" s="294">
        <v>210856.45</v>
      </c>
      <c r="F161" s="166">
        <f>+(D161-E161)/E161</f>
        <v>-1</v>
      </c>
      <c r="G161" s="241">
        <v>0</v>
      </c>
      <c r="H161" s="289">
        <v>0</v>
      </c>
    </row>
    <row r="162" spans="1:8" ht="15.75" x14ac:dyDescent="0.25">
      <c r="A162" s="164"/>
      <c r="B162" s="165">
        <f>DATE(24,4,1)</f>
        <v>8858</v>
      </c>
      <c r="C162" s="226">
        <v>0</v>
      </c>
      <c r="D162" s="226">
        <v>0</v>
      </c>
      <c r="E162" s="294">
        <v>191780.04</v>
      </c>
      <c r="F162" s="166">
        <f>+(D162-E162)/E162</f>
        <v>-1</v>
      </c>
      <c r="G162" s="241">
        <v>0</v>
      </c>
      <c r="H162" s="289">
        <v>0</v>
      </c>
    </row>
    <row r="163" spans="1:8" ht="15.75" thickBot="1" x14ac:dyDescent="0.25">
      <c r="A163" s="167"/>
      <c r="B163" s="168"/>
      <c r="C163" s="226"/>
      <c r="D163" s="226"/>
      <c r="E163" s="226"/>
      <c r="F163" s="166"/>
      <c r="G163" s="241"/>
      <c r="H163" s="242"/>
    </row>
    <row r="164" spans="1:8" ht="17.25" thickTop="1" thickBot="1" x14ac:dyDescent="0.3">
      <c r="A164" s="174" t="s">
        <v>14</v>
      </c>
      <c r="B164" s="175"/>
      <c r="C164" s="228">
        <f>SUM(C153:C163)</f>
        <v>19682388</v>
      </c>
      <c r="D164" s="228">
        <f>SUM(D153:D163)</f>
        <v>877506.08000000007</v>
      </c>
      <c r="E164" s="228">
        <f>SUM(E153:E163)</f>
        <v>1962116.4400000002</v>
      </c>
      <c r="F164" s="176">
        <f>+(D164-E164)/E164</f>
        <v>-0.55277573638799948</v>
      </c>
      <c r="G164" s="245">
        <f>+D164/C164</f>
        <v>4.4583313772698724E-2</v>
      </c>
      <c r="H164" s="246">
        <f>1-G164</f>
        <v>0.95541668622730125</v>
      </c>
    </row>
    <row r="165" spans="1:8" ht="15.75" thickTop="1" x14ac:dyDescent="0.2">
      <c r="A165" s="167"/>
      <c r="B165" s="168"/>
      <c r="C165" s="226"/>
      <c r="D165" s="226"/>
      <c r="E165" s="226"/>
      <c r="F165" s="166"/>
      <c r="G165" s="241"/>
      <c r="H165" s="242"/>
    </row>
    <row r="166" spans="1:8" ht="15.75" x14ac:dyDescent="0.25">
      <c r="A166" s="164" t="s">
        <v>57</v>
      </c>
      <c r="B166" s="165">
        <f>DATE(23,7,1)</f>
        <v>8583</v>
      </c>
      <c r="C166" s="226">
        <v>0</v>
      </c>
      <c r="D166" s="226">
        <v>0</v>
      </c>
      <c r="E166" s="226">
        <v>0</v>
      </c>
      <c r="F166" s="166">
        <v>0</v>
      </c>
      <c r="G166" s="241">
        <v>0</v>
      </c>
      <c r="H166" s="242">
        <v>0</v>
      </c>
    </row>
    <row r="167" spans="1:8" ht="15.75" x14ac:dyDescent="0.25">
      <c r="A167" s="164"/>
      <c r="B167" s="165">
        <f>DATE(23,8,1)</f>
        <v>8614</v>
      </c>
      <c r="C167" s="226">
        <v>0</v>
      </c>
      <c r="D167" s="226">
        <v>0</v>
      </c>
      <c r="E167" s="226">
        <v>0</v>
      </c>
      <c r="F167" s="166">
        <v>0</v>
      </c>
      <c r="G167" s="241">
        <v>0</v>
      </c>
      <c r="H167" s="242">
        <v>0</v>
      </c>
    </row>
    <row r="168" spans="1:8" ht="15.75" x14ac:dyDescent="0.25">
      <c r="A168" s="164"/>
      <c r="B168" s="165">
        <f>DATE(23,9,1)</f>
        <v>8645</v>
      </c>
      <c r="C168" s="226">
        <v>0</v>
      </c>
      <c r="D168" s="226">
        <v>0</v>
      </c>
      <c r="E168" s="226">
        <v>0</v>
      </c>
      <c r="F168" s="166">
        <v>0</v>
      </c>
      <c r="G168" s="241">
        <v>0</v>
      </c>
      <c r="H168" s="242">
        <v>0</v>
      </c>
    </row>
    <row r="169" spans="1:8" ht="15.75" x14ac:dyDescent="0.25">
      <c r="A169" s="164"/>
      <c r="B169" s="165">
        <f>DATE(23,10,1)</f>
        <v>8675</v>
      </c>
      <c r="C169" s="226">
        <v>0</v>
      </c>
      <c r="D169" s="226">
        <v>0</v>
      </c>
      <c r="E169" s="226">
        <v>0</v>
      </c>
      <c r="F169" s="166">
        <v>0</v>
      </c>
      <c r="G169" s="241">
        <v>0</v>
      </c>
      <c r="H169" s="242">
        <v>0</v>
      </c>
    </row>
    <row r="170" spans="1:8" ht="15.75" x14ac:dyDescent="0.25">
      <c r="A170" s="164"/>
      <c r="B170" s="165">
        <f>DATE(23,11,1)</f>
        <v>8706</v>
      </c>
      <c r="C170" s="226">
        <v>0</v>
      </c>
      <c r="D170" s="226">
        <v>0</v>
      </c>
      <c r="E170" s="226">
        <v>0</v>
      </c>
      <c r="F170" s="166">
        <v>0</v>
      </c>
      <c r="G170" s="241">
        <v>0</v>
      </c>
      <c r="H170" s="242">
        <v>0</v>
      </c>
    </row>
    <row r="171" spans="1:8" ht="15.75" x14ac:dyDescent="0.25">
      <c r="A171" s="164"/>
      <c r="B171" s="165">
        <f>DATE(23,12,1)</f>
        <v>8736</v>
      </c>
      <c r="C171" s="226">
        <v>0</v>
      </c>
      <c r="D171" s="226">
        <v>0</v>
      </c>
      <c r="E171" s="226">
        <v>0</v>
      </c>
      <c r="F171" s="166">
        <v>0</v>
      </c>
      <c r="G171" s="241">
        <v>0</v>
      </c>
      <c r="H171" s="242">
        <v>0</v>
      </c>
    </row>
    <row r="172" spans="1:8" ht="15.75" x14ac:dyDescent="0.25">
      <c r="A172" s="164"/>
      <c r="B172" s="165">
        <f>DATE(24,1,1)</f>
        <v>8767</v>
      </c>
      <c r="C172" s="226">
        <v>0</v>
      </c>
      <c r="D172" s="226">
        <v>0</v>
      </c>
      <c r="E172" s="226">
        <v>0</v>
      </c>
      <c r="F172" s="166">
        <v>0</v>
      </c>
      <c r="G172" s="241">
        <v>0</v>
      </c>
      <c r="H172" s="242">
        <v>0</v>
      </c>
    </row>
    <row r="173" spans="1:8" ht="15.75" x14ac:dyDescent="0.25">
      <c r="A173" s="164"/>
      <c r="B173" s="165">
        <f>DATE(24,2,1)</f>
        <v>8798</v>
      </c>
      <c r="C173" s="226">
        <v>0</v>
      </c>
      <c r="D173" s="226">
        <v>0</v>
      </c>
      <c r="E173" s="226">
        <v>0</v>
      </c>
      <c r="F173" s="166">
        <v>0</v>
      </c>
      <c r="G173" s="241">
        <v>0</v>
      </c>
      <c r="H173" s="242">
        <v>0</v>
      </c>
    </row>
    <row r="174" spans="1:8" ht="15.75" x14ac:dyDescent="0.25">
      <c r="A174" s="164"/>
      <c r="B174" s="165">
        <f>DATE(24,3,1)</f>
        <v>8827</v>
      </c>
      <c r="C174" s="226">
        <v>0</v>
      </c>
      <c r="D174" s="226">
        <v>0</v>
      </c>
      <c r="E174" s="226">
        <v>0</v>
      </c>
      <c r="F174" s="166">
        <v>0</v>
      </c>
      <c r="G174" s="241">
        <v>0</v>
      </c>
      <c r="H174" s="242">
        <v>0</v>
      </c>
    </row>
    <row r="175" spans="1:8" ht="15.75" x14ac:dyDescent="0.25">
      <c r="A175" s="164"/>
      <c r="B175" s="165">
        <f>DATE(24,4,1)</f>
        <v>8858</v>
      </c>
      <c r="C175" s="226">
        <v>0</v>
      </c>
      <c r="D175" s="226">
        <v>0</v>
      </c>
      <c r="E175" s="226">
        <v>0</v>
      </c>
      <c r="F175" s="166">
        <v>0</v>
      </c>
      <c r="G175" s="241">
        <v>0</v>
      </c>
      <c r="H175" s="242">
        <v>0</v>
      </c>
    </row>
    <row r="176" spans="1:8" ht="15.75" thickBot="1" x14ac:dyDescent="0.25">
      <c r="A176" s="167"/>
      <c r="B176" s="168"/>
      <c r="C176" s="226"/>
      <c r="D176" s="226"/>
      <c r="E176" s="226"/>
      <c r="F176" s="166"/>
      <c r="G176" s="241"/>
      <c r="H176" s="242"/>
    </row>
    <row r="177" spans="1:8" ht="17.25" thickTop="1" thickBot="1" x14ac:dyDescent="0.3">
      <c r="A177" s="169" t="s">
        <v>14</v>
      </c>
      <c r="B177" s="155"/>
      <c r="C177" s="223">
        <f>SUM(C166:C176)</f>
        <v>0</v>
      </c>
      <c r="D177" s="223">
        <f>SUM(D166:D176)</f>
        <v>0</v>
      </c>
      <c r="E177" s="223">
        <f>SUM(E166:E176)</f>
        <v>0</v>
      </c>
      <c r="F177" s="176">
        <v>0</v>
      </c>
      <c r="G177" s="245">
        <v>0</v>
      </c>
      <c r="H177" s="246">
        <v>0</v>
      </c>
    </row>
    <row r="178" spans="1:8" ht="16.5" thickTop="1" thickBot="1" x14ac:dyDescent="0.25">
      <c r="A178" s="171"/>
      <c r="B178" s="172"/>
      <c r="C178" s="227"/>
      <c r="D178" s="227"/>
      <c r="E178" s="227"/>
      <c r="F178" s="173"/>
      <c r="G178" s="243"/>
      <c r="H178" s="244"/>
    </row>
    <row r="179" spans="1:8" ht="17.25" thickTop="1" thickBot="1" x14ac:dyDescent="0.3">
      <c r="A179" s="184" t="s">
        <v>38</v>
      </c>
      <c r="B179" s="155"/>
      <c r="C179" s="223">
        <f>C177+C164+C125+C99+C73+C47+C21+C60+C151+C34+C112+C138+C86</f>
        <v>26357698</v>
      </c>
      <c r="D179" s="223">
        <f>D177+D164+D125+D99+D73+D47+D21+D60+D151+D34+D112+D138+D86</f>
        <v>1192421.2400000002</v>
      </c>
      <c r="E179" s="223">
        <f>E177+E164+E125+E99+E73+E47+E21+E60+E151+E34+E112+E138+E86</f>
        <v>3327690.95</v>
      </c>
      <c r="F179" s="176">
        <f>+(D179-E179)/E179</f>
        <v>-0.64166707247859056</v>
      </c>
      <c r="G179" s="236">
        <f>D179/C179</f>
        <v>4.5239961395718252E-2</v>
      </c>
      <c r="H179" s="237">
        <f>1-G179</f>
        <v>0.95476003860428171</v>
      </c>
    </row>
    <row r="180" spans="1:8" ht="17.25" thickTop="1" thickBot="1" x14ac:dyDescent="0.3">
      <c r="A180" s="184"/>
      <c r="B180" s="155"/>
      <c r="C180" s="223"/>
      <c r="D180" s="223"/>
      <c r="E180" s="223"/>
      <c r="F180" s="170"/>
      <c r="G180" s="236"/>
      <c r="H180" s="237"/>
    </row>
    <row r="181" spans="1:8" ht="17.25" thickTop="1" thickBot="1" x14ac:dyDescent="0.3">
      <c r="A181" s="184" t="s">
        <v>39</v>
      </c>
      <c r="B181" s="155"/>
      <c r="C181" s="223">
        <f>+C19+C32+C45+C58+C71+C84+C97+C110+C123+C136+C149+C215+C162+C175</f>
        <v>2145666</v>
      </c>
      <c r="D181" s="223">
        <f>+D19+D32+D45+D58+D71+D84+D97+D110+D123+D136+D149+D215+D162+D175</f>
        <v>106251.34</v>
      </c>
      <c r="E181" s="223">
        <f>+E19+E32+E45+E58+E71+E84+E97+E110+E123+E136+E149+E215+E162+E175</f>
        <v>191780.04</v>
      </c>
      <c r="F181" s="176">
        <f>+(D181-E181)/E181</f>
        <v>-0.44597289686663955</v>
      </c>
      <c r="G181" s="236">
        <f>D181/C181</f>
        <v>4.951904909711017E-2</v>
      </c>
      <c r="H181" s="237">
        <f>1-G181</f>
        <v>0.95048095090288987</v>
      </c>
    </row>
    <row r="182" spans="1:8" ht="16.5" thickTop="1" x14ac:dyDescent="0.25">
      <c r="A182" s="185"/>
      <c r="B182" s="186"/>
      <c r="C182" s="231"/>
      <c r="D182" s="231"/>
      <c r="E182" s="231"/>
      <c r="F182" s="187"/>
      <c r="G182" s="250"/>
      <c r="H182" s="250"/>
    </row>
    <row r="183" spans="1:8" ht="18.75" x14ac:dyDescent="0.3">
      <c r="A183" s="188" t="s">
        <v>49</v>
      </c>
      <c r="B183" s="189"/>
      <c r="C183" s="232"/>
      <c r="D183" s="232"/>
      <c r="E183" s="232"/>
      <c r="F183" s="190"/>
      <c r="G183" s="251"/>
      <c r="H183" s="251"/>
    </row>
    <row r="184" spans="1:8" ht="15.75" x14ac:dyDescent="0.25">
      <c r="A184" s="191"/>
      <c r="B184" s="189"/>
      <c r="C184" s="232"/>
      <c r="D184" s="232"/>
      <c r="E184" s="232"/>
      <c r="F184" s="190"/>
      <c r="G184" s="257"/>
      <c r="H184" s="257"/>
    </row>
  </sheetData>
  <printOptions horizontalCentered="1"/>
  <pageMargins left="0.7" right="0.45" top="0.25" bottom="0.25" header="0.3" footer="0.3"/>
  <pageSetup scale="65" orientation="landscape" r:id="rId1"/>
  <rowBreaks count="4" manualBreakCount="4">
    <brk id="47" max="16383" man="1"/>
    <brk id="86" max="16383" man="1"/>
    <brk id="125" max="16383" man="1"/>
    <brk id="1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85"/>
  <sheetViews>
    <sheetView tabSelected="1"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78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73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>(+D16-E16)/E16</f>
        <v>-0.13735035533582032</v>
      </c>
      <c r="G16" s="241">
        <f>D16/C16</f>
        <v>9.3724851294116132E-2</v>
      </c>
      <c r="H16" s="242">
        <f t="shared" si="2"/>
        <v>0.90627514870588388</v>
      </c>
      <c r="I16" s="157"/>
    </row>
    <row r="17" spans="1:9" ht="15.75" x14ac:dyDescent="0.25">
      <c r="A17" s="164"/>
      <c r="B17" s="165">
        <f>DATE(24,2,1)</f>
        <v>8798</v>
      </c>
      <c r="C17" s="226">
        <v>121349808.39</v>
      </c>
      <c r="D17" s="226">
        <v>11759548.859999999</v>
      </c>
      <c r="E17" s="226">
        <v>11481138.220000001</v>
      </c>
      <c r="F17" s="166">
        <f>(+D17-E17)/E17</f>
        <v>2.4249393628500253E-2</v>
      </c>
      <c r="G17" s="241">
        <f>D17/C17</f>
        <v>9.6906200479580332E-2</v>
      </c>
      <c r="H17" s="242">
        <f>1-G17</f>
        <v>0.90309379952041968</v>
      </c>
      <c r="I17" s="157"/>
    </row>
    <row r="18" spans="1:9" ht="15.75" x14ac:dyDescent="0.25">
      <c r="A18" s="164"/>
      <c r="B18" s="165">
        <f>DATE(24,3,1)</f>
        <v>8827</v>
      </c>
      <c r="C18" s="226">
        <v>137174130.78999999</v>
      </c>
      <c r="D18" s="226">
        <v>13285577.52</v>
      </c>
      <c r="E18" s="226">
        <v>13341210.529999999</v>
      </c>
      <c r="F18" s="166">
        <f>(+D18-E18)/E18</f>
        <v>-4.1700121495646452E-3</v>
      </c>
      <c r="G18" s="241">
        <f>D18/C18</f>
        <v>9.6851916928410525E-2</v>
      </c>
      <c r="H18" s="242">
        <f>1-G18</f>
        <v>0.90314808307158945</v>
      </c>
      <c r="I18" s="157"/>
    </row>
    <row r="19" spans="1:9" ht="15.75" x14ac:dyDescent="0.25">
      <c r="A19" s="164"/>
      <c r="B19" s="165">
        <f>DATE(24,4,1)</f>
        <v>8858</v>
      </c>
      <c r="C19" s="226">
        <v>118088531.37</v>
      </c>
      <c r="D19" s="226">
        <v>11366390.529999999</v>
      </c>
      <c r="E19" s="226">
        <v>12102886.369999999</v>
      </c>
      <c r="F19" s="166">
        <f>(+D19-E19)/E19</f>
        <v>-6.085290875948296E-2</v>
      </c>
      <c r="G19" s="241">
        <f>D19/C19</f>
        <v>9.6253128039896954E-2</v>
      </c>
      <c r="H19" s="242">
        <f>1-G19</f>
        <v>0.90374687196010306</v>
      </c>
      <c r="I19" s="157"/>
    </row>
    <row r="20" spans="1:9" ht="15.75" thickBot="1" x14ac:dyDescent="0.25">
      <c r="A20" s="167"/>
      <c r="B20" s="168"/>
      <c r="C20" s="226"/>
      <c r="D20" s="226"/>
      <c r="E20" s="226"/>
      <c r="F20" s="166"/>
      <c r="G20" s="241"/>
      <c r="H20" s="242"/>
      <c r="I20" s="157"/>
    </row>
    <row r="21" spans="1:9" ht="17.25" thickTop="1" thickBot="1" x14ac:dyDescent="0.3">
      <c r="A21" s="169" t="s">
        <v>14</v>
      </c>
      <c r="B21" s="155"/>
      <c r="C21" s="223">
        <f>SUM(C10:C20)</f>
        <v>1208001532.4000001</v>
      </c>
      <c r="D21" s="223">
        <f>SUM(D10:D20)</f>
        <v>112907016.81999999</v>
      </c>
      <c r="E21" s="223">
        <f>SUM(E10:E20)</f>
        <v>118344796.19000001</v>
      </c>
      <c r="F21" s="170">
        <f>(+D21-E21)/E21</f>
        <v>-4.5948614092585723E-2</v>
      </c>
      <c r="G21" s="236">
        <f>D21/C21</f>
        <v>9.346595496090282E-2</v>
      </c>
      <c r="H21" s="237">
        <f>1-G21</f>
        <v>0.90653404503909718</v>
      </c>
      <c r="I21" s="157"/>
    </row>
    <row r="22" spans="1:9" ht="15.75" thickTop="1" x14ac:dyDescent="0.2">
      <c r="A22" s="171"/>
      <c r="B22" s="172"/>
      <c r="C22" s="227"/>
      <c r="D22" s="227"/>
      <c r="E22" s="227"/>
      <c r="F22" s="173"/>
      <c r="G22" s="243"/>
      <c r="H22" s="244"/>
      <c r="I22" s="157"/>
    </row>
    <row r="23" spans="1:9" ht="15.75" x14ac:dyDescent="0.25">
      <c r="A23" s="19" t="s">
        <v>48</v>
      </c>
      <c r="B23" s="165">
        <f>DATE(23,7,1)</f>
        <v>8583</v>
      </c>
      <c r="C23" s="226">
        <v>75800127.310000002</v>
      </c>
      <c r="D23" s="226">
        <v>7575374.3200000003</v>
      </c>
      <c r="E23" s="226">
        <v>7757914.71</v>
      </c>
      <c r="F23" s="166">
        <f t="shared" ref="F23:F28" si="3">(+D23-E23)/E23</f>
        <v>-2.3529569068954054E-2</v>
      </c>
      <c r="G23" s="241">
        <f t="shared" ref="G23:G28" si="4">D23/C23</f>
        <v>9.993880734552027E-2</v>
      </c>
      <c r="H23" s="242">
        <f t="shared" ref="H23:H29" si="5">1-G23</f>
        <v>0.9000611926544797</v>
      </c>
      <c r="I23" s="157"/>
    </row>
    <row r="24" spans="1:9" ht="15.75" x14ac:dyDescent="0.25">
      <c r="A24" s="19"/>
      <c r="B24" s="165">
        <f>DATE(23,8,1)</f>
        <v>8614</v>
      </c>
      <c r="C24" s="226">
        <v>70452827.459999993</v>
      </c>
      <c r="D24" s="226">
        <v>7089689.0300000003</v>
      </c>
      <c r="E24" s="226">
        <v>6870200.0300000003</v>
      </c>
      <c r="F24" s="166">
        <f t="shared" si="3"/>
        <v>3.1947978085290187E-2</v>
      </c>
      <c r="G24" s="241">
        <f t="shared" si="4"/>
        <v>0.1006302981101108</v>
      </c>
      <c r="H24" s="242">
        <f t="shared" si="5"/>
        <v>0.89936970188988918</v>
      </c>
      <c r="I24" s="157"/>
    </row>
    <row r="25" spans="1:9" ht="15.75" x14ac:dyDescent="0.25">
      <c r="A25" s="19"/>
      <c r="B25" s="165">
        <f>DATE(23,9,1)</f>
        <v>8645</v>
      </c>
      <c r="C25" s="226">
        <v>66505879.869999997</v>
      </c>
      <c r="D25" s="226">
        <v>6608716.9299999997</v>
      </c>
      <c r="E25" s="226">
        <v>7013550.54</v>
      </c>
      <c r="F25" s="166">
        <f t="shared" si="3"/>
        <v>-5.7721635809300141E-2</v>
      </c>
      <c r="G25" s="241">
        <f t="shared" si="4"/>
        <v>9.9370415712387444E-2</v>
      </c>
      <c r="H25" s="242">
        <f t="shared" si="5"/>
        <v>0.90062958428761253</v>
      </c>
      <c r="I25" s="157"/>
    </row>
    <row r="26" spans="1:9" ht="15.75" x14ac:dyDescent="0.25">
      <c r="A26" s="19"/>
      <c r="B26" s="165">
        <f>DATE(23,10,1)</f>
        <v>8675</v>
      </c>
      <c r="C26" s="226">
        <v>63554221.140000001</v>
      </c>
      <c r="D26" s="226">
        <v>6073572.6299999999</v>
      </c>
      <c r="E26" s="226">
        <v>6793373.3399999999</v>
      </c>
      <c r="F26" s="166">
        <f t="shared" si="3"/>
        <v>-0.10595630093840831</v>
      </c>
      <c r="G26" s="241">
        <f t="shared" si="4"/>
        <v>9.5565212208656769E-2</v>
      </c>
      <c r="H26" s="242">
        <f t="shared" si="5"/>
        <v>0.90443478779134323</v>
      </c>
      <c r="I26" s="157"/>
    </row>
    <row r="27" spans="1:9" ht="15.75" x14ac:dyDescent="0.25">
      <c r="A27" s="19"/>
      <c r="B27" s="165">
        <f>DATE(23,11,1)</f>
        <v>8706</v>
      </c>
      <c r="C27" s="226">
        <v>62962072.119999997</v>
      </c>
      <c r="D27" s="226">
        <v>6219601.8899999997</v>
      </c>
      <c r="E27" s="226">
        <v>6317939.5599999996</v>
      </c>
      <c r="F27" s="166">
        <f t="shared" si="3"/>
        <v>-1.5564832342270766E-2</v>
      </c>
      <c r="G27" s="241">
        <f t="shared" si="4"/>
        <v>9.8783310024263535E-2</v>
      </c>
      <c r="H27" s="242">
        <f t="shared" si="5"/>
        <v>0.90121668997573645</v>
      </c>
      <c r="I27" s="157"/>
    </row>
    <row r="28" spans="1:9" ht="15.75" x14ac:dyDescent="0.25">
      <c r="A28" s="19"/>
      <c r="B28" s="165">
        <f>DATE(23,12,1)</f>
        <v>8736</v>
      </c>
      <c r="C28" s="226">
        <v>71324672.930000007</v>
      </c>
      <c r="D28" s="226">
        <v>7129561.0199999996</v>
      </c>
      <c r="E28" s="226">
        <v>6662914.5199999996</v>
      </c>
      <c r="F28" s="166">
        <f t="shared" si="3"/>
        <v>7.003639302279388E-2</v>
      </c>
      <c r="G28" s="241">
        <f t="shared" si="4"/>
        <v>9.9959252908136662E-2</v>
      </c>
      <c r="H28" s="242">
        <f t="shared" si="5"/>
        <v>0.90004074709186332</v>
      </c>
      <c r="I28" s="157"/>
    </row>
    <row r="29" spans="1:9" ht="15.75" x14ac:dyDescent="0.25">
      <c r="A29" s="19"/>
      <c r="B29" s="165">
        <f>DATE(24,1,1)</f>
        <v>8767</v>
      </c>
      <c r="C29" s="226">
        <v>54725892.43</v>
      </c>
      <c r="D29" s="226">
        <v>5384241.8899999997</v>
      </c>
      <c r="E29" s="226">
        <v>6582615.0199999996</v>
      </c>
      <c r="F29" s="166">
        <f>(+D29-E29)/E29</f>
        <v>-0.18205122528948989</v>
      </c>
      <c r="G29" s="241">
        <f>D29/C29</f>
        <v>9.8385638879932277E-2</v>
      </c>
      <c r="H29" s="242">
        <f t="shared" si="5"/>
        <v>0.90161436112006776</v>
      </c>
      <c r="I29" s="157"/>
    </row>
    <row r="30" spans="1:9" ht="15.75" x14ac:dyDescent="0.25">
      <c r="A30" s="19"/>
      <c r="B30" s="165">
        <f>DATE(24,2,1)</f>
        <v>8798</v>
      </c>
      <c r="C30" s="226">
        <v>63979010.030000001</v>
      </c>
      <c r="D30" s="226">
        <v>6556548.7999999998</v>
      </c>
      <c r="E30" s="226">
        <v>7086159.2699999996</v>
      </c>
      <c r="F30" s="166">
        <f>(+D30-E30)/E30</f>
        <v>-7.4738719498185904E-2</v>
      </c>
      <c r="G30" s="241">
        <f>D30/C30</f>
        <v>0.10247968508618076</v>
      </c>
      <c r="H30" s="242">
        <f>1-G30</f>
        <v>0.89752031491381923</v>
      </c>
      <c r="I30" s="157"/>
    </row>
    <row r="31" spans="1:9" ht="15.75" x14ac:dyDescent="0.25">
      <c r="A31" s="19"/>
      <c r="B31" s="165">
        <f>DATE(24,3,1)</f>
        <v>8827</v>
      </c>
      <c r="C31" s="226">
        <v>74593888.549999997</v>
      </c>
      <c r="D31" s="226">
        <v>7259272.6699999999</v>
      </c>
      <c r="E31" s="226">
        <v>7680727.1699999999</v>
      </c>
      <c r="F31" s="166">
        <f>(+D31-E31)/E31</f>
        <v>-5.4871692571785494E-2</v>
      </c>
      <c r="G31" s="241">
        <f>D31/C31</f>
        <v>9.7317257634774432E-2</v>
      </c>
      <c r="H31" s="242">
        <f>1-G31</f>
        <v>0.90268274236522561</v>
      </c>
      <c r="I31" s="157"/>
    </row>
    <row r="32" spans="1:9" ht="15.75" x14ac:dyDescent="0.25">
      <c r="A32" s="19"/>
      <c r="B32" s="165">
        <f>DATE(24,4,1)</f>
        <v>8858</v>
      </c>
      <c r="C32" s="226">
        <v>65823373.479999997</v>
      </c>
      <c r="D32" s="226">
        <v>6609170.2699999996</v>
      </c>
      <c r="E32" s="226">
        <v>7399902.2699999996</v>
      </c>
      <c r="F32" s="166">
        <f>(+D32-E32)/E32</f>
        <v>-0.10685708691123025</v>
      </c>
      <c r="G32" s="241">
        <f>D32/C32</f>
        <v>0.10040765036158703</v>
      </c>
      <c r="H32" s="242">
        <f>1-G32</f>
        <v>0.89959234963841295</v>
      </c>
      <c r="I32" s="157"/>
    </row>
    <row r="33" spans="1:9" ht="15.75" thickBot="1" x14ac:dyDescent="0.25">
      <c r="A33" s="167"/>
      <c r="B33" s="165"/>
      <c r="C33" s="226"/>
      <c r="D33" s="226"/>
      <c r="E33" s="226"/>
      <c r="F33" s="166"/>
      <c r="G33" s="241"/>
      <c r="H33" s="242"/>
      <c r="I33" s="157"/>
    </row>
    <row r="34" spans="1:9" ht="17.25" thickTop="1" thickBot="1" x14ac:dyDescent="0.3">
      <c r="A34" s="169" t="s">
        <v>14</v>
      </c>
      <c r="B34" s="155"/>
      <c r="C34" s="223">
        <f>SUM(C23:C33)</f>
        <v>669721965.31999993</v>
      </c>
      <c r="D34" s="223">
        <f>SUM(D23:D33)</f>
        <v>66505749.449999988</v>
      </c>
      <c r="E34" s="223">
        <f>SUM(E23:E33)</f>
        <v>70165296.429999992</v>
      </c>
      <c r="F34" s="170">
        <f>(+D34-E34)/E34</f>
        <v>-5.2156082368310527E-2</v>
      </c>
      <c r="G34" s="236">
        <f>D34/C34</f>
        <v>9.9303521302639169E-2</v>
      </c>
      <c r="H34" s="237">
        <f>1-G34</f>
        <v>0.9006964786973608</v>
      </c>
      <c r="I34" s="157"/>
    </row>
    <row r="35" spans="1:9" ht="15.75" thickTop="1" x14ac:dyDescent="0.2">
      <c r="A35" s="171"/>
      <c r="B35" s="172"/>
      <c r="C35" s="227"/>
      <c r="D35" s="227"/>
      <c r="E35" s="227"/>
      <c r="F35" s="173"/>
      <c r="G35" s="243"/>
      <c r="H35" s="244"/>
      <c r="I35" s="157"/>
    </row>
    <row r="36" spans="1:9" ht="15.75" x14ac:dyDescent="0.25">
      <c r="A36" s="19" t="s">
        <v>62</v>
      </c>
      <c r="B36" s="165">
        <f>DATE(23,7,1)</f>
        <v>8583</v>
      </c>
      <c r="C36" s="226">
        <v>37126873.899999999</v>
      </c>
      <c r="D36" s="226">
        <v>3728602.99</v>
      </c>
      <c r="E36" s="226">
        <v>3537425.2</v>
      </c>
      <c r="F36" s="166">
        <f t="shared" ref="F36:F41" si="6">(+D36-E36)/E36</f>
        <v>5.4044334280199065E-2</v>
      </c>
      <c r="G36" s="241">
        <f t="shared" ref="G36:G41" si="7">D36/C36</f>
        <v>0.10042868139242933</v>
      </c>
      <c r="H36" s="242">
        <f t="shared" ref="H36:H42" si="8">1-G36</f>
        <v>0.89957131860757067</v>
      </c>
      <c r="I36" s="157"/>
    </row>
    <row r="37" spans="1:9" ht="15.75" x14ac:dyDescent="0.25">
      <c r="A37" s="19"/>
      <c r="B37" s="165">
        <f>DATE(23,8,1)</f>
        <v>8614</v>
      </c>
      <c r="C37" s="226">
        <v>33173547.440000001</v>
      </c>
      <c r="D37" s="226">
        <v>3492885.71</v>
      </c>
      <c r="E37" s="226">
        <v>3224518.01</v>
      </c>
      <c r="F37" s="166">
        <f t="shared" si="6"/>
        <v>8.3227229361947402E-2</v>
      </c>
      <c r="G37" s="241">
        <f t="shared" si="7"/>
        <v>0.10529129320032708</v>
      </c>
      <c r="H37" s="242">
        <f t="shared" si="8"/>
        <v>0.89470870679967296</v>
      </c>
      <c r="I37" s="157"/>
    </row>
    <row r="38" spans="1:9" ht="15.75" x14ac:dyDescent="0.25">
      <c r="A38" s="19"/>
      <c r="B38" s="165">
        <f>DATE(23,9,1)</f>
        <v>8645</v>
      </c>
      <c r="C38" s="226">
        <v>34343922.799999997</v>
      </c>
      <c r="D38" s="226">
        <v>3669671.06</v>
      </c>
      <c r="E38" s="226">
        <v>3285954.25</v>
      </c>
      <c r="F38" s="166">
        <f t="shared" si="6"/>
        <v>0.11677484858469958</v>
      </c>
      <c r="G38" s="241">
        <f t="shared" si="7"/>
        <v>0.10685066704144817</v>
      </c>
      <c r="H38" s="242">
        <f t="shared" si="8"/>
        <v>0.89314933295855181</v>
      </c>
      <c r="I38" s="157"/>
    </row>
    <row r="39" spans="1:9" ht="15.75" x14ac:dyDescent="0.25">
      <c r="A39" s="19"/>
      <c r="B39" s="165">
        <f>DATE(23,10,1)</f>
        <v>8675</v>
      </c>
      <c r="C39" s="226">
        <v>31007658.719999999</v>
      </c>
      <c r="D39" s="226">
        <v>3409284.9</v>
      </c>
      <c r="E39" s="226">
        <v>3155435.74</v>
      </c>
      <c r="F39" s="166">
        <f t="shared" si="6"/>
        <v>8.0448210933935754E-2</v>
      </c>
      <c r="G39" s="241">
        <f t="shared" si="7"/>
        <v>0.10994976856479025</v>
      </c>
      <c r="H39" s="242">
        <f t="shared" si="8"/>
        <v>0.89005023143520978</v>
      </c>
      <c r="I39" s="157"/>
    </row>
    <row r="40" spans="1:9" ht="15.75" x14ac:dyDescent="0.25">
      <c r="A40" s="19"/>
      <c r="B40" s="165">
        <f>DATE(23,11,1)</f>
        <v>8706</v>
      </c>
      <c r="C40" s="226">
        <v>31665455.82</v>
      </c>
      <c r="D40" s="226">
        <v>3276327.35</v>
      </c>
      <c r="E40" s="226">
        <v>2805588.39</v>
      </c>
      <c r="F40" s="166">
        <f t="shared" si="6"/>
        <v>0.16778618049527927</v>
      </c>
      <c r="G40" s="241">
        <f t="shared" si="7"/>
        <v>0.10346692523941695</v>
      </c>
      <c r="H40" s="242">
        <f t="shared" si="8"/>
        <v>0.89653307476058308</v>
      </c>
      <c r="I40" s="157"/>
    </row>
    <row r="41" spans="1:9" ht="15.75" x14ac:dyDescent="0.25">
      <c r="A41" s="19"/>
      <c r="B41" s="165">
        <f>DATE(23,12,1)</f>
        <v>8736</v>
      </c>
      <c r="C41" s="226">
        <v>34846745.240000002</v>
      </c>
      <c r="D41" s="226">
        <v>3745372.22</v>
      </c>
      <c r="E41" s="226">
        <v>2840105.54</v>
      </c>
      <c r="F41" s="166">
        <f t="shared" si="6"/>
        <v>0.31874402808284374</v>
      </c>
      <c r="G41" s="241">
        <f t="shared" si="7"/>
        <v>0.10748126386566369</v>
      </c>
      <c r="H41" s="242">
        <f t="shared" si="8"/>
        <v>0.8925187361343363</v>
      </c>
      <c r="I41" s="157"/>
    </row>
    <row r="42" spans="1:9" ht="15.75" x14ac:dyDescent="0.25">
      <c r="A42" s="19"/>
      <c r="B42" s="165">
        <f>DATE(24,1,1)</f>
        <v>8767</v>
      </c>
      <c r="C42" s="226">
        <v>28973333.780000001</v>
      </c>
      <c r="D42" s="226">
        <v>3017306.94</v>
      </c>
      <c r="E42" s="226">
        <v>3252604.7</v>
      </c>
      <c r="F42" s="166">
        <f>(+D42-E42)/E42</f>
        <v>-7.2341333086064913E-2</v>
      </c>
      <c r="G42" s="241">
        <f>D42/C42</f>
        <v>0.10414082697251831</v>
      </c>
      <c r="H42" s="242">
        <f t="shared" si="8"/>
        <v>0.89585917302748164</v>
      </c>
      <c r="I42" s="157"/>
    </row>
    <row r="43" spans="1:9" ht="15.75" x14ac:dyDescent="0.25">
      <c r="A43" s="19"/>
      <c r="B43" s="165">
        <f>DATE(24,2,1)</f>
        <v>8798</v>
      </c>
      <c r="C43" s="226">
        <v>37865377.18</v>
      </c>
      <c r="D43" s="226">
        <v>3818039.93</v>
      </c>
      <c r="E43" s="226">
        <v>3649257.42</v>
      </c>
      <c r="F43" s="166">
        <f>(+D43-E43)/E43</f>
        <v>4.6251193208507679E-2</v>
      </c>
      <c r="G43" s="241">
        <f>D43/C43</f>
        <v>0.10083195294345673</v>
      </c>
      <c r="H43" s="242">
        <f>1-G43</f>
        <v>0.8991680470565433</v>
      </c>
      <c r="I43" s="157"/>
    </row>
    <row r="44" spans="1:9" ht="15.75" x14ac:dyDescent="0.25">
      <c r="A44" s="19"/>
      <c r="B44" s="165">
        <f>DATE(24,3,1)</f>
        <v>8827</v>
      </c>
      <c r="C44" s="226">
        <v>41736329.229999997</v>
      </c>
      <c r="D44" s="226">
        <v>4397667.5599999996</v>
      </c>
      <c r="E44" s="226">
        <v>4184272.39</v>
      </c>
      <c r="F44" s="166">
        <f>(+D44-E44)/E44</f>
        <v>5.0999349495026408E-2</v>
      </c>
      <c r="G44" s="241">
        <f>D44/C44</f>
        <v>0.1053678567601236</v>
      </c>
      <c r="H44" s="242">
        <f>1-G44</f>
        <v>0.89463214323987639</v>
      </c>
      <c r="I44" s="157"/>
    </row>
    <row r="45" spans="1:9" ht="15.75" x14ac:dyDescent="0.25">
      <c r="A45" s="19"/>
      <c r="B45" s="165">
        <f>DATE(24,4,1)</f>
        <v>8858</v>
      </c>
      <c r="C45" s="226">
        <v>34339147.990000002</v>
      </c>
      <c r="D45" s="226">
        <v>3702308.15</v>
      </c>
      <c r="E45" s="226">
        <v>3709089.71</v>
      </c>
      <c r="F45" s="166">
        <f>(+D45-E45)/E45</f>
        <v>-1.8283623557867668E-3</v>
      </c>
      <c r="G45" s="241">
        <f>D45/C45</f>
        <v>0.1078159583655995</v>
      </c>
      <c r="H45" s="242">
        <f>1-G45</f>
        <v>0.89218404163440046</v>
      </c>
      <c r="I45" s="157"/>
    </row>
    <row r="46" spans="1:9" ht="15.75" thickBot="1" x14ac:dyDescent="0.25">
      <c r="A46" s="167"/>
      <c r="B46" s="165"/>
      <c r="C46" s="226"/>
      <c r="D46" s="226"/>
      <c r="E46" s="226"/>
      <c r="F46" s="166"/>
      <c r="G46" s="241"/>
      <c r="H46" s="242"/>
      <c r="I46" s="157"/>
    </row>
    <row r="47" spans="1:9" ht="17.25" thickTop="1" thickBot="1" x14ac:dyDescent="0.3">
      <c r="A47" s="174" t="s">
        <v>14</v>
      </c>
      <c r="B47" s="175"/>
      <c r="C47" s="228">
        <f>SUM(C36:C46)</f>
        <v>345078392.10000002</v>
      </c>
      <c r="D47" s="228">
        <f>SUM(D36:D46)</f>
        <v>36257466.810000002</v>
      </c>
      <c r="E47" s="228">
        <f>SUM(E36:E46)</f>
        <v>33644251.350000001</v>
      </c>
      <c r="F47" s="176">
        <f>(+D47-E47)/E47</f>
        <v>7.7671975304631075E-2</v>
      </c>
      <c r="G47" s="245">
        <f>D47/C47</f>
        <v>0.10507023227201365</v>
      </c>
      <c r="H47" s="246">
        <f>1-G47</f>
        <v>0.89492976772798638</v>
      </c>
      <c r="I47" s="157"/>
    </row>
    <row r="48" spans="1:9" ht="15.75" thickTop="1" x14ac:dyDescent="0.2">
      <c r="A48" s="167"/>
      <c r="B48" s="168"/>
      <c r="C48" s="226"/>
      <c r="D48" s="226"/>
      <c r="E48" s="226"/>
      <c r="F48" s="166"/>
      <c r="G48" s="241"/>
      <c r="H48" s="242"/>
      <c r="I48" s="157"/>
    </row>
    <row r="49" spans="1:9" ht="15.75" x14ac:dyDescent="0.25">
      <c r="A49" s="177" t="s">
        <v>58</v>
      </c>
      <c r="B49" s="165">
        <f>DATE(23,7,1)</f>
        <v>8583</v>
      </c>
      <c r="C49" s="226">
        <v>203652069.36000001</v>
      </c>
      <c r="D49" s="226">
        <v>18456668.579999998</v>
      </c>
      <c r="E49" s="226">
        <v>17880290.199999999</v>
      </c>
      <c r="F49" s="166">
        <f t="shared" ref="F49:F54" si="9">(+D49-E49)/E49</f>
        <v>3.2235404098754444E-2</v>
      </c>
      <c r="G49" s="241">
        <f t="shared" ref="G49:G54" si="10">D49/C49</f>
        <v>9.0628436224597153E-2</v>
      </c>
      <c r="H49" s="242">
        <f t="shared" ref="H49:H55" si="11">1-G49</f>
        <v>0.90937156377540285</v>
      </c>
      <c r="I49" s="157"/>
    </row>
    <row r="50" spans="1:9" ht="15.75" x14ac:dyDescent="0.25">
      <c r="A50" s="177"/>
      <c r="B50" s="165">
        <f>DATE(23,8,1)</f>
        <v>8614</v>
      </c>
      <c r="C50" s="226">
        <v>191968973.33000001</v>
      </c>
      <c r="D50" s="226">
        <v>17397451.300000001</v>
      </c>
      <c r="E50" s="226">
        <v>17060867.379999999</v>
      </c>
      <c r="F50" s="166">
        <f t="shared" si="9"/>
        <v>1.9728417817406526E-2</v>
      </c>
      <c r="G50" s="241">
        <f t="shared" si="10"/>
        <v>9.0626370492138314E-2</v>
      </c>
      <c r="H50" s="242">
        <f t="shared" si="11"/>
        <v>0.90937362950786171</v>
      </c>
      <c r="I50" s="157"/>
    </row>
    <row r="51" spans="1:9" ht="15.75" x14ac:dyDescent="0.25">
      <c r="A51" s="177"/>
      <c r="B51" s="165">
        <f>DATE(23,9,1)</f>
        <v>8645</v>
      </c>
      <c r="C51" s="226">
        <v>188961524.24000001</v>
      </c>
      <c r="D51" s="226">
        <v>17402399.579999998</v>
      </c>
      <c r="E51" s="226">
        <v>17061917.539999999</v>
      </c>
      <c r="F51" s="166">
        <f t="shared" si="9"/>
        <v>1.9955672579109133E-2</v>
      </c>
      <c r="G51" s="241">
        <f t="shared" si="10"/>
        <v>9.2094936522089083E-2</v>
      </c>
      <c r="H51" s="242">
        <f t="shared" si="11"/>
        <v>0.90790506347791089</v>
      </c>
      <c r="I51" s="157"/>
    </row>
    <row r="52" spans="1:9" ht="15.75" x14ac:dyDescent="0.25">
      <c r="A52" s="177"/>
      <c r="B52" s="165">
        <f>DATE(23,10,1)</f>
        <v>8675</v>
      </c>
      <c r="C52" s="226">
        <v>184357310.63</v>
      </c>
      <c r="D52" s="226">
        <v>16475993.380000001</v>
      </c>
      <c r="E52" s="226">
        <v>16341780.85</v>
      </c>
      <c r="F52" s="166">
        <f t="shared" si="9"/>
        <v>8.2128460314042934E-3</v>
      </c>
      <c r="G52" s="241">
        <f t="shared" si="10"/>
        <v>8.9369894384426454E-2</v>
      </c>
      <c r="H52" s="242">
        <f t="shared" si="11"/>
        <v>0.91063010561557356</v>
      </c>
      <c r="I52" s="157"/>
    </row>
    <row r="53" spans="1:9" ht="15.75" x14ac:dyDescent="0.25">
      <c r="A53" s="177"/>
      <c r="B53" s="165">
        <f>DATE(23,11,1)</f>
        <v>8706</v>
      </c>
      <c r="C53" s="226">
        <v>183237380.37</v>
      </c>
      <c r="D53" s="226">
        <v>16419604.9</v>
      </c>
      <c r="E53" s="226">
        <v>14923708.42</v>
      </c>
      <c r="F53" s="166">
        <f t="shared" si="9"/>
        <v>0.10023624409568842</v>
      </c>
      <c r="G53" s="241">
        <f t="shared" si="10"/>
        <v>8.9608380488985923E-2</v>
      </c>
      <c r="H53" s="242">
        <f t="shared" si="11"/>
        <v>0.91039161951101411</v>
      </c>
      <c r="I53" s="157"/>
    </row>
    <row r="54" spans="1:9" ht="15.75" x14ac:dyDescent="0.25">
      <c r="A54" s="177"/>
      <c r="B54" s="165">
        <f>DATE(23,12,1)</f>
        <v>8736</v>
      </c>
      <c r="C54" s="226">
        <v>197745355.72</v>
      </c>
      <c r="D54" s="226">
        <v>18063260.059999999</v>
      </c>
      <c r="E54" s="226">
        <v>16991042.620000001</v>
      </c>
      <c r="F54" s="166">
        <f t="shared" si="9"/>
        <v>6.3104864367646299E-2</v>
      </c>
      <c r="G54" s="241">
        <f t="shared" si="10"/>
        <v>9.134606471151159E-2</v>
      </c>
      <c r="H54" s="242">
        <f t="shared" si="11"/>
        <v>0.90865393528848837</v>
      </c>
      <c r="I54" s="157"/>
    </row>
    <row r="55" spans="1:9" ht="15.75" x14ac:dyDescent="0.25">
      <c r="A55" s="177"/>
      <c r="B55" s="165">
        <f>DATE(24,1,1)</f>
        <v>8767</v>
      </c>
      <c r="C55" s="226">
        <v>168370808.71000001</v>
      </c>
      <c r="D55" s="226">
        <v>15246319.380000001</v>
      </c>
      <c r="E55" s="226">
        <v>15916443.26</v>
      </c>
      <c r="F55" s="166">
        <f>(+D55-E55)/E55</f>
        <v>-4.2102614827528931E-2</v>
      </c>
      <c r="G55" s="241">
        <f>D55/C55</f>
        <v>9.0552035099267653E-2</v>
      </c>
      <c r="H55" s="242">
        <f t="shared" si="11"/>
        <v>0.90944796490073232</v>
      </c>
      <c r="I55" s="157"/>
    </row>
    <row r="56" spans="1:9" ht="15.75" x14ac:dyDescent="0.25">
      <c r="A56" s="177"/>
      <c r="B56" s="165">
        <f>DATE(24,2,1)</f>
        <v>8798</v>
      </c>
      <c r="C56" s="226">
        <v>190047245.02000001</v>
      </c>
      <c r="D56" s="226">
        <v>17151647.350000001</v>
      </c>
      <c r="E56" s="226">
        <v>16962749.350000001</v>
      </c>
      <c r="F56" s="166">
        <f>(+D56-E56)/E56</f>
        <v>1.1136048532132558E-2</v>
      </c>
      <c r="G56" s="241">
        <f>D56/C56</f>
        <v>9.024938692584053E-2</v>
      </c>
      <c r="H56" s="242">
        <f>1-G56</f>
        <v>0.9097506130741595</v>
      </c>
      <c r="I56" s="157"/>
    </row>
    <row r="57" spans="1:9" ht="15.75" x14ac:dyDescent="0.25">
      <c r="A57" s="177"/>
      <c r="B57" s="165">
        <f>DATE(24,3,1)</f>
        <v>8827</v>
      </c>
      <c r="C57" s="226">
        <v>207231450.55000001</v>
      </c>
      <c r="D57" s="226">
        <v>18487106.280000001</v>
      </c>
      <c r="E57" s="226">
        <v>19124762.489999998</v>
      </c>
      <c r="F57" s="166">
        <f>(+D57-E57)/E57</f>
        <v>-3.3341915243831989E-2</v>
      </c>
      <c r="G57" s="241">
        <f>D57/C57</f>
        <v>8.9209944875329156E-2</v>
      </c>
      <c r="H57" s="242">
        <f>1-G57</f>
        <v>0.91079005512467082</v>
      </c>
      <c r="I57" s="157"/>
    </row>
    <row r="58" spans="1:9" ht="15.75" x14ac:dyDescent="0.25">
      <c r="A58" s="177"/>
      <c r="B58" s="165">
        <f>DATE(24,4,1)</f>
        <v>8858</v>
      </c>
      <c r="C58" s="226">
        <v>190473732.43000001</v>
      </c>
      <c r="D58" s="226">
        <v>16930679.41</v>
      </c>
      <c r="E58" s="226">
        <v>18086108.760000002</v>
      </c>
      <c r="F58" s="166">
        <f>(+D58-E58)/E58</f>
        <v>-6.3884905555549765E-2</v>
      </c>
      <c r="G58" s="241">
        <f>D58/C58</f>
        <v>8.8887213969107814E-2</v>
      </c>
      <c r="H58" s="242">
        <f>1-G58</f>
        <v>0.91111278603089219</v>
      </c>
      <c r="I58" s="157"/>
    </row>
    <row r="59" spans="1:9" ht="15.75" thickBot="1" x14ac:dyDescent="0.25">
      <c r="A59" s="167"/>
      <c r="B59" s="168"/>
      <c r="C59" s="226"/>
      <c r="D59" s="226"/>
      <c r="E59" s="226"/>
      <c r="F59" s="166"/>
      <c r="G59" s="241"/>
      <c r="H59" s="242"/>
      <c r="I59" s="157"/>
    </row>
    <row r="60" spans="1:9" ht="17.25" thickTop="1" thickBot="1" x14ac:dyDescent="0.3">
      <c r="A60" s="174" t="s">
        <v>14</v>
      </c>
      <c r="B60" s="178"/>
      <c r="C60" s="228">
        <f>SUM(C49:C59)</f>
        <v>1906045850.3600001</v>
      </c>
      <c r="D60" s="228">
        <f>SUM(D49:D59)</f>
        <v>172031130.22</v>
      </c>
      <c r="E60" s="228">
        <f>SUM(E49:E59)</f>
        <v>170349670.87</v>
      </c>
      <c r="F60" s="176">
        <f>(+D60-E60)/E60</f>
        <v>9.8706345683707043E-3</v>
      </c>
      <c r="G60" s="245">
        <f>D60/C60</f>
        <v>9.0255504707564091E-2</v>
      </c>
      <c r="H60" s="246">
        <f>1-G60</f>
        <v>0.90974449529243595</v>
      </c>
      <c r="I60" s="157"/>
    </row>
    <row r="61" spans="1:9" ht="15.75" thickTop="1" x14ac:dyDescent="0.2">
      <c r="A61" s="167"/>
      <c r="B61" s="168"/>
      <c r="C61" s="226"/>
      <c r="D61" s="226"/>
      <c r="E61" s="226"/>
      <c r="F61" s="166"/>
      <c r="G61" s="241"/>
      <c r="H61" s="242"/>
      <c r="I61" s="157"/>
    </row>
    <row r="62" spans="1:9" ht="15.75" x14ac:dyDescent="0.25">
      <c r="A62" s="164" t="s">
        <v>60</v>
      </c>
      <c r="B62" s="165">
        <f>DATE(23,7,1)</f>
        <v>8583</v>
      </c>
      <c r="C62" s="226">
        <v>121881486.05</v>
      </c>
      <c r="D62" s="226">
        <v>12067335.59</v>
      </c>
      <c r="E62" s="226">
        <v>11877741.560000001</v>
      </c>
      <c r="F62" s="166">
        <f t="shared" ref="F62:F67" si="12">(+D62-E62)/E62</f>
        <v>1.5962127904725964E-2</v>
      </c>
      <c r="G62" s="241">
        <f t="shared" ref="G62:G67" si="13">D62/C62</f>
        <v>9.9008766475406795E-2</v>
      </c>
      <c r="H62" s="242">
        <f t="shared" ref="H62:H68" si="14">1-G62</f>
        <v>0.9009912335245932</v>
      </c>
      <c r="I62" s="157"/>
    </row>
    <row r="63" spans="1:9" ht="15.75" x14ac:dyDescent="0.25">
      <c r="A63" s="164"/>
      <c r="B63" s="165">
        <f>DATE(23,8,1)</f>
        <v>8614</v>
      </c>
      <c r="C63" s="226">
        <v>115554383.93000001</v>
      </c>
      <c r="D63" s="226">
        <v>10973674.99</v>
      </c>
      <c r="E63" s="226">
        <v>11399779.33</v>
      </c>
      <c r="F63" s="166">
        <f t="shared" si="12"/>
        <v>-3.7378297216565493E-2</v>
      </c>
      <c r="G63" s="241">
        <f t="shared" si="13"/>
        <v>9.4965457966939462E-2</v>
      </c>
      <c r="H63" s="242">
        <f t="shared" si="14"/>
        <v>0.90503454203306055</v>
      </c>
      <c r="I63" s="157"/>
    </row>
    <row r="64" spans="1:9" ht="15.75" x14ac:dyDescent="0.25">
      <c r="A64" s="164"/>
      <c r="B64" s="165">
        <f>DATE(23,9,1)</f>
        <v>8645</v>
      </c>
      <c r="C64" s="226">
        <v>112575369.23999999</v>
      </c>
      <c r="D64" s="226">
        <v>10801103.67</v>
      </c>
      <c r="E64" s="226">
        <v>10069352.810000001</v>
      </c>
      <c r="F64" s="166">
        <f t="shared" si="12"/>
        <v>7.2671091559458362E-2</v>
      </c>
      <c r="G64" s="241">
        <f t="shared" si="13"/>
        <v>9.5945531806101145E-2</v>
      </c>
      <c r="H64" s="242">
        <f t="shared" si="14"/>
        <v>0.9040544681938989</v>
      </c>
      <c r="I64" s="157"/>
    </row>
    <row r="65" spans="1:9" ht="15.75" x14ac:dyDescent="0.25">
      <c r="A65" s="164"/>
      <c r="B65" s="165">
        <f>DATE(23,10,1)</f>
        <v>8675</v>
      </c>
      <c r="C65" s="226">
        <v>105123042.13</v>
      </c>
      <c r="D65" s="226">
        <v>10564246.92</v>
      </c>
      <c r="E65" s="226">
        <v>10695374.6</v>
      </c>
      <c r="F65" s="166">
        <f t="shared" si="12"/>
        <v>-1.2260223218362048E-2</v>
      </c>
      <c r="G65" s="241">
        <f t="shared" si="13"/>
        <v>0.10049411343077158</v>
      </c>
      <c r="H65" s="242">
        <f t="shared" si="14"/>
        <v>0.89950588656922847</v>
      </c>
      <c r="I65" s="157"/>
    </row>
    <row r="66" spans="1:9" ht="15.75" x14ac:dyDescent="0.25">
      <c r="A66" s="164"/>
      <c r="B66" s="165">
        <f>DATE(23,11,1)</f>
        <v>8706</v>
      </c>
      <c r="C66" s="226">
        <v>100178994.58</v>
      </c>
      <c r="D66" s="226">
        <v>9910289.5700000003</v>
      </c>
      <c r="E66" s="226">
        <v>10611649.119999999</v>
      </c>
      <c r="F66" s="166">
        <f t="shared" si="12"/>
        <v>-6.6093360425773198E-2</v>
      </c>
      <c r="G66" s="241">
        <f t="shared" si="13"/>
        <v>9.8925823837111224E-2</v>
      </c>
      <c r="H66" s="242">
        <f t="shared" si="14"/>
        <v>0.90107417616288876</v>
      </c>
      <c r="I66" s="157"/>
    </row>
    <row r="67" spans="1:9" ht="15.75" x14ac:dyDescent="0.25">
      <c r="A67" s="164"/>
      <c r="B67" s="165">
        <f>DATE(23,12,1)</f>
        <v>8736</v>
      </c>
      <c r="C67" s="226">
        <v>122205739.61</v>
      </c>
      <c r="D67" s="226">
        <v>11817185.1</v>
      </c>
      <c r="E67" s="226">
        <v>11067872.5</v>
      </c>
      <c r="F67" s="166">
        <f t="shared" si="12"/>
        <v>6.7701593056840842E-2</v>
      </c>
      <c r="G67" s="241">
        <f t="shared" si="13"/>
        <v>9.6699100530896906E-2</v>
      </c>
      <c r="H67" s="242">
        <f t="shared" si="14"/>
        <v>0.90330089946910308</v>
      </c>
      <c r="I67" s="157"/>
    </row>
    <row r="68" spans="1:9" ht="15.75" x14ac:dyDescent="0.25">
      <c r="A68" s="164"/>
      <c r="B68" s="165">
        <f>DATE(24,1,1)</f>
        <v>8767</v>
      </c>
      <c r="C68" s="226">
        <v>90178722.310000002</v>
      </c>
      <c r="D68" s="226">
        <v>8636364.1500000004</v>
      </c>
      <c r="E68" s="226">
        <v>10685663.300000001</v>
      </c>
      <c r="F68" s="166">
        <f>(+D68-E68)/E68</f>
        <v>-0.1917802472776772</v>
      </c>
      <c r="G68" s="241">
        <f>D68/C68</f>
        <v>9.576942241775703E-2</v>
      </c>
      <c r="H68" s="242">
        <f t="shared" si="14"/>
        <v>0.90423057758224301</v>
      </c>
      <c r="I68" s="157"/>
    </row>
    <row r="69" spans="1:9" ht="15.75" x14ac:dyDescent="0.25">
      <c r="A69" s="164"/>
      <c r="B69" s="165">
        <f>DATE(24,2,1)</f>
        <v>8798</v>
      </c>
      <c r="C69" s="226">
        <v>106593420.09</v>
      </c>
      <c r="D69" s="226">
        <v>10543506.25</v>
      </c>
      <c r="E69" s="226">
        <v>10567662.619999999</v>
      </c>
      <c r="F69" s="166">
        <f>(+D69-E69)/E69</f>
        <v>-2.2858763445269019E-3</v>
      </c>
      <c r="G69" s="241">
        <f>D69/C69</f>
        <v>9.8913293532544536E-2</v>
      </c>
      <c r="H69" s="242">
        <f>1-G69</f>
        <v>0.90108670646745548</v>
      </c>
      <c r="I69" s="157"/>
    </row>
    <row r="70" spans="1:9" ht="15.75" x14ac:dyDescent="0.25">
      <c r="A70" s="164"/>
      <c r="B70" s="165">
        <f>DATE(24,3,1)</f>
        <v>8827</v>
      </c>
      <c r="C70" s="226">
        <v>125177415.75</v>
      </c>
      <c r="D70" s="226">
        <v>12150632.48</v>
      </c>
      <c r="E70" s="226">
        <v>12565055.32</v>
      </c>
      <c r="F70" s="166">
        <f>(+D70-E70)/E70</f>
        <v>-3.2982173929656827E-2</v>
      </c>
      <c r="G70" s="241">
        <f>D70/C70</f>
        <v>9.7067289711962282E-2</v>
      </c>
      <c r="H70" s="242">
        <f>1-G70</f>
        <v>0.90293271028803768</v>
      </c>
      <c r="I70" s="157"/>
    </row>
    <row r="71" spans="1:9" ht="15.75" x14ac:dyDescent="0.25">
      <c r="A71" s="164"/>
      <c r="B71" s="165">
        <f>DATE(24,4,1)</f>
        <v>8858</v>
      </c>
      <c r="C71" s="226">
        <v>104878769.86</v>
      </c>
      <c r="D71" s="226">
        <v>9858056.8100000005</v>
      </c>
      <c r="E71" s="226">
        <v>11102592.5</v>
      </c>
      <c r="F71" s="166">
        <f>(+D71-E71)/E71</f>
        <v>-0.11209415188389554</v>
      </c>
      <c r="G71" s="241">
        <f>D71/C71</f>
        <v>9.3994779145095519E-2</v>
      </c>
      <c r="H71" s="242">
        <f>1-G71</f>
        <v>0.90600522085490454</v>
      </c>
      <c r="I71" s="157"/>
    </row>
    <row r="72" spans="1:9" ht="15.75" thickBot="1" x14ac:dyDescent="0.25">
      <c r="A72" s="167"/>
      <c r="B72" s="165"/>
      <c r="C72" s="226"/>
      <c r="D72" s="226"/>
      <c r="E72" s="226"/>
      <c r="F72" s="166"/>
      <c r="G72" s="241"/>
      <c r="H72" s="242"/>
      <c r="I72" s="157"/>
    </row>
    <row r="73" spans="1:9" ht="17.25" thickTop="1" thickBot="1" x14ac:dyDescent="0.3">
      <c r="A73" s="174" t="s">
        <v>14</v>
      </c>
      <c r="B73" s="175"/>
      <c r="C73" s="228">
        <f>SUM(C62:C72)</f>
        <v>1104347343.5500002</v>
      </c>
      <c r="D73" s="230">
        <f>SUM(D62:D72)</f>
        <v>107322395.53000002</v>
      </c>
      <c r="E73" s="271">
        <f>SUM(E62:E72)</f>
        <v>110642743.66</v>
      </c>
      <c r="F73" s="272">
        <f>(+D73-E73)/E73</f>
        <v>-3.0009632987801311E-2</v>
      </c>
      <c r="G73" s="249">
        <f>D73/C73</f>
        <v>9.7181739202636036E-2</v>
      </c>
      <c r="H73" s="270">
        <f>1-G73</f>
        <v>0.90281826079736394</v>
      </c>
      <c r="I73" s="157"/>
    </row>
    <row r="74" spans="1:9" ht="15.75" thickTop="1" x14ac:dyDescent="0.2">
      <c r="A74" s="167"/>
      <c r="B74" s="168"/>
      <c r="C74" s="226"/>
      <c r="D74" s="226"/>
      <c r="E74" s="226"/>
      <c r="F74" s="166"/>
      <c r="G74" s="241"/>
      <c r="H74" s="242"/>
      <c r="I74" s="157"/>
    </row>
    <row r="75" spans="1:9" ht="15.75" x14ac:dyDescent="0.25">
      <c r="A75" s="164" t="s">
        <v>64</v>
      </c>
      <c r="B75" s="165">
        <f>DATE(23,7,1)</f>
        <v>8583</v>
      </c>
      <c r="C75" s="226">
        <v>53239780.990000002</v>
      </c>
      <c r="D75" s="226">
        <v>5575819.8300000001</v>
      </c>
      <c r="E75" s="226">
        <v>5559220.0999999996</v>
      </c>
      <c r="F75" s="166">
        <f t="shared" ref="F75:F80" si="15">(+D75-E75)/E75</f>
        <v>2.9859817926619686E-3</v>
      </c>
      <c r="G75" s="241">
        <f t="shared" ref="G75:G80" si="16">D75/C75</f>
        <v>0.10473032995848167</v>
      </c>
      <c r="H75" s="242">
        <f t="shared" ref="H75:H81" si="17">1-G75</f>
        <v>0.89526967004151836</v>
      </c>
      <c r="I75" s="157"/>
    </row>
    <row r="76" spans="1:9" ht="15.75" x14ac:dyDescent="0.25">
      <c r="A76" s="164"/>
      <c r="B76" s="165">
        <f>DATE(23,8,1)</f>
        <v>8614</v>
      </c>
      <c r="C76" s="226">
        <v>49967048.579999998</v>
      </c>
      <c r="D76" s="226">
        <v>5122977.68</v>
      </c>
      <c r="E76" s="226">
        <v>4834999.09</v>
      </c>
      <c r="F76" s="166">
        <f t="shared" si="15"/>
        <v>5.9561250093223876E-2</v>
      </c>
      <c r="G76" s="241">
        <f t="shared" si="16"/>
        <v>0.10252712188509254</v>
      </c>
      <c r="H76" s="242">
        <f t="shared" si="17"/>
        <v>0.8974728781149075</v>
      </c>
      <c r="I76" s="157"/>
    </row>
    <row r="77" spans="1:9" ht="15.75" x14ac:dyDescent="0.25">
      <c r="A77" s="164"/>
      <c r="B77" s="165">
        <f>DATE(23,9,1)</f>
        <v>8645</v>
      </c>
      <c r="C77" s="226">
        <v>48479872.609999999</v>
      </c>
      <c r="D77" s="226">
        <v>4693957.13</v>
      </c>
      <c r="E77" s="226">
        <v>4841899.8</v>
      </c>
      <c r="F77" s="166">
        <f t="shared" si="15"/>
        <v>-3.0554674014526266E-2</v>
      </c>
      <c r="G77" s="241">
        <f t="shared" si="16"/>
        <v>9.6822802480544715E-2</v>
      </c>
      <c r="H77" s="242">
        <f t="shared" si="17"/>
        <v>0.90317719751945524</v>
      </c>
      <c r="I77" s="157"/>
    </row>
    <row r="78" spans="1:9" ht="15.75" x14ac:dyDescent="0.25">
      <c r="A78" s="164"/>
      <c r="B78" s="165">
        <f>DATE(23,10,1)</f>
        <v>8675</v>
      </c>
      <c r="C78" s="226">
        <v>45241468.390000001</v>
      </c>
      <c r="D78" s="226">
        <v>4687600.6900000004</v>
      </c>
      <c r="E78" s="226">
        <v>4853868.22</v>
      </c>
      <c r="F78" s="166">
        <f t="shared" si="15"/>
        <v>-3.4254644432847689E-2</v>
      </c>
      <c r="G78" s="241">
        <f t="shared" si="16"/>
        <v>0.10361292099520204</v>
      </c>
      <c r="H78" s="242">
        <f t="shared" si="17"/>
        <v>0.89638707900479797</v>
      </c>
      <c r="I78" s="157"/>
    </row>
    <row r="79" spans="1:9" ht="15.75" x14ac:dyDescent="0.25">
      <c r="A79" s="164"/>
      <c r="B79" s="165">
        <f>DATE(23,11,1)</f>
        <v>8706</v>
      </c>
      <c r="C79" s="226">
        <v>44523750.759999998</v>
      </c>
      <c r="D79" s="226">
        <v>4597031.58</v>
      </c>
      <c r="E79" s="226">
        <v>4436643.53</v>
      </c>
      <c r="F79" s="166">
        <f t="shared" si="15"/>
        <v>3.6150763277571642E-2</v>
      </c>
      <c r="G79" s="241">
        <f t="shared" si="16"/>
        <v>0.10324897389664572</v>
      </c>
      <c r="H79" s="242">
        <f t="shared" si="17"/>
        <v>0.89675102610335422</v>
      </c>
      <c r="I79" s="157"/>
    </row>
    <row r="80" spans="1:9" ht="15.75" x14ac:dyDescent="0.25">
      <c r="A80" s="164"/>
      <c r="B80" s="165">
        <f>DATE(23,12,1)</f>
        <v>8736</v>
      </c>
      <c r="C80" s="226">
        <v>52832745.200000003</v>
      </c>
      <c r="D80" s="226">
        <v>5308528.92</v>
      </c>
      <c r="E80" s="226">
        <v>4878718.8099999996</v>
      </c>
      <c r="F80" s="166">
        <f t="shared" si="15"/>
        <v>8.809897162324884E-2</v>
      </c>
      <c r="G80" s="241">
        <f t="shared" si="16"/>
        <v>0.10047800658293259</v>
      </c>
      <c r="H80" s="242">
        <f t="shared" si="17"/>
        <v>0.8995219934170674</v>
      </c>
      <c r="I80" s="157"/>
    </row>
    <row r="81" spans="1:9" ht="15.75" x14ac:dyDescent="0.25">
      <c r="A81" s="164"/>
      <c r="B81" s="165">
        <f>DATE(24,1,1)</f>
        <v>8767</v>
      </c>
      <c r="C81" s="226">
        <v>41233936.259999998</v>
      </c>
      <c r="D81" s="226">
        <v>4172035.59</v>
      </c>
      <c r="E81" s="226">
        <v>4734129.4000000004</v>
      </c>
      <c r="F81" s="166">
        <f>(+D81-E81)/E81</f>
        <v>-0.11873224462347828</v>
      </c>
      <c r="G81" s="241">
        <f>D81/C81</f>
        <v>0.10117965851461012</v>
      </c>
      <c r="H81" s="242">
        <f t="shared" si="17"/>
        <v>0.89882034148538992</v>
      </c>
      <c r="I81" s="157"/>
    </row>
    <row r="82" spans="1:9" ht="15.75" x14ac:dyDescent="0.25">
      <c r="A82" s="164"/>
      <c r="B82" s="165">
        <f>DATE(24,2,1)</f>
        <v>8798</v>
      </c>
      <c r="C82" s="226">
        <v>49754245.509999998</v>
      </c>
      <c r="D82" s="226">
        <v>5059953.28</v>
      </c>
      <c r="E82" s="226">
        <v>5419047.3600000003</v>
      </c>
      <c r="F82" s="166">
        <f>(+D82-E82)/E82</f>
        <v>-6.6265167315312054E-2</v>
      </c>
      <c r="G82" s="241">
        <f>D82/C82</f>
        <v>0.10169892494868626</v>
      </c>
      <c r="H82" s="242">
        <f>1-G82</f>
        <v>0.89830107505131374</v>
      </c>
      <c r="I82" s="157"/>
    </row>
    <row r="83" spans="1:9" ht="15.75" x14ac:dyDescent="0.25">
      <c r="A83" s="164"/>
      <c r="B83" s="165">
        <f>DATE(24,3,1)</f>
        <v>8827</v>
      </c>
      <c r="C83" s="226">
        <v>54987237.240000002</v>
      </c>
      <c r="D83" s="226">
        <v>5806633.5099999998</v>
      </c>
      <c r="E83" s="226">
        <v>5872959.04</v>
      </c>
      <c r="F83" s="166">
        <f>(+D83-E83)/E83</f>
        <v>-1.1293375204605592E-2</v>
      </c>
      <c r="G83" s="241">
        <f>D83/C83</f>
        <v>0.1055996591473778</v>
      </c>
      <c r="H83" s="242">
        <f>1-G83</f>
        <v>0.89440034085262221</v>
      </c>
      <c r="I83" s="157"/>
    </row>
    <row r="84" spans="1:9" ht="15.75" x14ac:dyDescent="0.25">
      <c r="A84" s="164"/>
      <c r="B84" s="165">
        <f>DATE(24,4,1)</f>
        <v>8858</v>
      </c>
      <c r="C84" s="226">
        <v>53344453.560000002</v>
      </c>
      <c r="D84" s="226">
        <v>5212460.2699999996</v>
      </c>
      <c r="E84" s="226">
        <v>5332993.75</v>
      </c>
      <c r="F84" s="166">
        <f>(+D84-E84)/E84</f>
        <v>-2.2601466577754838E-2</v>
      </c>
      <c r="G84" s="241">
        <f>D84/C84</f>
        <v>9.7713256433252307E-2</v>
      </c>
      <c r="H84" s="242">
        <f>1-G84</f>
        <v>0.90228674356674765</v>
      </c>
      <c r="I84" s="157"/>
    </row>
    <row r="85" spans="1:9" ht="15.75" thickBot="1" x14ac:dyDescent="0.25">
      <c r="A85" s="167"/>
      <c r="B85" s="165"/>
      <c r="C85" s="226"/>
      <c r="D85" s="226"/>
      <c r="E85" s="226"/>
      <c r="F85" s="166"/>
      <c r="G85" s="241"/>
      <c r="H85" s="242"/>
      <c r="I85" s="157"/>
    </row>
    <row r="86" spans="1:9" ht="17.25" thickTop="1" thickBot="1" x14ac:dyDescent="0.3">
      <c r="A86" s="174" t="s">
        <v>14</v>
      </c>
      <c r="B86" s="175"/>
      <c r="C86" s="228">
        <f>SUM(C75:C85)</f>
        <v>493604539.09999996</v>
      </c>
      <c r="D86" s="230">
        <f>SUM(D75:D85)</f>
        <v>50236998.480000004</v>
      </c>
      <c r="E86" s="271">
        <f>SUM(E75:E85)</f>
        <v>50764479.099999994</v>
      </c>
      <c r="F86" s="272">
        <f>(+D86-E86)/E86</f>
        <v>-1.0390742293660016E-2</v>
      </c>
      <c r="G86" s="249">
        <f>D86/C86</f>
        <v>0.10177580330115731</v>
      </c>
      <c r="H86" s="270">
        <f>1-G86</f>
        <v>0.89822419669884268</v>
      </c>
      <c r="I86" s="157"/>
    </row>
    <row r="87" spans="1:9" ht="15.75" thickTop="1" x14ac:dyDescent="0.2">
      <c r="A87" s="167"/>
      <c r="B87" s="168"/>
      <c r="C87" s="226"/>
      <c r="D87" s="226"/>
      <c r="E87" s="226"/>
      <c r="F87" s="166"/>
      <c r="G87" s="241"/>
      <c r="H87" s="242"/>
      <c r="I87" s="157"/>
    </row>
    <row r="88" spans="1:9" ht="15.75" x14ac:dyDescent="0.25">
      <c r="A88" s="290" t="s">
        <v>67</v>
      </c>
      <c r="B88" s="165">
        <f>DATE(23,7,1)</f>
        <v>8583</v>
      </c>
      <c r="C88" s="226">
        <v>89298695.370000005</v>
      </c>
      <c r="D88" s="226">
        <v>9977929.8800000008</v>
      </c>
      <c r="E88" s="226">
        <v>9654928.8200000003</v>
      </c>
      <c r="F88" s="166">
        <f t="shared" ref="F88:F93" si="18">(+D88-E88)/E88</f>
        <v>3.3454525250451353E-2</v>
      </c>
      <c r="G88" s="241">
        <f t="shared" ref="G88:G93" si="19">D88/C88</f>
        <v>0.11173656948354586</v>
      </c>
      <c r="H88" s="242">
        <f t="shared" ref="H88:H94" si="20">1-G88</f>
        <v>0.88826343051645418</v>
      </c>
      <c r="I88" s="157"/>
    </row>
    <row r="89" spans="1:9" ht="15.75" x14ac:dyDescent="0.25">
      <c r="A89" s="290"/>
      <c r="B89" s="165">
        <f>DATE(23,8,1)</f>
        <v>8614</v>
      </c>
      <c r="C89" s="226">
        <v>89627706.310000002</v>
      </c>
      <c r="D89" s="226">
        <v>9956028.8800000008</v>
      </c>
      <c r="E89" s="226">
        <v>9270730.9700000007</v>
      </c>
      <c r="F89" s="166">
        <f t="shared" si="18"/>
        <v>7.3920590751432425E-2</v>
      </c>
      <c r="G89" s="241">
        <f t="shared" si="19"/>
        <v>0.11108204471466186</v>
      </c>
      <c r="H89" s="242">
        <f t="shared" si="20"/>
        <v>0.88891795528533812</v>
      </c>
      <c r="I89" s="157"/>
    </row>
    <row r="90" spans="1:9" ht="15.75" x14ac:dyDescent="0.25">
      <c r="A90" s="290"/>
      <c r="B90" s="165">
        <f>DATE(23,9,1)</f>
        <v>8645</v>
      </c>
      <c r="C90" s="226">
        <v>95507709.879999995</v>
      </c>
      <c r="D90" s="226">
        <v>10479555.779999999</v>
      </c>
      <c r="E90" s="226">
        <v>9446104.3000000007</v>
      </c>
      <c r="F90" s="166">
        <f t="shared" si="18"/>
        <v>0.10940504648037801</v>
      </c>
      <c r="G90" s="241">
        <f t="shared" si="19"/>
        <v>0.10972471011153932</v>
      </c>
      <c r="H90" s="242">
        <f t="shared" si="20"/>
        <v>0.89027528988846072</v>
      </c>
      <c r="I90" s="157"/>
    </row>
    <row r="91" spans="1:9" ht="15.75" x14ac:dyDescent="0.25">
      <c r="A91" s="290"/>
      <c r="B91" s="165">
        <f>DATE(23,10,1)</f>
        <v>8675</v>
      </c>
      <c r="C91" s="226">
        <v>94703586.390000001</v>
      </c>
      <c r="D91" s="226">
        <v>10708668.119999999</v>
      </c>
      <c r="E91" s="226">
        <v>9283650.1199999992</v>
      </c>
      <c r="F91" s="166">
        <f t="shared" si="18"/>
        <v>0.15349759863634327</v>
      </c>
      <c r="G91" s="241">
        <f t="shared" si="19"/>
        <v>0.1130756344949863</v>
      </c>
      <c r="H91" s="242">
        <f t="shared" si="20"/>
        <v>0.88692436550501375</v>
      </c>
      <c r="I91" s="157"/>
    </row>
    <row r="92" spans="1:9" ht="15.75" x14ac:dyDescent="0.25">
      <c r="A92" s="290"/>
      <c r="B92" s="165">
        <f>DATE(23,11,1)</f>
        <v>8706</v>
      </c>
      <c r="C92" s="226">
        <v>94033257.400000006</v>
      </c>
      <c r="D92" s="226">
        <v>10522780.289999999</v>
      </c>
      <c r="E92" s="226">
        <v>9336104.8499999996</v>
      </c>
      <c r="F92" s="166">
        <f t="shared" si="18"/>
        <v>0.12710605322732632</v>
      </c>
      <c r="G92" s="241">
        <f t="shared" si="19"/>
        <v>0.11190487898593204</v>
      </c>
      <c r="H92" s="242">
        <f t="shared" si="20"/>
        <v>0.88809512101406796</v>
      </c>
      <c r="I92" s="157"/>
    </row>
    <row r="93" spans="1:9" ht="15.75" x14ac:dyDescent="0.25">
      <c r="A93" s="290"/>
      <c r="B93" s="165">
        <f>DATE(23,12,1)</f>
        <v>8736</v>
      </c>
      <c r="C93" s="226">
        <v>96743255.180000007</v>
      </c>
      <c r="D93" s="226">
        <v>10764645.630000001</v>
      </c>
      <c r="E93" s="226">
        <v>9794618.4299999997</v>
      </c>
      <c r="F93" s="166">
        <f t="shared" si="18"/>
        <v>9.9036752368923175E-2</v>
      </c>
      <c r="G93" s="241">
        <f t="shared" si="19"/>
        <v>0.11127024421466236</v>
      </c>
      <c r="H93" s="242">
        <f t="shared" si="20"/>
        <v>0.88872975578533764</v>
      </c>
      <c r="I93" s="157"/>
    </row>
    <row r="94" spans="1:9" ht="15.75" x14ac:dyDescent="0.25">
      <c r="A94" s="290"/>
      <c r="B94" s="165">
        <f>DATE(24,1,1)</f>
        <v>8767</v>
      </c>
      <c r="C94" s="226">
        <v>76940806.450000003</v>
      </c>
      <c r="D94" s="226">
        <v>8504931.5700000003</v>
      </c>
      <c r="E94" s="226">
        <v>9804638.4499999993</v>
      </c>
      <c r="F94" s="166">
        <f>(+D94-E94)/E94</f>
        <v>-0.13256040869105165</v>
      </c>
      <c r="G94" s="241">
        <f>D94/C94</f>
        <v>0.11053863304028314</v>
      </c>
      <c r="H94" s="242">
        <f t="shared" si="20"/>
        <v>0.88946136695971689</v>
      </c>
      <c r="I94" s="157"/>
    </row>
    <row r="95" spans="1:9" ht="15.75" x14ac:dyDescent="0.25">
      <c r="A95" s="290"/>
      <c r="B95" s="165">
        <f>DATE(24,2,1)</f>
        <v>8798</v>
      </c>
      <c r="C95" s="226">
        <v>88691280.519999996</v>
      </c>
      <c r="D95" s="226">
        <v>10006367.91</v>
      </c>
      <c r="E95" s="226">
        <v>9413288.1199999992</v>
      </c>
      <c r="F95" s="166">
        <f>(+D95-E95)/E95</f>
        <v>6.3004529601076428E-2</v>
      </c>
      <c r="G95" s="241">
        <f>D95/C95</f>
        <v>0.1128224539248089</v>
      </c>
      <c r="H95" s="242">
        <f>1-G95</f>
        <v>0.88717754607519106</v>
      </c>
      <c r="I95" s="157"/>
    </row>
    <row r="96" spans="1:9" ht="15.75" x14ac:dyDescent="0.25">
      <c r="A96" s="290"/>
      <c r="B96" s="165">
        <f>DATE(24,3,1)</f>
        <v>8827</v>
      </c>
      <c r="C96" s="226">
        <v>97221834.390000001</v>
      </c>
      <c r="D96" s="226">
        <v>11055740.75</v>
      </c>
      <c r="E96" s="226">
        <v>10565430.359999999</v>
      </c>
      <c r="F96" s="166">
        <f>(+D96-E96)/E96</f>
        <v>4.6407043848992878E-2</v>
      </c>
      <c r="G96" s="241">
        <f>D96/C96</f>
        <v>0.11371664420206791</v>
      </c>
      <c r="H96" s="242">
        <f>1-G96</f>
        <v>0.88628335579793205</v>
      </c>
      <c r="I96" s="157"/>
    </row>
    <row r="97" spans="1:9" ht="15.75" x14ac:dyDescent="0.25">
      <c r="A97" s="290"/>
      <c r="B97" s="165">
        <f>DATE(24,4,1)</f>
        <v>8858</v>
      </c>
      <c r="C97" s="226">
        <v>90081218.349999994</v>
      </c>
      <c r="D97" s="226">
        <v>10008008.73</v>
      </c>
      <c r="E97" s="226">
        <v>9868981.7899999991</v>
      </c>
      <c r="F97" s="166">
        <f>(+D97-E97)/E97</f>
        <v>1.408726279552709E-2</v>
      </c>
      <c r="G97" s="241">
        <f>D97/C97</f>
        <v>0.1110998376056045</v>
      </c>
      <c r="H97" s="242">
        <f>1-G97</f>
        <v>0.88890016239439551</v>
      </c>
      <c r="I97" s="157"/>
    </row>
    <row r="98" spans="1:9" ht="15.75" thickBot="1" x14ac:dyDescent="0.25">
      <c r="A98" s="167"/>
      <c r="B98" s="165"/>
      <c r="C98" s="226"/>
      <c r="D98" s="226"/>
      <c r="E98" s="226"/>
      <c r="F98" s="166"/>
      <c r="G98" s="241"/>
      <c r="H98" s="242"/>
      <c r="I98" s="157"/>
    </row>
    <row r="99" spans="1:9" ht="17.25" thickTop="1" thickBot="1" x14ac:dyDescent="0.3">
      <c r="A99" s="174" t="s">
        <v>14</v>
      </c>
      <c r="B99" s="175"/>
      <c r="C99" s="228">
        <f>SUM(C88:C98)</f>
        <v>912849350.24000001</v>
      </c>
      <c r="D99" s="230">
        <f>SUM(D88:D98)</f>
        <v>101984657.54000001</v>
      </c>
      <c r="E99" s="271">
        <f>SUM(E88:E98)</f>
        <v>96438476.210000008</v>
      </c>
      <c r="F99" s="272">
        <f>(+D99-E99)/E99</f>
        <v>5.7510047316829099E-2</v>
      </c>
      <c r="G99" s="249">
        <f>D99/C99</f>
        <v>0.11172123583501145</v>
      </c>
      <c r="H99" s="270">
        <f>1-G99</f>
        <v>0.88827876416498852</v>
      </c>
      <c r="I99" s="157"/>
    </row>
    <row r="100" spans="1:9" ht="15.75" thickTop="1" x14ac:dyDescent="0.2">
      <c r="A100" s="167"/>
      <c r="B100" s="168"/>
      <c r="C100" s="226"/>
      <c r="D100" s="226"/>
      <c r="E100" s="226"/>
      <c r="F100" s="166"/>
      <c r="G100" s="241"/>
      <c r="H100" s="242"/>
      <c r="I100" s="157"/>
    </row>
    <row r="101" spans="1:9" ht="15.75" x14ac:dyDescent="0.25">
      <c r="A101" s="164" t="s">
        <v>69</v>
      </c>
      <c r="B101" s="165">
        <f>DATE(23,7,1)</f>
        <v>8583</v>
      </c>
      <c r="C101" s="226">
        <v>121213119.26000001</v>
      </c>
      <c r="D101" s="226">
        <v>12329543.52</v>
      </c>
      <c r="E101" s="226">
        <v>11762621.74</v>
      </c>
      <c r="F101" s="166">
        <f t="shared" ref="F101:F106" si="21">(+D101-E101)/E101</f>
        <v>4.8196889480184822E-2</v>
      </c>
      <c r="G101" s="241">
        <f t="shared" ref="G101:G106" si="22">D101/C101</f>
        <v>0.10171789650552054</v>
      </c>
      <c r="H101" s="242">
        <f t="shared" ref="H101:H107" si="23">1-G101</f>
        <v>0.89828210349447946</v>
      </c>
      <c r="I101" s="157"/>
    </row>
    <row r="102" spans="1:9" ht="15.75" x14ac:dyDescent="0.25">
      <c r="A102" s="164"/>
      <c r="B102" s="165">
        <f>DATE(23,8,1)</f>
        <v>8614</v>
      </c>
      <c r="C102" s="226">
        <v>112407031.68000001</v>
      </c>
      <c r="D102" s="226">
        <v>11665095.210000001</v>
      </c>
      <c r="E102" s="226">
        <v>12540537.029999999</v>
      </c>
      <c r="F102" s="166">
        <f t="shared" si="21"/>
        <v>-6.9808957774753169E-2</v>
      </c>
      <c r="G102" s="241">
        <f t="shared" si="22"/>
        <v>0.10377549371829477</v>
      </c>
      <c r="H102" s="242">
        <f t="shared" si="23"/>
        <v>0.89622450628170525</v>
      </c>
      <c r="I102" s="157"/>
    </row>
    <row r="103" spans="1:9" ht="15.75" x14ac:dyDescent="0.25">
      <c r="A103" s="164"/>
      <c r="B103" s="165">
        <f>DATE(23,9,1)</f>
        <v>8645</v>
      </c>
      <c r="C103" s="226">
        <v>114671749.77</v>
      </c>
      <c r="D103" s="226">
        <v>12009719.560000001</v>
      </c>
      <c r="E103" s="226">
        <v>12203478.51</v>
      </c>
      <c r="F103" s="166">
        <f t="shared" si="21"/>
        <v>-1.58773541364641E-2</v>
      </c>
      <c r="G103" s="241">
        <f t="shared" si="22"/>
        <v>0.10473128372147626</v>
      </c>
      <c r="H103" s="242">
        <f t="shared" si="23"/>
        <v>0.89526871627852378</v>
      </c>
      <c r="I103" s="157"/>
    </row>
    <row r="104" spans="1:9" ht="15.75" x14ac:dyDescent="0.25">
      <c r="A104" s="164"/>
      <c r="B104" s="165">
        <f>DATE(23,10,1)</f>
        <v>8675</v>
      </c>
      <c r="C104" s="226">
        <v>104976582.06999999</v>
      </c>
      <c r="D104" s="226">
        <v>10536048.18</v>
      </c>
      <c r="E104" s="226">
        <v>11570843.18</v>
      </c>
      <c r="F104" s="166">
        <f t="shared" si="21"/>
        <v>-8.9431252666929667E-2</v>
      </c>
      <c r="G104" s="241">
        <f t="shared" si="22"/>
        <v>0.10036570035185945</v>
      </c>
      <c r="H104" s="242">
        <f t="shared" si="23"/>
        <v>0.89963429964814057</v>
      </c>
      <c r="I104" s="157"/>
    </row>
    <row r="105" spans="1:9" ht="15.75" x14ac:dyDescent="0.25">
      <c r="A105" s="164"/>
      <c r="B105" s="165">
        <f>DATE(23,11,1)</f>
        <v>8706</v>
      </c>
      <c r="C105" s="226">
        <v>104619738.67</v>
      </c>
      <c r="D105" s="226">
        <v>10666938.560000001</v>
      </c>
      <c r="E105" s="226">
        <v>10635557.710000001</v>
      </c>
      <c r="F105" s="166">
        <f t="shared" si="21"/>
        <v>2.9505598912310943E-3</v>
      </c>
      <c r="G105" s="241">
        <f t="shared" si="22"/>
        <v>0.10195913979145481</v>
      </c>
      <c r="H105" s="242">
        <f t="shared" si="23"/>
        <v>0.89804086020854523</v>
      </c>
      <c r="I105" s="157"/>
    </row>
    <row r="106" spans="1:9" ht="15.75" x14ac:dyDescent="0.25">
      <c r="A106" s="164"/>
      <c r="B106" s="165">
        <f>DATE(23,12,1)</f>
        <v>8736</v>
      </c>
      <c r="C106" s="226">
        <v>121790851.01000001</v>
      </c>
      <c r="D106" s="226">
        <v>12581806.52</v>
      </c>
      <c r="E106" s="226">
        <v>11765807.74</v>
      </c>
      <c r="F106" s="166">
        <f t="shared" si="21"/>
        <v>6.9353400806122581E-2</v>
      </c>
      <c r="G106" s="241">
        <f t="shared" si="22"/>
        <v>0.10330666397073564</v>
      </c>
      <c r="H106" s="242">
        <f t="shared" si="23"/>
        <v>0.89669333602926438</v>
      </c>
      <c r="I106" s="157"/>
    </row>
    <row r="107" spans="1:9" ht="15.75" x14ac:dyDescent="0.25">
      <c r="A107" s="164"/>
      <c r="B107" s="165">
        <f>DATE(24,1,1)</f>
        <v>8767</v>
      </c>
      <c r="C107" s="226">
        <v>99986536.260000005</v>
      </c>
      <c r="D107" s="226">
        <v>9437829.5099999998</v>
      </c>
      <c r="E107" s="226">
        <v>10527686.77</v>
      </c>
      <c r="F107" s="166">
        <f>(+D107-E107)/E107</f>
        <v>-0.10352295654404238</v>
      </c>
      <c r="G107" s="241">
        <f>D107/C107</f>
        <v>9.4391003659316075E-2</v>
      </c>
      <c r="H107" s="242">
        <f t="shared" si="23"/>
        <v>0.90560899634068392</v>
      </c>
      <c r="I107" s="157"/>
    </row>
    <row r="108" spans="1:9" ht="15.75" x14ac:dyDescent="0.25">
      <c r="A108" s="164"/>
      <c r="B108" s="165">
        <f>DATE(24,2,1)</f>
        <v>8798</v>
      </c>
      <c r="C108" s="226">
        <v>106918206.59</v>
      </c>
      <c r="D108" s="226">
        <v>10885967.029999999</v>
      </c>
      <c r="E108" s="226">
        <v>11416592.51</v>
      </c>
      <c r="F108" s="166">
        <f>(+D108-E108)/E108</f>
        <v>-4.6478446133136134E-2</v>
      </c>
      <c r="G108" s="241">
        <f>D108/C108</f>
        <v>0.10181584013791489</v>
      </c>
      <c r="H108" s="242">
        <f>1-G108</f>
        <v>0.89818415986208511</v>
      </c>
      <c r="I108" s="157"/>
    </row>
    <row r="109" spans="1:9" ht="15.75" x14ac:dyDescent="0.25">
      <c r="A109" s="164"/>
      <c r="B109" s="165">
        <f>DATE(24,3,1)</f>
        <v>8827</v>
      </c>
      <c r="C109" s="226">
        <v>117947283</v>
      </c>
      <c r="D109" s="226">
        <v>12259841.130000001</v>
      </c>
      <c r="E109" s="226">
        <v>12928099</v>
      </c>
      <c r="F109" s="166">
        <f>(+D109-E109)/E109</f>
        <v>-5.1690342872528994E-2</v>
      </c>
      <c r="G109" s="241">
        <f>D109/C109</f>
        <v>0.10394339588136169</v>
      </c>
      <c r="H109" s="242">
        <f>1-G109</f>
        <v>0.8960566041186383</v>
      </c>
      <c r="I109" s="157"/>
    </row>
    <row r="110" spans="1:9" ht="15.75" x14ac:dyDescent="0.25">
      <c r="A110" s="164"/>
      <c r="B110" s="165">
        <f>DATE(24,4,1)</f>
        <v>8858</v>
      </c>
      <c r="C110" s="226">
        <v>101768152.77</v>
      </c>
      <c r="D110" s="226">
        <v>10611574.689999999</v>
      </c>
      <c r="E110" s="226">
        <v>12012834.470000001</v>
      </c>
      <c r="F110" s="166">
        <f>(+D110-E110)/E110</f>
        <v>-0.11664688991589851</v>
      </c>
      <c r="G110" s="241">
        <f>D110/C110</f>
        <v>0.1042720576247716</v>
      </c>
      <c r="H110" s="242">
        <f>1-G110</f>
        <v>0.89572794237522846</v>
      </c>
      <c r="I110" s="157"/>
    </row>
    <row r="111" spans="1:9" ht="15.75" thickBot="1" x14ac:dyDescent="0.25">
      <c r="A111" s="167"/>
      <c r="B111" s="165"/>
      <c r="C111" s="226"/>
      <c r="D111" s="226"/>
      <c r="E111" s="226"/>
      <c r="F111" s="166"/>
      <c r="G111" s="241"/>
      <c r="H111" s="242"/>
      <c r="I111" s="157"/>
    </row>
    <row r="112" spans="1:9" ht="17.25" thickTop="1" thickBot="1" x14ac:dyDescent="0.3">
      <c r="A112" s="174" t="s">
        <v>14</v>
      </c>
      <c r="B112" s="175"/>
      <c r="C112" s="228">
        <f>SUM(C101:C111)</f>
        <v>1106299251.0799999</v>
      </c>
      <c r="D112" s="230">
        <f>SUM(D101:D111)</f>
        <v>112984363.91</v>
      </c>
      <c r="E112" s="271">
        <f>SUM(E101:E111)</f>
        <v>117364058.66</v>
      </c>
      <c r="F112" s="176">
        <f>(+D112-E112)/E112</f>
        <v>-3.7317171883837444E-2</v>
      </c>
      <c r="G112" s="249">
        <f>D112/C112</f>
        <v>0.10212821151212163</v>
      </c>
      <c r="H112" s="270">
        <f>1-G112</f>
        <v>0.89787178848787841</v>
      </c>
      <c r="I112" s="157"/>
    </row>
    <row r="113" spans="1:9" ht="15.75" thickTop="1" x14ac:dyDescent="0.2">
      <c r="A113" s="167"/>
      <c r="B113" s="179"/>
      <c r="C113" s="229"/>
      <c r="D113" s="229"/>
      <c r="E113" s="229"/>
      <c r="F113" s="180"/>
      <c r="G113" s="247"/>
      <c r="H113" s="248"/>
      <c r="I113" s="157"/>
    </row>
    <row r="114" spans="1:9" ht="15.75" x14ac:dyDescent="0.25">
      <c r="A114" s="164" t="s">
        <v>16</v>
      </c>
      <c r="B114" s="165">
        <f>DATE(23,7,1)</f>
        <v>8583</v>
      </c>
      <c r="C114" s="226">
        <v>160295640.59</v>
      </c>
      <c r="D114" s="226">
        <v>15534932.51</v>
      </c>
      <c r="E114" s="226">
        <v>15914314.48</v>
      </c>
      <c r="F114" s="166">
        <f t="shared" ref="F114:F119" si="24">(+D114-E114)/E114</f>
        <v>-2.383903940548501E-2</v>
      </c>
      <c r="G114" s="241">
        <f t="shared" ref="G114:G119" si="25">D114/C114</f>
        <v>9.691425451634611E-2</v>
      </c>
      <c r="H114" s="242">
        <f t="shared" ref="H114:H120" si="26">1-G114</f>
        <v>0.90308574548365383</v>
      </c>
      <c r="I114" s="157"/>
    </row>
    <row r="115" spans="1:9" ht="15.75" x14ac:dyDescent="0.25">
      <c r="A115" s="164"/>
      <c r="B115" s="165">
        <f>DATE(23,8,1)</f>
        <v>8614</v>
      </c>
      <c r="C115" s="226">
        <v>149700012.46000001</v>
      </c>
      <c r="D115" s="226">
        <v>14573354.48</v>
      </c>
      <c r="E115" s="226">
        <v>14340389.18</v>
      </c>
      <c r="F115" s="166">
        <f t="shared" si="24"/>
        <v>1.6245395928648064E-2</v>
      </c>
      <c r="G115" s="241">
        <f t="shared" si="25"/>
        <v>9.7350389225211428E-2</v>
      </c>
      <c r="H115" s="242">
        <f t="shared" si="26"/>
        <v>0.90264961077478856</v>
      </c>
      <c r="I115" s="157"/>
    </row>
    <row r="116" spans="1:9" ht="15.75" x14ac:dyDescent="0.25">
      <c r="A116" s="164"/>
      <c r="B116" s="165">
        <f>DATE(23,9,1)</f>
        <v>8645</v>
      </c>
      <c r="C116" s="226">
        <v>152315348.52000001</v>
      </c>
      <c r="D116" s="226">
        <v>14733622.32</v>
      </c>
      <c r="E116" s="226">
        <v>15068846.289999999</v>
      </c>
      <c r="F116" s="166">
        <f t="shared" si="24"/>
        <v>-2.2246160293138063E-2</v>
      </c>
      <c r="G116" s="241">
        <f t="shared" si="25"/>
        <v>9.6731041639348508E-2</v>
      </c>
      <c r="H116" s="242">
        <f t="shared" si="26"/>
        <v>0.90326895836065146</v>
      </c>
      <c r="I116" s="157"/>
    </row>
    <row r="117" spans="1:9" ht="15.75" x14ac:dyDescent="0.25">
      <c r="A117" s="164"/>
      <c r="B117" s="165">
        <f>DATE(23,10,1)</f>
        <v>8675</v>
      </c>
      <c r="C117" s="226">
        <v>141638869.83000001</v>
      </c>
      <c r="D117" s="226">
        <v>13951699.710000001</v>
      </c>
      <c r="E117" s="226">
        <v>14552868.960000001</v>
      </c>
      <c r="F117" s="166">
        <f t="shared" si="24"/>
        <v>-4.1309328878887941E-2</v>
      </c>
      <c r="G117" s="241">
        <f t="shared" si="25"/>
        <v>9.8501913540720312E-2</v>
      </c>
      <c r="H117" s="242">
        <f t="shared" si="26"/>
        <v>0.90149808645927965</v>
      </c>
      <c r="I117" s="157"/>
    </row>
    <row r="118" spans="1:9" ht="15.75" x14ac:dyDescent="0.25">
      <c r="A118" s="164"/>
      <c r="B118" s="165">
        <f>DATE(23,11,1)</f>
        <v>8706</v>
      </c>
      <c r="C118" s="226">
        <v>135854742.69</v>
      </c>
      <c r="D118" s="226">
        <v>12735247.210000001</v>
      </c>
      <c r="E118" s="226">
        <v>13319735.5</v>
      </c>
      <c r="F118" s="166">
        <f t="shared" si="24"/>
        <v>-4.3881373620369493E-2</v>
      </c>
      <c r="G118" s="241">
        <f t="shared" si="25"/>
        <v>9.374164609814109E-2</v>
      </c>
      <c r="H118" s="242">
        <f t="shared" si="26"/>
        <v>0.90625835390185894</v>
      </c>
      <c r="I118" s="157"/>
    </row>
    <row r="119" spans="1:9" ht="15.75" x14ac:dyDescent="0.25">
      <c r="A119" s="164"/>
      <c r="B119" s="165">
        <f>DATE(23,12,1)</f>
        <v>8736</v>
      </c>
      <c r="C119" s="226">
        <v>163571833.31</v>
      </c>
      <c r="D119" s="226">
        <v>15817366.869999999</v>
      </c>
      <c r="E119" s="226">
        <v>14436386.73</v>
      </c>
      <c r="F119" s="166">
        <f t="shared" si="24"/>
        <v>9.5659680349945764E-2</v>
      </c>
      <c r="G119" s="241">
        <f t="shared" si="25"/>
        <v>9.6699820194733985E-2</v>
      </c>
      <c r="H119" s="242">
        <f t="shared" si="26"/>
        <v>0.903300179805266</v>
      </c>
      <c r="I119" s="157"/>
    </row>
    <row r="120" spans="1:9" ht="15.75" x14ac:dyDescent="0.25">
      <c r="A120" s="164"/>
      <c r="B120" s="165">
        <f>DATE(24,1,1)</f>
        <v>8767</v>
      </c>
      <c r="C120" s="226">
        <v>125201005.5</v>
      </c>
      <c r="D120" s="226">
        <v>12314089.77</v>
      </c>
      <c r="E120" s="226">
        <v>13555175.18</v>
      </c>
      <c r="F120" s="166">
        <f>(+D120-E120)/E120</f>
        <v>-9.1558050229491775E-2</v>
      </c>
      <c r="G120" s="241">
        <f>D120/C120</f>
        <v>9.835455970040112E-2</v>
      </c>
      <c r="H120" s="242">
        <f t="shared" si="26"/>
        <v>0.90164544029959892</v>
      </c>
      <c r="I120" s="157"/>
    </row>
    <row r="121" spans="1:9" ht="15.75" x14ac:dyDescent="0.25">
      <c r="A121" s="164"/>
      <c r="B121" s="165">
        <f>DATE(24,2,1)</f>
        <v>8798</v>
      </c>
      <c r="C121" s="226">
        <v>146899480.97999999</v>
      </c>
      <c r="D121" s="226">
        <v>14557071.74</v>
      </c>
      <c r="E121" s="226">
        <v>14262692.57</v>
      </c>
      <c r="F121" s="166">
        <f>(+D121-E121)/E121</f>
        <v>2.0639803357971411E-2</v>
      </c>
      <c r="G121" s="241">
        <f>D121/C121</f>
        <v>9.9095460670701144E-2</v>
      </c>
      <c r="H121" s="242">
        <f>1-G121</f>
        <v>0.90090453932929881</v>
      </c>
      <c r="I121" s="157"/>
    </row>
    <row r="122" spans="1:9" ht="15.75" x14ac:dyDescent="0.25">
      <c r="A122" s="164"/>
      <c r="B122" s="165">
        <f>DATE(24,3,1)</f>
        <v>8827</v>
      </c>
      <c r="C122" s="226">
        <v>169553670.02000001</v>
      </c>
      <c r="D122" s="226">
        <v>16843580.629999999</v>
      </c>
      <c r="E122" s="226">
        <v>16320245.869999999</v>
      </c>
      <c r="F122" s="166">
        <f>(+D122-E122)/E122</f>
        <v>3.2066597780980602E-2</v>
      </c>
      <c r="G122" s="241">
        <f>D122/C122</f>
        <v>9.9340702138816475E-2</v>
      </c>
      <c r="H122" s="242">
        <f>1-G122</f>
        <v>0.90065929786118348</v>
      </c>
      <c r="I122" s="157"/>
    </row>
    <row r="123" spans="1:9" ht="15.75" x14ac:dyDescent="0.25">
      <c r="A123" s="164"/>
      <c r="B123" s="165">
        <f>DATE(24,4,1)</f>
        <v>8858</v>
      </c>
      <c r="C123" s="226">
        <v>151190114.22</v>
      </c>
      <c r="D123" s="226">
        <v>14641949.1</v>
      </c>
      <c r="E123" s="226">
        <v>15426763.890000001</v>
      </c>
      <c r="F123" s="166">
        <f>(+D123-E123)/E123</f>
        <v>-5.0873585386805378E-2</v>
      </c>
      <c r="G123" s="241">
        <f>D123/C123</f>
        <v>9.6844619607166796E-2</v>
      </c>
      <c r="H123" s="242">
        <f>1-G123</f>
        <v>0.90315538039283316</v>
      </c>
      <c r="I123" s="157"/>
    </row>
    <row r="124" spans="1:9" ht="15.75" customHeight="1" thickBot="1" x14ac:dyDescent="0.3">
      <c r="A124" s="164"/>
      <c r="B124" s="165"/>
      <c r="C124" s="226"/>
      <c r="D124" s="226"/>
      <c r="E124" s="226"/>
      <c r="F124" s="166"/>
      <c r="G124" s="241"/>
      <c r="H124" s="242"/>
      <c r="I124" s="157"/>
    </row>
    <row r="125" spans="1:9" ht="17.25" thickTop="1" thickBot="1" x14ac:dyDescent="0.3">
      <c r="A125" s="174" t="s">
        <v>14</v>
      </c>
      <c r="B125" s="181"/>
      <c r="C125" s="228">
        <f>SUM(C114:C124)</f>
        <v>1496220718.1200001</v>
      </c>
      <c r="D125" s="228">
        <f>SUM(D114:D124)</f>
        <v>145702914.34</v>
      </c>
      <c r="E125" s="228">
        <f>SUM(E114:E124)</f>
        <v>147197418.64999998</v>
      </c>
      <c r="F125" s="176">
        <f>(+D125-E125)/E125</f>
        <v>-1.0153060588335072E-2</v>
      </c>
      <c r="G125" s="245">
        <f>D125/C125</f>
        <v>9.7380628790567456E-2</v>
      </c>
      <c r="H125" s="246">
        <f>1-G125</f>
        <v>0.90261937120943259</v>
      </c>
      <c r="I125" s="157"/>
    </row>
    <row r="126" spans="1:9" ht="15.75" thickTop="1" x14ac:dyDescent="0.2">
      <c r="A126" s="171"/>
      <c r="B126" s="172"/>
      <c r="C126" s="227"/>
      <c r="D126" s="227"/>
      <c r="E126" s="227"/>
      <c r="F126" s="173"/>
      <c r="G126" s="243"/>
      <c r="H126" s="244"/>
      <c r="I126" s="157"/>
    </row>
    <row r="127" spans="1:9" ht="15.75" x14ac:dyDescent="0.25">
      <c r="A127" s="164" t="s">
        <v>53</v>
      </c>
      <c r="B127" s="165">
        <f>DATE(23,7,1)</f>
        <v>8583</v>
      </c>
      <c r="C127" s="226">
        <v>214046132.72999999</v>
      </c>
      <c r="D127" s="226">
        <v>19538214.289999999</v>
      </c>
      <c r="E127" s="226">
        <v>19656587.449999999</v>
      </c>
      <c r="F127" s="166">
        <f t="shared" ref="F127:F132" si="27">(+D127-E127)/E127</f>
        <v>-6.022060558634767E-3</v>
      </c>
      <c r="G127" s="241">
        <f t="shared" ref="G127:G132" si="28">D127/C127</f>
        <v>9.1280389142305629E-2</v>
      </c>
      <c r="H127" s="242">
        <f t="shared" ref="H127:H133" si="29">1-G127</f>
        <v>0.90871961085769437</v>
      </c>
      <c r="I127" s="157"/>
    </row>
    <row r="128" spans="1:9" ht="15.75" x14ac:dyDescent="0.25">
      <c r="A128" s="164"/>
      <c r="B128" s="165">
        <f>DATE(23,8,1)</f>
        <v>8614</v>
      </c>
      <c r="C128" s="226">
        <v>203623905.31</v>
      </c>
      <c r="D128" s="226">
        <v>18436883.300000001</v>
      </c>
      <c r="E128" s="226">
        <v>17776767.91</v>
      </c>
      <c r="F128" s="166">
        <f t="shared" si="27"/>
        <v>3.7133600063972518E-2</v>
      </c>
      <c r="G128" s="241">
        <f t="shared" si="28"/>
        <v>9.0543805610306019E-2</v>
      </c>
      <c r="H128" s="242">
        <f t="shared" si="29"/>
        <v>0.90945619438969394</v>
      </c>
      <c r="I128" s="157"/>
    </row>
    <row r="129" spans="1:9" ht="15.75" x14ac:dyDescent="0.25">
      <c r="A129" s="164"/>
      <c r="B129" s="165">
        <f>DATE(23,9,1)</f>
        <v>8645</v>
      </c>
      <c r="C129" s="226">
        <v>197195020.69</v>
      </c>
      <c r="D129" s="226">
        <v>17898589.149999999</v>
      </c>
      <c r="E129" s="226">
        <v>17845168.100000001</v>
      </c>
      <c r="F129" s="166">
        <f t="shared" si="27"/>
        <v>2.9935862582318299E-3</v>
      </c>
      <c r="G129" s="241">
        <f t="shared" si="28"/>
        <v>9.0765928507583554E-2</v>
      </c>
      <c r="H129" s="242">
        <f t="shared" si="29"/>
        <v>0.90923407149241642</v>
      </c>
      <c r="I129" s="157"/>
    </row>
    <row r="130" spans="1:9" ht="15.75" x14ac:dyDescent="0.25">
      <c r="A130" s="164"/>
      <c r="B130" s="165">
        <f>DATE(23,10,1)</f>
        <v>8675</v>
      </c>
      <c r="C130" s="226">
        <v>192922839.52000001</v>
      </c>
      <c r="D130" s="226">
        <v>17243191.43</v>
      </c>
      <c r="E130" s="226">
        <v>17788599.370000001</v>
      </c>
      <c r="F130" s="166">
        <f t="shared" si="27"/>
        <v>-3.0660533112000784E-2</v>
      </c>
      <c r="G130" s="241">
        <f t="shared" si="28"/>
        <v>8.9378693952990598E-2</v>
      </c>
      <c r="H130" s="242">
        <f t="shared" si="29"/>
        <v>0.91062130604700942</v>
      </c>
      <c r="I130" s="157"/>
    </row>
    <row r="131" spans="1:9" ht="15.75" x14ac:dyDescent="0.25">
      <c r="A131" s="164"/>
      <c r="B131" s="165">
        <f>DATE(23,11,1)</f>
        <v>8706</v>
      </c>
      <c r="C131" s="226">
        <v>193570145.53</v>
      </c>
      <c r="D131" s="226">
        <v>17317167.579999998</v>
      </c>
      <c r="E131" s="226">
        <v>17618885.149999999</v>
      </c>
      <c r="F131" s="166">
        <f t="shared" si="27"/>
        <v>-1.7124668640001908E-2</v>
      </c>
      <c r="G131" s="241">
        <f t="shared" si="28"/>
        <v>8.9461975309183914E-2</v>
      </c>
      <c r="H131" s="242">
        <f t="shared" si="29"/>
        <v>0.91053802469081613</v>
      </c>
      <c r="I131" s="157"/>
    </row>
    <row r="132" spans="1:9" ht="15.75" x14ac:dyDescent="0.25">
      <c r="A132" s="164"/>
      <c r="B132" s="165">
        <f>DATE(23,12,1)</f>
        <v>8736</v>
      </c>
      <c r="C132" s="226">
        <v>208744378.69</v>
      </c>
      <c r="D132" s="226">
        <v>19257637.91</v>
      </c>
      <c r="E132" s="226">
        <v>18411025.469999999</v>
      </c>
      <c r="F132" s="166">
        <f t="shared" si="27"/>
        <v>4.5983991569590793E-2</v>
      </c>
      <c r="G132" s="241">
        <f t="shared" si="28"/>
        <v>9.225464192546684E-2</v>
      </c>
      <c r="H132" s="242">
        <f t="shared" si="29"/>
        <v>0.90774535807453316</v>
      </c>
      <c r="I132" s="157"/>
    </row>
    <row r="133" spans="1:9" ht="15.75" x14ac:dyDescent="0.25">
      <c r="A133" s="164"/>
      <c r="B133" s="165">
        <f>DATE(24,1,1)</f>
        <v>8767</v>
      </c>
      <c r="C133" s="226">
        <v>179293140.63999999</v>
      </c>
      <c r="D133" s="226">
        <v>15797155.789999999</v>
      </c>
      <c r="E133" s="226">
        <v>17516119.75</v>
      </c>
      <c r="F133" s="166">
        <f>(+D133-E133)/E133</f>
        <v>-9.8136116019645322E-2</v>
      </c>
      <c r="G133" s="241">
        <f>D133/C133</f>
        <v>8.8107976320850281E-2</v>
      </c>
      <c r="H133" s="242">
        <f t="shared" si="29"/>
        <v>0.91189202367914968</v>
      </c>
      <c r="I133" s="157"/>
    </row>
    <row r="134" spans="1:9" ht="15.75" x14ac:dyDescent="0.25">
      <c r="A134" s="164"/>
      <c r="B134" s="165">
        <f>DATE(24,2,1)</f>
        <v>8798</v>
      </c>
      <c r="C134" s="226">
        <v>197414312.77000001</v>
      </c>
      <c r="D134" s="226">
        <v>18190190.059999999</v>
      </c>
      <c r="E134" s="226">
        <v>17893264.16</v>
      </c>
      <c r="F134" s="166">
        <f>(+D134-E134)/E134</f>
        <v>1.6594283599957679E-2</v>
      </c>
      <c r="G134" s="241">
        <f>D134/C134</f>
        <v>9.2142204912937106E-2</v>
      </c>
      <c r="H134" s="242">
        <f>1-G134</f>
        <v>0.90785779508706288</v>
      </c>
      <c r="I134" s="157"/>
    </row>
    <row r="135" spans="1:9" ht="15.75" x14ac:dyDescent="0.25">
      <c r="A135" s="164"/>
      <c r="B135" s="165">
        <f>DATE(24,3,1)</f>
        <v>8827</v>
      </c>
      <c r="C135" s="226">
        <v>218753820.24000001</v>
      </c>
      <c r="D135" s="226">
        <v>20103313.18</v>
      </c>
      <c r="E135" s="226">
        <v>20524459.280000001</v>
      </c>
      <c r="F135" s="166">
        <f>(+D135-E135)/E135</f>
        <v>-2.051922997115866E-2</v>
      </c>
      <c r="G135" s="241">
        <f>D135/C135</f>
        <v>9.1899255327034648E-2</v>
      </c>
      <c r="H135" s="242">
        <f>1-G135</f>
        <v>0.90810074467296531</v>
      </c>
      <c r="I135" s="157"/>
    </row>
    <row r="136" spans="1:9" ht="15.75" x14ac:dyDescent="0.25">
      <c r="A136" s="164"/>
      <c r="B136" s="165">
        <f>DATE(24,4,1)</f>
        <v>8858</v>
      </c>
      <c r="C136" s="226">
        <v>209631482.72999999</v>
      </c>
      <c r="D136" s="226">
        <v>18688679.920000002</v>
      </c>
      <c r="E136" s="226">
        <v>19237395.370000001</v>
      </c>
      <c r="F136" s="166">
        <f>(+D136-E136)/E136</f>
        <v>-2.8523375407447336E-2</v>
      </c>
      <c r="G136" s="241">
        <f>D136/C136</f>
        <v>8.9150158538307656E-2</v>
      </c>
      <c r="H136" s="242">
        <f>1-G136</f>
        <v>0.91084984146169234</v>
      </c>
      <c r="I136" s="157"/>
    </row>
    <row r="137" spans="1:9" ht="15.75" thickBot="1" x14ac:dyDescent="0.25">
      <c r="A137" s="167"/>
      <c r="B137" s="168"/>
      <c r="C137" s="226"/>
      <c r="D137" s="226"/>
      <c r="E137" s="226"/>
      <c r="F137" s="166"/>
      <c r="G137" s="241"/>
      <c r="H137" s="242"/>
      <c r="I137" s="157"/>
    </row>
    <row r="138" spans="1:9" ht="17.25" thickTop="1" thickBot="1" x14ac:dyDescent="0.3">
      <c r="A138" s="174" t="s">
        <v>14</v>
      </c>
      <c r="B138" s="175"/>
      <c r="C138" s="228">
        <f>SUM(C127:C137)</f>
        <v>2015195178.8500001</v>
      </c>
      <c r="D138" s="228">
        <f>SUM(D127:D137)</f>
        <v>182471022.61000001</v>
      </c>
      <c r="E138" s="228">
        <f>SUM(E127:E137)</f>
        <v>184268272.00999999</v>
      </c>
      <c r="F138" s="176">
        <f>(+D138-E138)/E138</f>
        <v>-9.7534392676262901E-3</v>
      </c>
      <c r="G138" s="249">
        <f>D138/C138</f>
        <v>9.0547568059452035E-2</v>
      </c>
      <c r="H138" s="270">
        <f>1-G138</f>
        <v>0.90945243194054792</v>
      </c>
      <c r="I138" s="157"/>
    </row>
    <row r="139" spans="1:9" ht="15.75" thickTop="1" x14ac:dyDescent="0.2">
      <c r="A139" s="167"/>
      <c r="B139" s="168"/>
      <c r="C139" s="226"/>
      <c r="D139" s="226"/>
      <c r="E139" s="226"/>
      <c r="F139" s="166"/>
      <c r="G139" s="241"/>
      <c r="H139" s="242"/>
      <c r="I139" s="157"/>
    </row>
    <row r="140" spans="1:9" ht="15.75" x14ac:dyDescent="0.25">
      <c r="A140" s="164" t="s">
        <v>54</v>
      </c>
      <c r="B140" s="165">
        <f>DATE(23,7,1)</f>
        <v>8583</v>
      </c>
      <c r="C140" s="226">
        <v>28158647.050000001</v>
      </c>
      <c r="D140" s="226">
        <v>3124210.48</v>
      </c>
      <c r="E140" s="226">
        <v>3220140.18</v>
      </c>
      <c r="F140" s="166">
        <f t="shared" ref="F140:F145" si="30">(+D140-E140)/E140</f>
        <v>-2.9790535392158046E-2</v>
      </c>
      <c r="G140" s="241">
        <f t="shared" ref="G140:G145" si="31">D140/C140</f>
        <v>0.11095030505025631</v>
      </c>
      <c r="H140" s="242">
        <f t="shared" ref="H140:H146" si="32">1-G140</f>
        <v>0.88904969494974373</v>
      </c>
      <c r="I140" s="157"/>
    </row>
    <row r="141" spans="1:9" ht="15.75" x14ac:dyDescent="0.25">
      <c r="A141" s="164"/>
      <c r="B141" s="165">
        <f>DATE(23,8,1)</f>
        <v>8614</v>
      </c>
      <c r="C141" s="226">
        <v>24636212.309999999</v>
      </c>
      <c r="D141" s="226">
        <v>2824739.23</v>
      </c>
      <c r="E141" s="226">
        <v>2910388.06</v>
      </c>
      <c r="F141" s="166">
        <f t="shared" si="30"/>
        <v>-2.94286632003294E-2</v>
      </c>
      <c r="G141" s="241">
        <f t="shared" si="31"/>
        <v>0.11465801619404863</v>
      </c>
      <c r="H141" s="242">
        <f t="shared" si="32"/>
        <v>0.88534198380595142</v>
      </c>
      <c r="I141" s="157"/>
    </row>
    <row r="142" spans="1:9" ht="15.75" x14ac:dyDescent="0.25">
      <c r="A142" s="164"/>
      <c r="B142" s="165">
        <f>DATE(23,9,1)</f>
        <v>8645</v>
      </c>
      <c r="C142" s="226">
        <v>25252043.170000002</v>
      </c>
      <c r="D142" s="226">
        <v>2831375.91</v>
      </c>
      <c r="E142" s="226">
        <v>3079109.35</v>
      </c>
      <c r="F142" s="166">
        <f t="shared" si="30"/>
        <v>-8.045620075168812E-2</v>
      </c>
      <c r="G142" s="241">
        <f t="shared" si="31"/>
        <v>0.11212462654759511</v>
      </c>
      <c r="H142" s="242">
        <f t="shared" si="32"/>
        <v>0.88787537345240486</v>
      </c>
      <c r="I142" s="157"/>
    </row>
    <row r="143" spans="1:9" ht="15.75" x14ac:dyDescent="0.25">
      <c r="A143" s="164"/>
      <c r="B143" s="165">
        <f>DATE(23,10,1)</f>
        <v>8675</v>
      </c>
      <c r="C143" s="226">
        <v>25583626.219999999</v>
      </c>
      <c r="D143" s="226">
        <v>3046238.53</v>
      </c>
      <c r="E143" s="226">
        <v>3026739.97</v>
      </c>
      <c r="F143" s="166">
        <f t="shared" si="30"/>
        <v>6.4420994843503486E-3</v>
      </c>
      <c r="G143" s="241">
        <f t="shared" si="31"/>
        <v>0.11906984974704653</v>
      </c>
      <c r="H143" s="242">
        <f t="shared" si="32"/>
        <v>0.88093015025295351</v>
      </c>
      <c r="I143" s="157"/>
    </row>
    <row r="144" spans="1:9" ht="15.75" x14ac:dyDescent="0.25">
      <c r="A144" s="164"/>
      <c r="B144" s="165">
        <f>DATE(23,11,1)</f>
        <v>8706</v>
      </c>
      <c r="C144" s="226">
        <v>26619923.899999999</v>
      </c>
      <c r="D144" s="226">
        <v>2721817.54</v>
      </c>
      <c r="E144" s="226">
        <v>2771028.1</v>
      </c>
      <c r="F144" s="166">
        <f t="shared" si="30"/>
        <v>-1.7758953797689766E-2</v>
      </c>
      <c r="G144" s="241">
        <f t="shared" si="31"/>
        <v>0.10224738245776879</v>
      </c>
      <c r="H144" s="242">
        <f t="shared" si="32"/>
        <v>0.89775261754223123</v>
      </c>
      <c r="I144" s="157"/>
    </row>
    <row r="145" spans="1:9" ht="15.75" x14ac:dyDescent="0.25">
      <c r="A145" s="164"/>
      <c r="B145" s="165">
        <f>DATE(23,12,1)</f>
        <v>8736</v>
      </c>
      <c r="C145" s="226">
        <v>28602763.739999998</v>
      </c>
      <c r="D145" s="226">
        <v>3202742.31</v>
      </c>
      <c r="E145" s="226">
        <v>3065877.72</v>
      </c>
      <c r="F145" s="166">
        <f t="shared" si="30"/>
        <v>4.4641242247587046E-2</v>
      </c>
      <c r="G145" s="241">
        <f t="shared" si="31"/>
        <v>0.11197317640746279</v>
      </c>
      <c r="H145" s="242">
        <f t="shared" si="32"/>
        <v>0.88802682359253726</v>
      </c>
      <c r="I145" s="157"/>
    </row>
    <row r="146" spans="1:9" ht="15.75" x14ac:dyDescent="0.25">
      <c r="A146" s="164"/>
      <c r="B146" s="165">
        <f>DATE(24,1,1)</f>
        <v>8767</v>
      </c>
      <c r="C146" s="226">
        <v>19789387.68</v>
      </c>
      <c r="D146" s="226">
        <v>2214416.4300000002</v>
      </c>
      <c r="E146" s="226">
        <v>2868849.61</v>
      </c>
      <c r="F146" s="166">
        <f>(+D146-E146)/E146</f>
        <v>-0.2281169349968121</v>
      </c>
      <c r="G146" s="241">
        <f>D146/C146</f>
        <v>0.11189918888890049</v>
      </c>
      <c r="H146" s="242">
        <f t="shared" si="32"/>
        <v>0.88810081111109951</v>
      </c>
      <c r="I146" s="157"/>
    </row>
    <row r="147" spans="1:9" ht="15.75" x14ac:dyDescent="0.25">
      <c r="A147" s="164"/>
      <c r="B147" s="165">
        <f>DATE(24,2,1)</f>
        <v>8798</v>
      </c>
      <c r="C147" s="226">
        <v>26875239.739999998</v>
      </c>
      <c r="D147" s="226">
        <v>3115244.86</v>
      </c>
      <c r="E147" s="226">
        <v>3074017.42</v>
      </c>
      <c r="F147" s="166">
        <f>(+D147-E147)/E147</f>
        <v>1.3411583074242938E-2</v>
      </c>
      <c r="G147" s="241">
        <f>D147/C147</f>
        <v>0.11591505378697693</v>
      </c>
      <c r="H147" s="242">
        <f>1-G147</f>
        <v>0.88408494621302303</v>
      </c>
      <c r="I147" s="157"/>
    </row>
    <row r="148" spans="1:9" ht="15.75" x14ac:dyDescent="0.25">
      <c r="A148" s="164"/>
      <c r="B148" s="165">
        <f>DATE(24,3,1)</f>
        <v>8827</v>
      </c>
      <c r="C148" s="226">
        <v>30232569.559999999</v>
      </c>
      <c r="D148" s="226">
        <v>3466286.77</v>
      </c>
      <c r="E148" s="226">
        <v>3299257.76</v>
      </c>
      <c r="F148" s="166">
        <f>(+D148-E148)/E148</f>
        <v>5.0626238430064419E-2</v>
      </c>
      <c r="G148" s="241">
        <f>D148/C148</f>
        <v>0.11465405754283495</v>
      </c>
      <c r="H148" s="242">
        <f>1-G148</f>
        <v>0.88534594245716502</v>
      </c>
      <c r="I148" s="157"/>
    </row>
    <row r="149" spans="1:9" ht="15.75" x14ac:dyDescent="0.25">
      <c r="A149" s="164"/>
      <c r="B149" s="165">
        <f>DATE(24,4,1)</f>
        <v>8858</v>
      </c>
      <c r="C149" s="226">
        <v>26090352.949999999</v>
      </c>
      <c r="D149" s="226">
        <v>2942373.37</v>
      </c>
      <c r="E149" s="226">
        <v>3131346.14</v>
      </c>
      <c r="F149" s="166">
        <f>(+D149-E149)/E149</f>
        <v>-6.0348732318682603E-2</v>
      </c>
      <c r="G149" s="241">
        <f>D149/C149</f>
        <v>0.1127762961136944</v>
      </c>
      <c r="H149" s="242">
        <f>1-G149</f>
        <v>0.88722370388630556</v>
      </c>
      <c r="I149" s="157"/>
    </row>
    <row r="150" spans="1:9" ht="15.75" thickBot="1" x14ac:dyDescent="0.25">
      <c r="A150" s="167"/>
      <c r="B150" s="168"/>
      <c r="C150" s="226"/>
      <c r="D150" s="226"/>
      <c r="E150" s="226"/>
      <c r="F150" s="166"/>
      <c r="G150" s="241"/>
      <c r="H150" s="242"/>
      <c r="I150" s="157"/>
    </row>
    <row r="151" spans="1:9" ht="17.25" thickTop="1" thickBot="1" x14ac:dyDescent="0.3">
      <c r="A151" s="182" t="s">
        <v>14</v>
      </c>
      <c r="B151" s="183"/>
      <c r="C151" s="230">
        <f>SUM(C140:C150)</f>
        <v>261840766.32000002</v>
      </c>
      <c r="D151" s="230">
        <f>SUM(D140:D150)</f>
        <v>29489445.43</v>
      </c>
      <c r="E151" s="230">
        <f>SUM(E140:E150)</f>
        <v>30446754.309999995</v>
      </c>
      <c r="F151" s="176">
        <f>(+D151-E151)/E151</f>
        <v>-3.1442066706124226E-2</v>
      </c>
      <c r="G151" s="249">
        <f>D151/C151</f>
        <v>0.11262358357888569</v>
      </c>
      <c r="H151" s="246">
        <f>1-G151</f>
        <v>0.88737641642111431</v>
      </c>
      <c r="I151" s="157"/>
    </row>
    <row r="152" spans="1:9" ht="15.75" thickTop="1" x14ac:dyDescent="0.2">
      <c r="A152" s="167"/>
      <c r="B152" s="168"/>
      <c r="C152" s="226"/>
      <c r="D152" s="226"/>
      <c r="E152" s="226"/>
      <c r="F152" s="166"/>
      <c r="G152" s="241"/>
      <c r="H152" s="242"/>
      <c r="I152" s="157"/>
    </row>
    <row r="153" spans="1:9" ht="15.75" x14ac:dyDescent="0.25">
      <c r="A153" s="164" t="s">
        <v>37</v>
      </c>
      <c r="B153" s="165">
        <f>DATE(23,7,1)</f>
        <v>8583</v>
      </c>
      <c r="C153" s="226">
        <v>221709382.90000001</v>
      </c>
      <c r="D153" s="226">
        <v>20801294.73</v>
      </c>
      <c r="E153" s="226">
        <v>21735779.219999999</v>
      </c>
      <c r="F153" s="166">
        <f t="shared" ref="F153:F158" si="33">(+D153-E153)/E153</f>
        <v>-4.2992914150514566E-2</v>
      </c>
      <c r="G153" s="241">
        <f t="shared" ref="G153:G158" si="34">D153/C153</f>
        <v>9.3822347335575942E-2</v>
      </c>
      <c r="H153" s="242">
        <f t="shared" ref="H153:H159" si="35">1-G153</f>
        <v>0.90617765266442407</v>
      </c>
      <c r="I153" s="157"/>
    </row>
    <row r="154" spans="1:9" ht="15.75" x14ac:dyDescent="0.25">
      <c r="A154" s="164"/>
      <c r="B154" s="165">
        <f>DATE(23,8,1)</f>
        <v>8614</v>
      </c>
      <c r="C154" s="226">
        <v>209669300.15000001</v>
      </c>
      <c r="D154" s="226">
        <v>20038616.34</v>
      </c>
      <c r="E154" s="226">
        <v>20453352.670000002</v>
      </c>
      <c r="F154" s="166">
        <f t="shared" si="33"/>
        <v>-2.0277180797274245E-2</v>
      </c>
      <c r="G154" s="241">
        <f t="shared" si="34"/>
        <v>9.5572486413910501E-2</v>
      </c>
      <c r="H154" s="242">
        <f t="shared" si="35"/>
        <v>0.90442751358608953</v>
      </c>
      <c r="I154" s="157"/>
    </row>
    <row r="155" spans="1:9" ht="15.75" x14ac:dyDescent="0.25">
      <c r="A155" s="164"/>
      <c r="B155" s="165">
        <f>DATE(23,9,1)</f>
        <v>8645</v>
      </c>
      <c r="C155" s="226">
        <v>204140702.06999999</v>
      </c>
      <c r="D155" s="226">
        <v>19545369.489999998</v>
      </c>
      <c r="E155" s="226">
        <v>19785542.02</v>
      </c>
      <c r="F155" s="166">
        <f t="shared" si="33"/>
        <v>-1.2138789513940301E-2</v>
      </c>
      <c r="G155" s="241">
        <f t="shared" si="34"/>
        <v>9.574459817081396E-2</v>
      </c>
      <c r="H155" s="242">
        <f t="shared" si="35"/>
        <v>0.90425540182918607</v>
      </c>
      <c r="I155" s="157"/>
    </row>
    <row r="156" spans="1:9" ht="15.75" x14ac:dyDescent="0.25">
      <c r="A156" s="164"/>
      <c r="B156" s="165">
        <f>DATE(23,10,1)</f>
        <v>8675</v>
      </c>
      <c r="C156" s="226">
        <v>199447600.25999999</v>
      </c>
      <c r="D156" s="226">
        <v>18492281.440000001</v>
      </c>
      <c r="E156" s="226">
        <v>19416414.079999998</v>
      </c>
      <c r="F156" s="166">
        <f t="shared" si="33"/>
        <v>-4.7595433234600491E-2</v>
      </c>
      <c r="G156" s="241">
        <f t="shared" si="34"/>
        <v>9.2717492794565856E-2</v>
      </c>
      <c r="H156" s="242">
        <f t="shared" si="35"/>
        <v>0.90728250720543413</v>
      </c>
      <c r="I156" s="157"/>
    </row>
    <row r="157" spans="1:9" ht="15.75" x14ac:dyDescent="0.25">
      <c r="A157" s="164"/>
      <c r="B157" s="165">
        <f>DATE(23,11,1)</f>
        <v>8706</v>
      </c>
      <c r="C157" s="226">
        <v>202111138.21000001</v>
      </c>
      <c r="D157" s="226">
        <v>18402679.75</v>
      </c>
      <c r="E157" s="226">
        <v>19493781.030000001</v>
      </c>
      <c r="F157" s="166">
        <f t="shared" si="33"/>
        <v>-5.5971762395445414E-2</v>
      </c>
      <c r="G157" s="241">
        <f t="shared" si="34"/>
        <v>9.105227902323236E-2</v>
      </c>
      <c r="H157" s="242">
        <f t="shared" si="35"/>
        <v>0.90894772097676768</v>
      </c>
      <c r="I157" s="157"/>
    </row>
    <row r="158" spans="1:9" ht="15.75" x14ac:dyDescent="0.25">
      <c r="A158" s="164"/>
      <c r="B158" s="165">
        <f>DATE(23,12,1)</f>
        <v>8736</v>
      </c>
      <c r="C158" s="226">
        <v>234556705.40000001</v>
      </c>
      <c r="D158" s="226">
        <v>21541149.52</v>
      </c>
      <c r="E158" s="226">
        <v>20690373.02</v>
      </c>
      <c r="F158" s="166">
        <f t="shared" si="33"/>
        <v>4.1119437488034233E-2</v>
      </c>
      <c r="G158" s="241">
        <f t="shared" si="34"/>
        <v>9.1837705015786766E-2</v>
      </c>
      <c r="H158" s="242">
        <f t="shared" si="35"/>
        <v>0.90816229498421319</v>
      </c>
      <c r="I158" s="157"/>
    </row>
    <row r="159" spans="1:9" ht="15.75" x14ac:dyDescent="0.25">
      <c r="A159" s="164"/>
      <c r="B159" s="165">
        <f>DATE(24,1,1)</f>
        <v>8767</v>
      </c>
      <c r="C159" s="226">
        <v>190006271.88</v>
      </c>
      <c r="D159" s="226">
        <v>17525611.690000001</v>
      </c>
      <c r="E159" s="226">
        <v>20127849.170000002</v>
      </c>
      <c r="F159" s="166">
        <f>(+D159-E159)/E159</f>
        <v>-0.12928542230327136</v>
      </c>
      <c r="G159" s="241">
        <f>D159/C159</f>
        <v>9.2237016792100654E-2</v>
      </c>
      <c r="H159" s="242">
        <f t="shared" si="35"/>
        <v>0.90776298320789939</v>
      </c>
      <c r="I159" s="157"/>
    </row>
    <row r="160" spans="1:9" ht="15.75" x14ac:dyDescent="0.25">
      <c r="A160" s="164"/>
      <c r="B160" s="165">
        <f>DATE(24,2,1)</f>
        <v>8798</v>
      </c>
      <c r="C160" s="226">
        <v>207289326.72999999</v>
      </c>
      <c r="D160" s="226">
        <v>19835218.719999999</v>
      </c>
      <c r="E160" s="226">
        <v>19683573.59</v>
      </c>
      <c r="F160" s="166">
        <f>(+D160-E160)/E160</f>
        <v>7.7041462672733582E-3</v>
      </c>
      <c r="G160" s="241">
        <f>D160/C160</f>
        <v>9.5688567438090594E-2</v>
      </c>
      <c r="H160" s="242">
        <f>1-G160</f>
        <v>0.90431143256190938</v>
      </c>
      <c r="I160" s="157"/>
    </row>
    <row r="161" spans="1:9" ht="15.75" x14ac:dyDescent="0.25">
      <c r="A161" s="164"/>
      <c r="B161" s="165">
        <f>DATE(24,3,1)</f>
        <v>8827</v>
      </c>
      <c r="C161" s="226">
        <v>237330522.63999999</v>
      </c>
      <c r="D161" s="226">
        <v>21654368.93</v>
      </c>
      <c r="E161" s="226">
        <v>21826103.260000002</v>
      </c>
      <c r="F161" s="166">
        <f>(+D161-E161)/E161</f>
        <v>-7.8683000787746621E-3</v>
      </c>
      <c r="G161" s="241">
        <f>D161/C161</f>
        <v>9.1241399079742075E-2</v>
      </c>
      <c r="H161" s="242">
        <f>1-G161</f>
        <v>0.90875860092025795</v>
      </c>
      <c r="I161" s="157"/>
    </row>
    <row r="162" spans="1:9" ht="15.75" x14ac:dyDescent="0.25">
      <c r="A162" s="164"/>
      <c r="B162" s="165">
        <f>DATE(24,4,1)</f>
        <v>8858</v>
      </c>
      <c r="C162" s="226">
        <v>216940213.47</v>
      </c>
      <c r="D162" s="226">
        <v>19965561.98</v>
      </c>
      <c r="E162" s="226">
        <v>21507201.809999999</v>
      </c>
      <c r="F162" s="166">
        <f>(+D162-E162)/E162</f>
        <v>-7.1680167583827503E-2</v>
      </c>
      <c r="G162" s="241">
        <f>D162/C162</f>
        <v>9.2032554318293672E-2</v>
      </c>
      <c r="H162" s="242">
        <f>1-G162</f>
        <v>0.90796744568170629</v>
      </c>
      <c r="I162" s="157"/>
    </row>
    <row r="163" spans="1:9" ht="15.75" thickBot="1" x14ac:dyDescent="0.25">
      <c r="A163" s="167"/>
      <c r="B163" s="165"/>
      <c r="C163" s="226"/>
      <c r="D163" s="226"/>
      <c r="E163" s="226"/>
      <c r="F163" s="166"/>
      <c r="G163" s="241"/>
      <c r="H163" s="242"/>
      <c r="I163" s="157"/>
    </row>
    <row r="164" spans="1:9" ht="17.25" thickTop="1" thickBot="1" x14ac:dyDescent="0.3">
      <c r="A164" s="174" t="s">
        <v>14</v>
      </c>
      <c r="B164" s="175"/>
      <c r="C164" s="228">
        <f>SUM(C153:C163)</f>
        <v>2123201163.7099998</v>
      </c>
      <c r="D164" s="228">
        <f>SUM(D153:D163)</f>
        <v>197802152.59</v>
      </c>
      <c r="E164" s="228">
        <f>SUM(E153:E163)</f>
        <v>204719969.86999997</v>
      </c>
      <c r="F164" s="176">
        <f>(+D164-E164)/E164</f>
        <v>-3.3791609506355832E-2</v>
      </c>
      <c r="G164" s="245">
        <f>D164/C164</f>
        <v>9.316222879435887E-2</v>
      </c>
      <c r="H164" s="246">
        <f>1-G164</f>
        <v>0.90683777120564113</v>
      </c>
      <c r="I164" s="157"/>
    </row>
    <row r="165" spans="1:9" ht="15.75" thickTop="1" x14ac:dyDescent="0.2">
      <c r="A165" s="167"/>
      <c r="B165" s="168"/>
      <c r="C165" s="226"/>
      <c r="D165" s="226"/>
      <c r="E165" s="226"/>
      <c r="F165" s="166"/>
      <c r="G165" s="241"/>
      <c r="H165" s="242"/>
      <c r="I165" s="157"/>
    </row>
    <row r="166" spans="1:9" ht="15.75" x14ac:dyDescent="0.25">
      <c r="A166" s="164" t="s">
        <v>57</v>
      </c>
      <c r="B166" s="165">
        <f>DATE(23,7,1)</f>
        <v>8583</v>
      </c>
      <c r="C166" s="226">
        <v>33435275.829999998</v>
      </c>
      <c r="D166" s="226">
        <v>3743935.17</v>
      </c>
      <c r="E166" s="226">
        <v>3941098.7</v>
      </c>
      <c r="F166" s="166">
        <f t="shared" ref="F166:F171" si="36">(+D166-E166)/E166</f>
        <v>-5.0027554498952347E-2</v>
      </c>
      <c r="G166" s="241">
        <f t="shared" ref="G166:G171" si="37">D166/C166</f>
        <v>0.11197560292416467</v>
      </c>
      <c r="H166" s="242">
        <f t="shared" ref="H166:H172" si="38">1-G166</f>
        <v>0.88802439707583536</v>
      </c>
      <c r="I166" s="157"/>
    </row>
    <row r="167" spans="1:9" ht="15.75" x14ac:dyDescent="0.25">
      <c r="A167" s="164"/>
      <c r="B167" s="165">
        <f>DATE(23,8,1)</f>
        <v>8614</v>
      </c>
      <c r="C167" s="226">
        <v>32794629.890000001</v>
      </c>
      <c r="D167" s="226">
        <v>3650833.47</v>
      </c>
      <c r="E167" s="226">
        <v>3508347.49</v>
      </c>
      <c r="F167" s="166">
        <f t="shared" si="36"/>
        <v>4.0613417116216154E-2</v>
      </c>
      <c r="G167" s="241">
        <f t="shared" si="37"/>
        <v>0.11132412478035746</v>
      </c>
      <c r="H167" s="242">
        <f t="shared" si="38"/>
        <v>0.88867587521964253</v>
      </c>
      <c r="I167" s="157"/>
    </row>
    <row r="168" spans="1:9" ht="15.75" x14ac:dyDescent="0.25">
      <c r="A168" s="164"/>
      <c r="B168" s="165">
        <f>DATE(23,9,1)</f>
        <v>8645</v>
      </c>
      <c r="C168" s="226">
        <v>29987636.98</v>
      </c>
      <c r="D168" s="226">
        <v>3571965.85</v>
      </c>
      <c r="E168" s="226">
        <v>3766686.61</v>
      </c>
      <c r="F168" s="166">
        <f t="shared" si="36"/>
        <v>-5.16955032794724E-2</v>
      </c>
      <c r="G168" s="241">
        <f t="shared" si="37"/>
        <v>0.1191146155458095</v>
      </c>
      <c r="H168" s="242">
        <f t="shared" si="38"/>
        <v>0.88088538445419051</v>
      </c>
      <c r="I168" s="157"/>
    </row>
    <row r="169" spans="1:9" ht="15.75" x14ac:dyDescent="0.25">
      <c r="A169" s="164"/>
      <c r="B169" s="165">
        <f>DATE(23,10,1)</f>
        <v>8675</v>
      </c>
      <c r="C169" s="226">
        <v>30636225.07</v>
      </c>
      <c r="D169" s="226">
        <v>3454191.96</v>
      </c>
      <c r="E169" s="226">
        <v>3644045.37</v>
      </c>
      <c r="F169" s="166">
        <f t="shared" si="36"/>
        <v>-5.209962849611835E-2</v>
      </c>
      <c r="G169" s="241">
        <f t="shared" si="37"/>
        <v>0.11274861547424975</v>
      </c>
      <c r="H169" s="242">
        <f t="shared" si="38"/>
        <v>0.88725138452575025</v>
      </c>
      <c r="I169" s="157"/>
    </row>
    <row r="170" spans="1:9" ht="15.75" x14ac:dyDescent="0.25">
      <c r="A170" s="164"/>
      <c r="B170" s="165">
        <f>DATE(23,11,1)</f>
        <v>8706</v>
      </c>
      <c r="C170" s="226">
        <v>32172056.850000001</v>
      </c>
      <c r="D170" s="226">
        <v>3511199.02</v>
      </c>
      <c r="E170" s="226">
        <v>3367619.94</v>
      </c>
      <c r="F170" s="166">
        <f t="shared" si="36"/>
        <v>4.2635179313019529E-2</v>
      </c>
      <c r="G170" s="241">
        <f t="shared" si="37"/>
        <v>0.10913815788560624</v>
      </c>
      <c r="H170" s="242">
        <f t="shared" si="38"/>
        <v>0.89086184211439379</v>
      </c>
      <c r="I170" s="157"/>
    </row>
    <row r="171" spans="1:9" ht="15.75" x14ac:dyDescent="0.25">
      <c r="A171" s="164"/>
      <c r="B171" s="165">
        <f>DATE(23,12,1)</f>
        <v>8736</v>
      </c>
      <c r="C171" s="226">
        <v>38178845.460000001</v>
      </c>
      <c r="D171" s="226">
        <v>4306408.66</v>
      </c>
      <c r="E171" s="226">
        <v>3754875.29</v>
      </c>
      <c r="F171" s="166">
        <f t="shared" si="36"/>
        <v>0.14688460398907152</v>
      </c>
      <c r="G171" s="241">
        <f t="shared" si="37"/>
        <v>0.1127956754090908</v>
      </c>
      <c r="H171" s="242">
        <f t="shared" si="38"/>
        <v>0.88720432459090914</v>
      </c>
      <c r="I171" s="157"/>
    </row>
    <row r="172" spans="1:9" ht="15.75" x14ac:dyDescent="0.25">
      <c r="A172" s="164"/>
      <c r="B172" s="165">
        <f>DATE(24,1,1)</f>
        <v>8767</v>
      </c>
      <c r="C172" s="226">
        <v>28892759.120000001</v>
      </c>
      <c r="D172" s="226">
        <v>3188752.13</v>
      </c>
      <c r="E172" s="226">
        <v>3530111.77</v>
      </c>
      <c r="F172" s="166">
        <f>(+D172-E172)/E172</f>
        <v>-9.6699385810098626E-2</v>
      </c>
      <c r="G172" s="241">
        <f>D172/C172</f>
        <v>0.11036509586212201</v>
      </c>
      <c r="H172" s="242">
        <f t="shared" si="38"/>
        <v>0.88963490413787794</v>
      </c>
      <c r="I172" s="157"/>
    </row>
    <row r="173" spans="1:9" ht="15.75" x14ac:dyDescent="0.25">
      <c r="A173" s="164"/>
      <c r="B173" s="165">
        <f>DATE(24,2,1)</f>
        <v>8798</v>
      </c>
      <c r="C173" s="226">
        <v>35733426.780000001</v>
      </c>
      <c r="D173" s="226">
        <v>4123827.11</v>
      </c>
      <c r="E173" s="226">
        <v>3950011.33</v>
      </c>
      <c r="F173" s="166">
        <f>(+D173-E173)/E173</f>
        <v>4.4003868718017015E-2</v>
      </c>
      <c r="G173" s="241">
        <f>D173/C173</f>
        <v>0.11540530762384384</v>
      </c>
      <c r="H173" s="242">
        <f>1-G173</f>
        <v>0.88459469237615618</v>
      </c>
      <c r="I173" s="157"/>
    </row>
    <row r="174" spans="1:9" ht="15.75" x14ac:dyDescent="0.25">
      <c r="A174" s="164"/>
      <c r="B174" s="165">
        <f>DATE(24,3,1)</f>
        <v>8827</v>
      </c>
      <c r="C174" s="226">
        <v>38581505.340000004</v>
      </c>
      <c r="D174" s="226">
        <v>4281903.96</v>
      </c>
      <c r="E174" s="226">
        <v>4407775.3899999997</v>
      </c>
      <c r="F174" s="166">
        <f>(+D174-E174)/E174</f>
        <v>-2.8556679699597784E-2</v>
      </c>
      <c r="G174" s="241">
        <f>D174/C174</f>
        <v>0.11098333054311041</v>
      </c>
      <c r="H174" s="242">
        <f>1-G174</f>
        <v>0.88901666945688962</v>
      </c>
      <c r="I174" s="157"/>
    </row>
    <row r="175" spans="1:9" ht="15.75" x14ac:dyDescent="0.25">
      <c r="A175" s="164"/>
      <c r="B175" s="165">
        <f>DATE(24,4,1)</f>
        <v>8858</v>
      </c>
      <c r="C175" s="226">
        <v>33627180.039999999</v>
      </c>
      <c r="D175" s="226">
        <v>3925969.76</v>
      </c>
      <c r="E175" s="226">
        <v>4100329.58</v>
      </c>
      <c r="F175" s="166">
        <f>(+D175-E175)/E175</f>
        <v>-4.2523367109431311E-2</v>
      </c>
      <c r="G175" s="241">
        <f>D175/C175</f>
        <v>0.11674989562996374</v>
      </c>
      <c r="H175" s="242">
        <f>1-G175</f>
        <v>0.88325010437003626</v>
      </c>
      <c r="I175" s="157"/>
    </row>
    <row r="176" spans="1:9" ht="15.75" thickBot="1" x14ac:dyDescent="0.25">
      <c r="A176" s="167"/>
      <c r="B176" s="168"/>
      <c r="C176" s="226"/>
      <c r="D176" s="226"/>
      <c r="E176" s="226"/>
      <c r="F176" s="166"/>
      <c r="G176" s="241"/>
      <c r="H176" s="242"/>
      <c r="I176" s="157"/>
    </row>
    <row r="177" spans="1:9" ht="17.25" thickTop="1" thickBot="1" x14ac:dyDescent="0.3">
      <c r="A177" s="169" t="s">
        <v>14</v>
      </c>
      <c r="B177" s="155"/>
      <c r="C177" s="223">
        <f>SUM(C166:C176)</f>
        <v>334039541.36000007</v>
      </c>
      <c r="D177" s="223">
        <f>SUM(D166:D176)</f>
        <v>37758987.089999996</v>
      </c>
      <c r="E177" s="223">
        <f>SUM(E166:E176)</f>
        <v>37970901.469999999</v>
      </c>
      <c r="F177" s="176">
        <f>(+D177-E177)/E177</f>
        <v>-5.5809678410567026E-3</v>
      </c>
      <c r="G177" s="245">
        <f>D177/C177</f>
        <v>0.11303747734854688</v>
      </c>
      <c r="H177" s="246">
        <f>1-G177</f>
        <v>0.88696252265145314</v>
      </c>
      <c r="I177" s="157"/>
    </row>
    <row r="178" spans="1:9" ht="16.5" thickTop="1" thickBot="1" x14ac:dyDescent="0.25">
      <c r="A178" s="171"/>
      <c r="B178" s="172"/>
      <c r="C178" s="227"/>
      <c r="D178" s="227"/>
      <c r="E178" s="227"/>
      <c r="F178" s="173"/>
      <c r="G178" s="243"/>
      <c r="H178" s="244"/>
      <c r="I178" s="157"/>
    </row>
    <row r="179" spans="1:9" ht="17.25" thickTop="1" thickBot="1" x14ac:dyDescent="0.3">
      <c r="A179" s="184" t="s">
        <v>38</v>
      </c>
      <c r="B179" s="155"/>
      <c r="C179" s="223">
        <f>C177+C164+C125+C99+C73+C47+C21+C60+C151+C34+C112+C138+C86</f>
        <v>13976445592.51</v>
      </c>
      <c r="D179" s="223">
        <f>D177+D164+D125+D99+D73+D47+D21+D60+D151+D34+D112+D138+D86</f>
        <v>1353454300.8200002</v>
      </c>
      <c r="E179" s="223">
        <f>E177+E164+E125+E99+E73+E47+E21+E60+E151+E34+E112+E138+E86</f>
        <v>1372317088.7799997</v>
      </c>
      <c r="F179" s="170">
        <f>(+D179-E179)/E179</f>
        <v>-1.3745211011522653E-2</v>
      </c>
      <c r="G179" s="236">
        <f>D179/C179</f>
        <v>9.6838233430774315E-2</v>
      </c>
      <c r="H179" s="237">
        <f>1-G179</f>
        <v>0.90316176656922564</v>
      </c>
      <c r="I179" s="157"/>
    </row>
    <row r="180" spans="1:9" ht="17.25" thickTop="1" thickBot="1" x14ac:dyDescent="0.3">
      <c r="A180" s="184"/>
      <c r="B180" s="155"/>
      <c r="C180" s="223"/>
      <c r="D180" s="223"/>
      <c r="E180" s="223"/>
      <c r="F180" s="170"/>
      <c r="G180" s="236"/>
      <c r="H180" s="237"/>
      <c r="I180" s="157"/>
    </row>
    <row r="181" spans="1:9" ht="17.25" thickTop="1" thickBot="1" x14ac:dyDescent="0.3">
      <c r="A181" s="184" t="s">
        <v>39</v>
      </c>
      <c r="B181" s="155"/>
      <c r="C181" s="223">
        <f>+C19+C32+C45+C58+C71+C84+C97+C123+C110+C136+C149+C162+C175</f>
        <v>1396276723.22</v>
      </c>
      <c r="D181" s="223">
        <f>+D19+D32+D45+D58+D71+D84+D97+D123+D110+D136+D149+D162+D175</f>
        <v>134463182.99000001</v>
      </c>
      <c r="E181" s="223">
        <f>+E19+E32+E45+E58+E71+E84+E97+E123+E110+E136+E149+E162+E175</f>
        <v>143018426.41000003</v>
      </c>
      <c r="F181" s="170">
        <f>(+D181-E181)/E181</f>
        <v>-5.9819169003259454E-2</v>
      </c>
      <c r="G181" s="236">
        <f>D181/C181</f>
        <v>9.6301242263718334E-2</v>
      </c>
      <c r="H181" s="246">
        <f>1-G181</f>
        <v>0.90369875773628161</v>
      </c>
      <c r="I181" s="157"/>
    </row>
    <row r="182" spans="1:9" ht="16.5" thickTop="1" x14ac:dyDescent="0.25">
      <c r="A182" s="185"/>
      <c r="B182" s="186"/>
      <c r="C182" s="231"/>
      <c r="D182" s="231"/>
      <c r="E182" s="231"/>
      <c r="F182" s="187"/>
      <c r="G182" s="250"/>
      <c r="H182" s="250"/>
      <c r="I182" s="151"/>
    </row>
    <row r="183" spans="1:9" ht="16.5" customHeight="1" x14ac:dyDescent="0.3">
      <c r="A183" s="188" t="s">
        <v>49</v>
      </c>
      <c r="B183" s="189"/>
      <c r="C183" s="232"/>
      <c r="D183" s="232"/>
      <c r="E183" s="232"/>
      <c r="F183" s="190"/>
      <c r="G183" s="251"/>
      <c r="H183" s="251"/>
      <c r="I183" s="151"/>
    </row>
    <row r="184" spans="1:9" ht="15.75" x14ac:dyDescent="0.25">
      <c r="A184" s="191"/>
      <c r="B184" s="189"/>
      <c r="C184" s="232"/>
      <c r="D184" s="232"/>
      <c r="E184" s="232"/>
      <c r="F184" s="190"/>
      <c r="G184" s="257"/>
      <c r="H184" s="257"/>
      <c r="I184" s="151"/>
    </row>
    <row r="185" spans="1:9" ht="15.75" x14ac:dyDescent="0.25">
      <c r="A185" s="72"/>
      <c r="I185" s="151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4" manualBreakCount="4">
    <brk id="47" max="8" man="1"/>
    <brk id="86" max="8" man="1"/>
    <brk id="125" max="8" man="1"/>
    <brk id="1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2024-05-07T14:40:24Z</cp:lastPrinted>
  <dcterms:created xsi:type="dcterms:W3CDTF">2003-09-09T14:41:43Z</dcterms:created>
  <dcterms:modified xsi:type="dcterms:W3CDTF">2024-05-09T19:05:48Z</dcterms:modified>
</cp:coreProperties>
</file>