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ebteam-prod\Desktop\Financials April 2024\Optimized\"/>
    </mc:Choice>
  </mc:AlternateContent>
  <bookViews>
    <workbookView xWindow="90" yWindow="150" windowWidth="7530" windowHeight="4050"/>
  </bookViews>
  <sheets>
    <sheet name="MONTHLY STATS" sheetId="1" r:id="rId1"/>
    <sheet name="YTD TAXES" sheetId="2" r:id="rId2"/>
    <sheet name="TABLE STATS" sheetId="3" r:id="rId3"/>
    <sheet name="HYBRID STATS" sheetId="5" r:id="rId4"/>
    <sheet name="SLOT STATS" sheetId="4" r:id="rId5"/>
  </sheets>
  <definedNames>
    <definedName name="_xlnm.Print_Area" localSheetId="0">'MONTHLY STATS'!$A$1:$M$169</definedName>
    <definedName name="_xlnm.Print_Area" localSheetId="4">'SLOT STATS'!$A$1:$I$170</definedName>
    <definedName name="_xlnm.Print_Area" localSheetId="2">'TABLE STATS'!$A$1:$H$169</definedName>
    <definedName name="_xlnm.Print_Titles" localSheetId="3">'HYBRID STATS'!$1:$8</definedName>
    <definedName name="_xlnm.Print_Titles" localSheetId="0">'MONTHLY STATS'!$1:$7</definedName>
    <definedName name="_xlnm.Print_Titles" localSheetId="4">'SLOT STATS'!$1:$8</definedName>
    <definedName name="_xlnm.Print_Titles" localSheetId="2">'TABLE STATS'!$1:$7</definedName>
  </definedNames>
  <calcPr calcId="162913" fullCalcOnLoad="1"/>
</workbook>
</file>

<file path=xl/calcChain.xml><?xml version="1.0" encoding="utf-8"?>
<calcChain xmlns="http://schemas.openxmlformats.org/spreadsheetml/2006/main">
  <c r="E168" i="5" l="1"/>
  <c r="D168" i="5"/>
  <c r="C168" i="5"/>
  <c r="G168" i="5"/>
  <c r="H168" i="5"/>
  <c r="C168" i="4"/>
  <c r="E168" i="4"/>
  <c r="D168" i="4"/>
  <c r="G168" i="4"/>
  <c r="H168" i="4"/>
  <c r="F162" i="4"/>
  <c r="G162" i="4"/>
  <c r="H162" i="4"/>
  <c r="F150" i="4"/>
  <c r="G150" i="4"/>
  <c r="H150" i="4"/>
  <c r="F138" i="4"/>
  <c r="G138" i="4"/>
  <c r="H138" i="4"/>
  <c r="F126" i="4"/>
  <c r="G126" i="4"/>
  <c r="H126" i="4"/>
  <c r="F114" i="4"/>
  <c r="G114" i="4"/>
  <c r="H114" i="4"/>
  <c r="F102" i="4"/>
  <c r="G102" i="4"/>
  <c r="H102" i="4"/>
  <c r="F90" i="4"/>
  <c r="G90" i="4"/>
  <c r="H90" i="4"/>
  <c r="F78" i="4"/>
  <c r="G78" i="4"/>
  <c r="H78" i="4"/>
  <c r="F66" i="4"/>
  <c r="G66" i="4"/>
  <c r="H66" i="4"/>
  <c r="F54" i="4"/>
  <c r="G54" i="4"/>
  <c r="H54" i="4"/>
  <c r="F42" i="4"/>
  <c r="G42" i="4"/>
  <c r="H42" i="4"/>
  <c r="F30" i="4"/>
  <c r="G30" i="4"/>
  <c r="H30" i="4"/>
  <c r="F18" i="4"/>
  <c r="G18" i="4"/>
  <c r="H18" i="4"/>
  <c r="B162" i="4"/>
  <c r="B150" i="4"/>
  <c r="B138" i="4"/>
  <c r="B126" i="4"/>
  <c r="B114" i="4"/>
  <c r="B102" i="4"/>
  <c r="B90" i="4"/>
  <c r="B78" i="4"/>
  <c r="B66" i="4"/>
  <c r="B54" i="4"/>
  <c r="B42" i="4"/>
  <c r="B30" i="4"/>
  <c r="B18" i="4"/>
  <c r="G126" i="5"/>
  <c r="H126" i="5"/>
  <c r="F150" i="5"/>
  <c r="B162" i="5"/>
  <c r="B150" i="5"/>
  <c r="B138" i="5"/>
  <c r="B126" i="5"/>
  <c r="B114" i="5"/>
  <c r="B102" i="5"/>
  <c r="B90" i="5"/>
  <c r="B78" i="5"/>
  <c r="B66" i="5"/>
  <c r="B54" i="5"/>
  <c r="B42" i="5"/>
  <c r="B30" i="5"/>
  <c r="B18" i="5"/>
  <c r="E167" i="3"/>
  <c r="D167" i="3"/>
  <c r="F167" i="3"/>
  <c r="C167" i="3"/>
  <c r="F161" i="3"/>
  <c r="G161" i="3"/>
  <c r="F149" i="3"/>
  <c r="G149" i="3"/>
  <c r="F137" i="3"/>
  <c r="F125" i="3"/>
  <c r="G125" i="3"/>
  <c r="F113" i="3"/>
  <c r="G113" i="3"/>
  <c r="F101" i="3"/>
  <c r="G101" i="3"/>
  <c r="F89" i="3"/>
  <c r="G89" i="3"/>
  <c r="F77" i="3"/>
  <c r="G77" i="3"/>
  <c r="F65" i="3"/>
  <c r="G65" i="3"/>
  <c r="F53" i="3"/>
  <c r="G53" i="3"/>
  <c r="F41" i="3"/>
  <c r="G41" i="3"/>
  <c r="F29" i="3"/>
  <c r="G29" i="3"/>
  <c r="F17" i="3"/>
  <c r="G17" i="3"/>
  <c r="B161" i="3"/>
  <c r="B149" i="3"/>
  <c r="B137" i="3"/>
  <c r="B125" i="3"/>
  <c r="B113" i="3"/>
  <c r="B101" i="3"/>
  <c r="B89" i="3"/>
  <c r="B77" i="3"/>
  <c r="B65" i="3"/>
  <c r="B53" i="3"/>
  <c r="B41" i="3"/>
  <c r="B29" i="3"/>
  <c r="B17" i="3"/>
  <c r="N39" i="2"/>
  <c r="M39" i="2"/>
  <c r="L39" i="2"/>
  <c r="K39" i="2"/>
  <c r="J39" i="2"/>
  <c r="I39" i="2"/>
  <c r="H39" i="2"/>
  <c r="G39" i="2"/>
  <c r="F39" i="2"/>
  <c r="E39" i="2"/>
  <c r="D39" i="2"/>
  <c r="C39" i="2"/>
  <c r="B39" i="2"/>
  <c r="A39" i="2"/>
  <c r="N18" i="2"/>
  <c r="M18" i="2"/>
  <c r="L18" i="2"/>
  <c r="K18" i="2"/>
  <c r="J18" i="2"/>
  <c r="I18" i="2"/>
  <c r="H18" i="2"/>
  <c r="G18" i="2"/>
  <c r="F18" i="2"/>
  <c r="E18" i="2"/>
  <c r="D18" i="2"/>
  <c r="C18" i="2"/>
  <c r="B18" i="2"/>
  <c r="A18" i="2"/>
  <c r="F120" i="1"/>
  <c r="L167" i="1"/>
  <c r="K167" i="1"/>
  <c r="J167" i="1"/>
  <c r="G167" i="1"/>
  <c r="F167" i="1"/>
  <c r="D167" i="1"/>
  <c r="C167" i="1"/>
  <c r="E167" i="1"/>
  <c r="H161" i="1"/>
  <c r="M161" i="1"/>
  <c r="I161" i="1"/>
  <c r="J161" i="1"/>
  <c r="G161" i="1"/>
  <c r="F161" i="1"/>
  <c r="E161" i="1"/>
  <c r="H149" i="1"/>
  <c r="M149" i="1"/>
  <c r="I149" i="1"/>
  <c r="J149" i="1"/>
  <c r="G149" i="1"/>
  <c r="F149" i="1"/>
  <c r="F151" i="1"/>
  <c r="E149" i="1"/>
  <c r="H137" i="1"/>
  <c r="M137" i="1"/>
  <c r="I137" i="1"/>
  <c r="J137" i="1"/>
  <c r="G137" i="1"/>
  <c r="F137" i="1"/>
  <c r="E137" i="1"/>
  <c r="F121" i="1"/>
  <c r="J121" i="1"/>
  <c r="E121" i="1"/>
  <c r="F123" i="1"/>
  <c r="J123" i="1"/>
  <c r="H125" i="1"/>
  <c r="M125" i="1"/>
  <c r="I125" i="1"/>
  <c r="J125" i="1"/>
  <c r="G125" i="1"/>
  <c r="F125" i="1"/>
  <c r="E125" i="1"/>
  <c r="H113" i="1"/>
  <c r="M113" i="1"/>
  <c r="I113" i="1"/>
  <c r="J113" i="1"/>
  <c r="G113" i="1"/>
  <c r="F113" i="1"/>
  <c r="E113" i="1"/>
  <c r="H101" i="1"/>
  <c r="M101" i="1"/>
  <c r="I101" i="1"/>
  <c r="J101" i="1"/>
  <c r="G101" i="1"/>
  <c r="G103" i="1"/>
  <c r="F101" i="1"/>
  <c r="F103" i="1"/>
  <c r="E101" i="1"/>
  <c r="H89" i="1"/>
  <c r="M89" i="1"/>
  <c r="I89" i="1"/>
  <c r="J89" i="1"/>
  <c r="G89" i="1"/>
  <c r="G91" i="1"/>
  <c r="F89" i="1"/>
  <c r="E89" i="1"/>
  <c r="H77" i="1"/>
  <c r="M77" i="1"/>
  <c r="I77" i="1"/>
  <c r="J77" i="1"/>
  <c r="G77" i="1"/>
  <c r="G79" i="1"/>
  <c r="F77" i="1"/>
  <c r="E77" i="1"/>
  <c r="H65" i="1"/>
  <c r="M65" i="1"/>
  <c r="I65" i="1"/>
  <c r="J65" i="1"/>
  <c r="G65" i="1"/>
  <c r="G67" i="1"/>
  <c r="F65" i="1"/>
  <c r="E65" i="1"/>
  <c r="F51" i="1"/>
  <c r="H51" i="1"/>
  <c r="H53" i="1"/>
  <c r="M53" i="1"/>
  <c r="I53" i="1"/>
  <c r="J53" i="1"/>
  <c r="G53" i="1"/>
  <c r="F53" i="1"/>
  <c r="E53" i="1"/>
  <c r="H41" i="1"/>
  <c r="M41" i="1"/>
  <c r="I41" i="1"/>
  <c r="J41" i="1"/>
  <c r="G41" i="1"/>
  <c r="F41" i="1"/>
  <c r="E41" i="1"/>
  <c r="F25" i="1"/>
  <c r="H29" i="1"/>
  <c r="M29" i="1"/>
  <c r="I29" i="1"/>
  <c r="J29" i="1"/>
  <c r="G29" i="1"/>
  <c r="F29" i="1"/>
  <c r="E29" i="1"/>
  <c r="F11" i="1"/>
  <c r="H11" i="1"/>
  <c r="F12" i="1"/>
  <c r="H17" i="1"/>
  <c r="M17" i="1"/>
  <c r="I17" i="1"/>
  <c r="J17" i="1"/>
  <c r="G17" i="1"/>
  <c r="F17" i="1"/>
  <c r="E17" i="1"/>
  <c r="B161" i="1"/>
  <c r="B149" i="1"/>
  <c r="B137" i="1"/>
  <c r="B125" i="1"/>
  <c r="B113" i="1"/>
  <c r="B101" i="1"/>
  <c r="B89" i="1"/>
  <c r="B77" i="1"/>
  <c r="B65" i="1"/>
  <c r="B53" i="1"/>
  <c r="B41" i="1"/>
  <c r="B29" i="1"/>
  <c r="B17" i="1"/>
  <c r="F39" i="1"/>
  <c r="H39" i="1"/>
  <c r="F112" i="1"/>
  <c r="J112" i="1"/>
  <c r="G160" i="1"/>
  <c r="G148" i="1"/>
  <c r="G136" i="1"/>
  <c r="H136" i="1"/>
  <c r="G124" i="1"/>
  <c r="H124" i="1"/>
  <c r="G112" i="1"/>
  <c r="G115" i="1"/>
  <c r="H115" i="1"/>
  <c r="G100" i="1"/>
  <c r="H100" i="1"/>
  <c r="G88" i="1"/>
  <c r="G76" i="1"/>
  <c r="G64" i="1"/>
  <c r="G52" i="1"/>
  <c r="G40" i="1"/>
  <c r="H40" i="1"/>
  <c r="G28" i="1"/>
  <c r="G31" i="1"/>
  <c r="G16" i="1"/>
  <c r="F160" i="1"/>
  <c r="F163" i="1"/>
  <c r="F148" i="1"/>
  <c r="J148" i="1"/>
  <c r="F136" i="1"/>
  <c r="F124" i="1"/>
  <c r="J124" i="1"/>
  <c r="F100" i="1"/>
  <c r="J100" i="1"/>
  <c r="F87" i="1"/>
  <c r="F88" i="1"/>
  <c r="J88" i="1"/>
  <c r="F76" i="1"/>
  <c r="J76" i="1"/>
  <c r="F64" i="1"/>
  <c r="H64" i="1"/>
  <c r="F52" i="1"/>
  <c r="J52" i="1"/>
  <c r="F40" i="1"/>
  <c r="F28" i="1"/>
  <c r="J28" i="1"/>
  <c r="F16" i="1"/>
  <c r="G161" i="4"/>
  <c r="H161" i="4"/>
  <c r="F161" i="4"/>
  <c r="G149" i="4"/>
  <c r="H149" i="4"/>
  <c r="F149" i="4"/>
  <c r="G137" i="4"/>
  <c r="H137" i="4"/>
  <c r="F137" i="4"/>
  <c r="G125" i="4"/>
  <c r="H125" i="4"/>
  <c r="F125" i="4"/>
  <c r="G113" i="4"/>
  <c r="H113" i="4"/>
  <c r="F113" i="4"/>
  <c r="G101" i="4"/>
  <c r="H101" i="4"/>
  <c r="F101" i="4"/>
  <c r="G89" i="4"/>
  <c r="H89" i="4"/>
  <c r="F89" i="4"/>
  <c r="G77" i="4"/>
  <c r="H77" i="4"/>
  <c r="F77" i="4"/>
  <c r="G65" i="4"/>
  <c r="H65" i="4"/>
  <c r="F65" i="4"/>
  <c r="G53" i="4"/>
  <c r="H53" i="4"/>
  <c r="F53" i="4"/>
  <c r="G41" i="4"/>
  <c r="H41" i="4"/>
  <c r="F41" i="4"/>
  <c r="G29" i="4"/>
  <c r="H29" i="4"/>
  <c r="F29" i="4"/>
  <c r="G17" i="4"/>
  <c r="H17" i="4"/>
  <c r="F17" i="4"/>
  <c r="B161" i="4"/>
  <c r="B149" i="4"/>
  <c r="B137" i="4"/>
  <c r="B125" i="4"/>
  <c r="B113" i="4"/>
  <c r="B101" i="4"/>
  <c r="B89" i="4"/>
  <c r="B77" i="4"/>
  <c r="B65" i="4"/>
  <c r="B53" i="4"/>
  <c r="B41" i="4"/>
  <c r="B29" i="4"/>
  <c r="B17" i="4"/>
  <c r="F168" i="5"/>
  <c r="G125" i="5"/>
  <c r="H125" i="5"/>
  <c r="B161" i="5"/>
  <c r="B137" i="5"/>
  <c r="B125" i="5"/>
  <c r="B113" i="5"/>
  <c r="B101" i="5"/>
  <c r="B89" i="5"/>
  <c r="B77" i="5"/>
  <c r="B65" i="5"/>
  <c r="B41" i="5"/>
  <c r="B29" i="5"/>
  <c r="B17" i="5"/>
  <c r="B149" i="5"/>
  <c r="F149" i="5"/>
  <c r="B53" i="5"/>
  <c r="G160" i="3"/>
  <c r="F160" i="3"/>
  <c r="G148" i="3"/>
  <c r="F148" i="3"/>
  <c r="F136" i="3"/>
  <c r="G124" i="3"/>
  <c r="F124" i="3"/>
  <c r="G112" i="3"/>
  <c r="F112" i="3"/>
  <c r="G100" i="3"/>
  <c r="F100" i="3"/>
  <c r="G88" i="3"/>
  <c r="F88" i="3"/>
  <c r="G76" i="3"/>
  <c r="F76" i="3"/>
  <c r="G64" i="3"/>
  <c r="F64" i="3"/>
  <c r="G52" i="3"/>
  <c r="F52" i="3"/>
  <c r="G40" i="3"/>
  <c r="F40" i="3"/>
  <c r="G28" i="3"/>
  <c r="F28" i="3"/>
  <c r="G16" i="3"/>
  <c r="F16" i="3"/>
  <c r="B160" i="3"/>
  <c r="B148" i="3"/>
  <c r="B136" i="3"/>
  <c r="B124" i="3"/>
  <c r="B112" i="3"/>
  <c r="B100" i="3"/>
  <c r="B88" i="3"/>
  <c r="B76" i="3"/>
  <c r="B64" i="3"/>
  <c r="B52" i="3"/>
  <c r="B40" i="3"/>
  <c r="B28" i="3"/>
  <c r="B16" i="3"/>
  <c r="N38" i="2"/>
  <c r="M38" i="2"/>
  <c r="L38" i="2"/>
  <c r="K38" i="2"/>
  <c r="J38" i="2"/>
  <c r="I38" i="2"/>
  <c r="H38" i="2"/>
  <c r="G38" i="2"/>
  <c r="F38" i="2"/>
  <c r="E38" i="2"/>
  <c r="D38" i="2"/>
  <c r="C38" i="2"/>
  <c r="B38" i="2"/>
  <c r="A38" i="2"/>
  <c r="A17" i="2"/>
  <c r="N17" i="2"/>
  <c r="M17" i="2"/>
  <c r="L17" i="2"/>
  <c r="K17" i="2"/>
  <c r="J17" i="2"/>
  <c r="I17" i="2"/>
  <c r="H17" i="2"/>
  <c r="G17" i="2"/>
  <c r="F17" i="2"/>
  <c r="E17" i="2"/>
  <c r="D17" i="2"/>
  <c r="C17" i="2"/>
  <c r="B17" i="2"/>
  <c r="M160" i="1"/>
  <c r="I160" i="1"/>
  <c r="H160" i="1"/>
  <c r="E160" i="1"/>
  <c r="M148" i="1"/>
  <c r="I148" i="1"/>
  <c r="E148" i="1"/>
  <c r="M136" i="1"/>
  <c r="J136" i="1"/>
  <c r="I136" i="1"/>
  <c r="E136" i="1"/>
  <c r="M124" i="1"/>
  <c r="I124" i="1"/>
  <c r="E124" i="1"/>
  <c r="M112" i="1"/>
  <c r="I112" i="1"/>
  <c r="E112" i="1"/>
  <c r="M100" i="1"/>
  <c r="I100" i="1"/>
  <c r="E100" i="1"/>
  <c r="M88" i="1"/>
  <c r="I88" i="1"/>
  <c r="H88" i="1"/>
  <c r="E88" i="1"/>
  <c r="M76" i="1"/>
  <c r="I76" i="1"/>
  <c r="E76" i="1"/>
  <c r="M64" i="1"/>
  <c r="I64" i="1"/>
  <c r="E64" i="1"/>
  <c r="M52" i="1"/>
  <c r="I52" i="1"/>
  <c r="H52" i="1"/>
  <c r="E52" i="1"/>
  <c r="M40" i="1"/>
  <c r="I40" i="1"/>
  <c r="E40" i="1"/>
  <c r="M28" i="1"/>
  <c r="I28" i="1"/>
  <c r="H28" i="1"/>
  <c r="E28" i="1"/>
  <c r="M16" i="1"/>
  <c r="I16" i="1"/>
  <c r="H16" i="1"/>
  <c r="E16" i="1"/>
  <c r="B160" i="1"/>
  <c r="B148" i="1"/>
  <c r="B136" i="1"/>
  <c r="B124" i="1"/>
  <c r="B112" i="1"/>
  <c r="B100" i="1"/>
  <c r="B88" i="1"/>
  <c r="B76" i="1"/>
  <c r="B64" i="1"/>
  <c r="B52" i="1"/>
  <c r="B40" i="1"/>
  <c r="B28" i="1"/>
  <c r="B16" i="1"/>
  <c r="G159" i="1"/>
  <c r="F159" i="1"/>
  <c r="G147" i="1"/>
  <c r="F147" i="1"/>
  <c r="G135" i="1"/>
  <c r="F135" i="1"/>
  <c r="G123" i="1"/>
  <c r="G111" i="1"/>
  <c r="F110" i="1"/>
  <c r="F111" i="1"/>
  <c r="G99" i="1"/>
  <c r="F99" i="1"/>
  <c r="G87" i="1"/>
  <c r="F86" i="1"/>
  <c r="J87" i="1"/>
  <c r="G75" i="1"/>
  <c r="F75" i="1"/>
  <c r="G63" i="1"/>
  <c r="F63" i="1"/>
  <c r="G51" i="1"/>
  <c r="G39" i="1"/>
  <c r="F37" i="1"/>
  <c r="F38" i="1"/>
  <c r="G27" i="1"/>
  <c r="F26" i="1"/>
  <c r="F27" i="1"/>
  <c r="G15" i="1"/>
  <c r="F15" i="1"/>
  <c r="G160" i="4"/>
  <c r="H160" i="4"/>
  <c r="F160" i="4"/>
  <c r="G148" i="4"/>
  <c r="H148" i="4"/>
  <c r="F148" i="4"/>
  <c r="G136" i="4"/>
  <c r="H136" i="4"/>
  <c r="F136" i="4"/>
  <c r="G124" i="4"/>
  <c r="H124" i="4"/>
  <c r="F124" i="4"/>
  <c r="G112" i="4"/>
  <c r="H112" i="4"/>
  <c r="F112" i="4"/>
  <c r="G100" i="4"/>
  <c r="H100" i="4"/>
  <c r="F100" i="4"/>
  <c r="H88" i="4"/>
  <c r="G88" i="4"/>
  <c r="F88" i="4"/>
  <c r="G76" i="4"/>
  <c r="H76" i="4"/>
  <c r="F76" i="4"/>
  <c r="G64" i="4"/>
  <c r="H64" i="4"/>
  <c r="F64" i="4"/>
  <c r="G52" i="4"/>
  <c r="H52" i="4"/>
  <c r="F52" i="4"/>
  <c r="B160" i="4"/>
  <c r="B148" i="4"/>
  <c r="B136" i="4"/>
  <c r="B124" i="4"/>
  <c r="B112" i="4"/>
  <c r="B100" i="4"/>
  <c r="B88" i="4"/>
  <c r="B76" i="4"/>
  <c r="B64" i="4"/>
  <c r="B52" i="4"/>
  <c r="G40" i="4"/>
  <c r="H40" i="4"/>
  <c r="F40" i="4"/>
  <c r="B40" i="4"/>
  <c r="G28" i="4"/>
  <c r="H28" i="4"/>
  <c r="F28" i="4"/>
  <c r="B28" i="4"/>
  <c r="G16" i="4"/>
  <c r="H16" i="4"/>
  <c r="F16" i="4"/>
  <c r="B16" i="4"/>
  <c r="B160" i="5"/>
  <c r="F148" i="5"/>
  <c r="B148" i="5"/>
  <c r="B136" i="5"/>
  <c r="B124" i="5"/>
  <c r="B112" i="5"/>
  <c r="B100" i="5"/>
  <c r="B88" i="5"/>
  <c r="B76" i="5"/>
  <c r="B64" i="5"/>
  <c r="B52" i="5"/>
  <c r="B40" i="5"/>
  <c r="B28" i="5"/>
  <c r="B16" i="5"/>
  <c r="G159" i="3"/>
  <c r="F159" i="3"/>
  <c r="B159" i="3"/>
  <c r="G147" i="3"/>
  <c r="F147" i="3"/>
  <c r="B147" i="3"/>
  <c r="F135" i="3"/>
  <c r="B135" i="3"/>
  <c r="G123" i="3"/>
  <c r="F123" i="3"/>
  <c r="B123" i="3"/>
  <c r="G111" i="3"/>
  <c r="F111" i="3"/>
  <c r="B111" i="3"/>
  <c r="G99" i="3"/>
  <c r="F99" i="3"/>
  <c r="B99" i="3"/>
  <c r="G87" i="3"/>
  <c r="F87" i="3"/>
  <c r="B87" i="3"/>
  <c r="G75" i="3"/>
  <c r="F75" i="3"/>
  <c r="B75" i="3"/>
  <c r="G63" i="3"/>
  <c r="F63" i="3"/>
  <c r="G51" i="3"/>
  <c r="F51" i="3"/>
  <c r="B63" i="3"/>
  <c r="B51" i="3"/>
  <c r="G39" i="3"/>
  <c r="F39" i="3"/>
  <c r="G27" i="3"/>
  <c r="F27" i="3"/>
  <c r="B39" i="3"/>
  <c r="B27" i="3"/>
  <c r="G15" i="3"/>
  <c r="F15" i="3"/>
  <c r="B15" i="3"/>
  <c r="N37" i="2"/>
  <c r="M37" i="2"/>
  <c r="L37" i="2"/>
  <c r="K37" i="2"/>
  <c r="J37" i="2"/>
  <c r="I37" i="2"/>
  <c r="H37" i="2"/>
  <c r="G37" i="2"/>
  <c r="F37" i="2"/>
  <c r="E37" i="2"/>
  <c r="D37" i="2"/>
  <c r="C37" i="2"/>
  <c r="B37" i="2"/>
  <c r="N16" i="2"/>
  <c r="M16" i="2"/>
  <c r="L16" i="2"/>
  <c r="K16" i="2"/>
  <c r="J16" i="2"/>
  <c r="I16" i="2"/>
  <c r="H16" i="2"/>
  <c r="G16" i="2"/>
  <c r="F16" i="2"/>
  <c r="E16" i="2"/>
  <c r="D16" i="2"/>
  <c r="C16" i="2"/>
  <c r="B16" i="2"/>
  <c r="A37" i="2"/>
  <c r="A16" i="2"/>
  <c r="M159" i="1"/>
  <c r="J159" i="1"/>
  <c r="I159" i="1"/>
  <c r="H159" i="1"/>
  <c r="E159" i="1"/>
  <c r="M147" i="1"/>
  <c r="J147" i="1"/>
  <c r="I147" i="1"/>
  <c r="H147" i="1"/>
  <c r="E147" i="1"/>
  <c r="M135" i="1"/>
  <c r="J135" i="1"/>
  <c r="I135" i="1"/>
  <c r="H135" i="1"/>
  <c r="E135" i="1"/>
  <c r="M123" i="1"/>
  <c r="I123" i="1"/>
  <c r="E123" i="1"/>
  <c r="M111" i="1"/>
  <c r="J111" i="1"/>
  <c r="I111" i="1"/>
  <c r="H111" i="1"/>
  <c r="E111" i="1"/>
  <c r="M99" i="1"/>
  <c r="J99" i="1"/>
  <c r="I99" i="1"/>
  <c r="H99" i="1"/>
  <c r="E99" i="1"/>
  <c r="M87" i="1"/>
  <c r="I87" i="1"/>
  <c r="E87" i="1"/>
  <c r="M75" i="1"/>
  <c r="J75" i="1"/>
  <c r="I75" i="1"/>
  <c r="H75" i="1"/>
  <c r="E75" i="1"/>
  <c r="M63" i="1"/>
  <c r="J63" i="1"/>
  <c r="I63" i="1"/>
  <c r="H63" i="1"/>
  <c r="E63" i="1"/>
  <c r="M51" i="1"/>
  <c r="I51" i="1"/>
  <c r="E51" i="1"/>
  <c r="M39" i="1"/>
  <c r="I39" i="1"/>
  <c r="E39" i="1"/>
  <c r="M27" i="1"/>
  <c r="J27" i="1"/>
  <c r="I27" i="1"/>
  <c r="H27" i="1"/>
  <c r="E27" i="1"/>
  <c r="M15" i="1"/>
  <c r="J15" i="1"/>
  <c r="I15" i="1"/>
  <c r="H15" i="1"/>
  <c r="E15" i="1"/>
  <c r="B159" i="1"/>
  <c r="B147" i="1"/>
  <c r="B135" i="1"/>
  <c r="B123" i="1"/>
  <c r="B111" i="1"/>
  <c r="B99" i="1"/>
  <c r="B87" i="1"/>
  <c r="B75" i="1"/>
  <c r="B63" i="1"/>
  <c r="B51" i="1"/>
  <c r="B39" i="1"/>
  <c r="B27" i="1"/>
  <c r="B15" i="1"/>
  <c r="F159" i="4"/>
  <c r="G159" i="4"/>
  <c r="H159" i="4"/>
  <c r="F147" i="4"/>
  <c r="G147" i="4"/>
  <c r="H147" i="4"/>
  <c r="F135" i="4"/>
  <c r="G135" i="4"/>
  <c r="H135" i="4"/>
  <c r="F123" i="4"/>
  <c r="G123" i="4"/>
  <c r="H123" i="4"/>
  <c r="F111" i="4"/>
  <c r="G111" i="4"/>
  <c r="H111" i="4"/>
  <c r="F99" i="4"/>
  <c r="G99" i="4"/>
  <c r="H99" i="4"/>
  <c r="F87" i="4"/>
  <c r="G87" i="4"/>
  <c r="H87" i="4"/>
  <c r="F75" i="4"/>
  <c r="G75" i="4"/>
  <c r="H75" i="4"/>
  <c r="F63" i="4"/>
  <c r="G63" i="4"/>
  <c r="H63" i="4"/>
  <c r="F51" i="4"/>
  <c r="G51" i="4"/>
  <c r="H51" i="4"/>
  <c r="F39" i="4"/>
  <c r="G39" i="4"/>
  <c r="H39" i="4"/>
  <c r="F27" i="4"/>
  <c r="G27" i="4"/>
  <c r="H27" i="4"/>
  <c r="F15" i="4"/>
  <c r="G15" i="4"/>
  <c r="H15" i="4"/>
  <c r="B159" i="4"/>
  <c r="B147" i="4"/>
  <c r="B135" i="4"/>
  <c r="B123" i="4"/>
  <c r="B111" i="4"/>
  <c r="B99" i="4"/>
  <c r="B87" i="4"/>
  <c r="B75" i="4"/>
  <c r="B63" i="4"/>
  <c r="B51" i="4"/>
  <c r="B39" i="4"/>
  <c r="B27" i="4"/>
  <c r="B15" i="4"/>
  <c r="F147" i="5"/>
  <c r="B159" i="5"/>
  <c r="B147" i="5"/>
  <c r="B135" i="5"/>
  <c r="B123" i="5"/>
  <c r="B111" i="5"/>
  <c r="B99" i="5"/>
  <c r="B87" i="5"/>
  <c r="B75" i="5"/>
  <c r="B63" i="5"/>
  <c r="B51" i="5"/>
  <c r="B39" i="5"/>
  <c r="B27" i="5"/>
  <c r="B15" i="5"/>
  <c r="F158" i="3"/>
  <c r="G158" i="3"/>
  <c r="F146" i="3"/>
  <c r="G146" i="3"/>
  <c r="F134" i="3"/>
  <c r="F122" i="3"/>
  <c r="G122" i="3"/>
  <c r="F110" i="3"/>
  <c r="G110" i="3"/>
  <c r="F98" i="3"/>
  <c r="G98" i="3"/>
  <c r="F86" i="3"/>
  <c r="G86" i="3"/>
  <c r="F74" i="3"/>
  <c r="G74" i="3"/>
  <c r="F62" i="3"/>
  <c r="G62" i="3"/>
  <c r="F50" i="3"/>
  <c r="G50" i="3"/>
  <c r="F38" i="3"/>
  <c r="G38" i="3"/>
  <c r="F26" i="3"/>
  <c r="G26" i="3"/>
  <c r="F14" i="3"/>
  <c r="G14" i="3"/>
  <c r="B158" i="3"/>
  <c r="B146" i="3"/>
  <c r="B134" i="3"/>
  <c r="B122" i="3"/>
  <c r="B110" i="3"/>
  <c r="B98" i="3"/>
  <c r="B86" i="3"/>
  <c r="B74" i="3"/>
  <c r="B62" i="3"/>
  <c r="B50" i="3"/>
  <c r="B38" i="3"/>
  <c r="B26" i="3"/>
  <c r="B14" i="3"/>
  <c r="N36" i="2"/>
  <c r="M36" i="2"/>
  <c r="L36" i="2"/>
  <c r="K36" i="2"/>
  <c r="J36" i="2"/>
  <c r="I36" i="2"/>
  <c r="H36" i="2"/>
  <c r="G36" i="2"/>
  <c r="F36" i="2"/>
  <c r="E36" i="2"/>
  <c r="D36" i="2"/>
  <c r="C36" i="2"/>
  <c r="B36" i="2"/>
  <c r="A36" i="2"/>
  <c r="N15" i="2"/>
  <c r="M15" i="2"/>
  <c r="L15" i="2"/>
  <c r="K15" i="2"/>
  <c r="J15" i="2"/>
  <c r="I15" i="2"/>
  <c r="H15" i="2"/>
  <c r="G15" i="2"/>
  <c r="F15" i="2"/>
  <c r="E15" i="2"/>
  <c r="D15" i="2"/>
  <c r="C15" i="2"/>
  <c r="B15" i="2"/>
  <c r="A15" i="2"/>
  <c r="F109" i="1"/>
  <c r="J109" i="1"/>
  <c r="J120" i="1"/>
  <c r="F85" i="1"/>
  <c r="H85" i="1"/>
  <c r="F49" i="1"/>
  <c r="J49" i="1"/>
  <c r="H158" i="1"/>
  <c r="M158" i="1"/>
  <c r="I158" i="1"/>
  <c r="J158" i="1"/>
  <c r="G158" i="1"/>
  <c r="F158" i="1"/>
  <c r="E158" i="1"/>
  <c r="M146" i="1"/>
  <c r="I146" i="1"/>
  <c r="G146" i="1"/>
  <c r="F146" i="1"/>
  <c r="H146" i="1"/>
  <c r="E146" i="1"/>
  <c r="H134" i="1"/>
  <c r="M134" i="1"/>
  <c r="I134" i="1"/>
  <c r="J134" i="1"/>
  <c r="G134" i="1"/>
  <c r="F134" i="1"/>
  <c r="E134" i="1"/>
  <c r="H122" i="1"/>
  <c r="M122" i="1"/>
  <c r="I122" i="1"/>
  <c r="J122" i="1"/>
  <c r="G122" i="1"/>
  <c r="F122" i="1"/>
  <c r="E122" i="1"/>
  <c r="M110" i="1"/>
  <c r="I110" i="1"/>
  <c r="G110" i="1"/>
  <c r="H110" i="1"/>
  <c r="E110" i="1"/>
  <c r="H98" i="1"/>
  <c r="M98" i="1"/>
  <c r="I98" i="1"/>
  <c r="J98" i="1"/>
  <c r="G98" i="1"/>
  <c r="F98" i="1"/>
  <c r="E98" i="1"/>
  <c r="M86" i="1"/>
  <c r="I86" i="1"/>
  <c r="G86" i="1"/>
  <c r="H86" i="1"/>
  <c r="E86" i="1"/>
  <c r="H74" i="1"/>
  <c r="M74" i="1"/>
  <c r="I74" i="1"/>
  <c r="J74" i="1"/>
  <c r="G74" i="1"/>
  <c r="F74" i="1"/>
  <c r="E74" i="1"/>
  <c r="H62" i="1"/>
  <c r="M62" i="1"/>
  <c r="I62" i="1"/>
  <c r="J62" i="1"/>
  <c r="G62" i="1"/>
  <c r="F62" i="1"/>
  <c r="E62" i="1"/>
  <c r="H50" i="1"/>
  <c r="M50" i="1"/>
  <c r="I50" i="1"/>
  <c r="J50" i="1"/>
  <c r="G50" i="1"/>
  <c r="F50" i="1"/>
  <c r="E50" i="1"/>
  <c r="H38" i="1"/>
  <c r="M38" i="1"/>
  <c r="I38" i="1"/>
  <c r="G38" i="1"/>
  <c r="G43" i="1"/>
  <c r="J38" i="1"/>
  <c r="E38" i="1"/>
  <c r="M26" i="1"/>
  <c r="I26" i="1"/>
  <c r="G26" i="1"/>
  <c r="J26" i="1"/>
  <c r="E26" i="1"/>
  <c r="H14" i="1"/>
  <c r="M14" i="1"/>
  <c r="I14" i="1"/>
  <c r="J14" i="1"/>
  <c r="G14" i="1"/>
  <c r="F14" i="1"/>
  <c r="E14" i="1"/>
  <c r="B158" i="1"/>
  <c r="B146" i="1"/>
  <c r="B134" i="1"/>
  <c r="B122" i="1"/>
  <c r="B110" i="1"/>
  <c r="B98" i="1"/>
  <c r="B86" i="1"/>
  <c r="B74" i="1"/>
  <c r="B62" i="1"/>
  <c r="B50" i="1"/>
  <c r="B38" i="1"/>
  <c r="B26" i="1"/>
  <c r="B14" i="1"/>
  <c r="A35" i="2"/>
  <c r="A14" i="2"/>
  <c r="G157" i="1"/>
  <c r="H157" i="1"/>
  <c r="G145" i="1"/>
  <c r="G133" i="1"/>
  <c r="G121" i="1"/>
  <c r="G127" i="1"/>
  <c r="G109" i="1"/>
  <c r="G97" i="1"/>
  <c r="G85" i="1"/>
  <c r="G73" i="1"/>
  <c r="G61" i="1"/>
  <c r="H61" i="1"/>
  <c r="G49" i="1"/>
  <c r="G37" i="1"/>
  <c r="G25" i="1"/>
  <c r="G13" i="1"/>
  <c r="F157" i="1"/>
  <c r="F145" i="1"/>
  <c r="F133" i="1"/>
  <c r="F94" i="1"/>
  <c r="H94" i="1"/>
  <c r="F97" i="1"/>
  <c r="J97" i="1"/>
  <c r="F84" i="1"/>
  <c r="F73" i="1"/>
  <c r="J73" i="1"/>
  <c r="F61" i="1"/>
  <c r="J25" i="1"/>
  <c r="F13" i="1"/>
  <c r="G158" i="4"/>
  <c r="H158" i="4"/>
  <c r="F158" i="4"/>
  <c r="G146" i="4"/>
  <c r="H146" i="4"/>
  <c r="F146" i="4"/>
  <c r="G134" i="4"/>
  <c r="H134" i="4"/>
  <c r="F134" i="4"/>
  <c r="G122" i="4"/>
  <c r="H122" i="4"/>
  <c r="F122" i="4"/>
  <c r="G110" i="4"/>
  <c r="H110" i="4"/>
  <c r="F110" i="4"/>
  <c r="G98" i="4"/>
  <c r="H98" i="4"/>
  <c r="F98" i="4"/>
  <c r="G86" i="4"/>
  <c r="H86" i="4"/>
  <c r="F86" i="4"/>
  <c r="G74" i="4"/>
  <c r="H74" i="4"/>
  <c r="F74" i="4"/>
  <c r="G62" i="4"/>
  <c r="H62" i="4"/>
  <c r="F62" i="4"/>
  <c r="G50" i="4"/>
  <c r="H50" i="4"/>
  <c r="F50" i="4"/>
  <c r="G38" i="4"/>
  <c r="H38" i="4"/>
  <c r="F38" i="4"/>
  <c r="G26" i="4"/>
  <c r="H26" i="4"/>
  <c r="F26" i="4"/>
  <c r="G14" i="4"/>
  <c r="H14" i="4"/>
  <c r="F14" i="4"/>
  <c r="B158" i="4"/>
  <c r="B146" i="4"/>
  <c r="B134" i="4"/>
  <c r="B122" i="4"/>
  <c r="B110" i="4"/>
  <c r="B98" i="4"/>
  <c r="B86" i="4"/>
  <c r="B74" i="4"/>
  <c r="B62" i="4"/>
  <c r="B50" i="4"/>
  <c r="B38" i="4"/>
  <c r="B26" i="4"/>
  <c r="B14" i="4"/>
  <c r="G146" i="5"/>
  <c r="H146" i="5"/>
  <c r="F146" i="5"/>
  <c r="B158" i="5"/>
  <c r="B146" i="5"/>
  <c r="B134" i="5"/>
  <c r="B122" i="5"/>
  <c r="B110" i="5"/>
  <c r="B98" i="5"/>
  <c r="B86" i="5"/>
  <c r="B74" i="5"/>
  <c r="B62" i="5"/>
  <c r="B50" i="5"/>
  <c r="B38" i="5"/>
  <c r="B26" i="5"/>
  <c r="B14" i="5"/>
  <c r="G157" i="3"/>
  <c r="F157" i="3"/>
  <c r="G145" i="3"/>
  <c r="F145" i="3"/>
  <c r="G133" i="3"/>
  <c r="F133" i="3"/>
  <c r="G121" i="3"/>
  <c r="F121" i="3"/>
  <c r="G109" i="3"/>
  <c r="F109" i="3"/>
  <c r="G97" i="3"/>
  <c r="F97" i="3"/>
  <c r="G85" i="3"/>
  <c r="F85" i="3"/>
  <c r="G73" i="3"/>
  <c r="F73" i="3"/>
  <c r="G61" i="3"/>
  <c r="F61" i="3"/>
  <c r="G49" i="3"/>
  <c r="F49" i="3"/>
  <c r="G37" i="3"/>
  <c r="F37" i="3"/>
  <c r="G25" i="3"/>
  <c r="F25" i="3"/>
  <c r="G13" i="3"/>
  <c r="F13" i="3"/>
  <c r="B157" i="3"/>
  <c r="B145" i="3"/>
  <c r="B133" i="3"/>
  <c r="B121" i="3"/>
  <c r="B109" i="3"/>
  <c r="B97" i="3"/>
  <c r="B85" i="3"/>
  <c r="B73" i="3"/>
  <c r="B61" i="3"/>
  <c r="B49" i="3"/>
  <c r="B37" i="3"/>
  <c r="B25" i="3"/>
  <c r="B13" i="3"/>
  <c r="N35" i="2"/>
  <c r="M35" i="2"/>
  <c r="L35" i="2"/>
  <c r="K35" i="2"/>
  <c r="J35" i="2"/>
  <c r="I35" i="2"/>
  <c r="H35" i="2"/>
  <c r="G35" i="2"/>
  <c r="F35" i="2"/>
  <c r="E35" i="2"/>
  <c r="D35" i="2"/>
  <c r="C35" i="2"/>
  <c r="B35" i="2"/>
  <c r="N14" i="2"/>
  <c r="M14" i="2"/>
  <c r="L14" i="2"/>
  <c r="K14" i="2"/>
  <c r="J14" i="2"/>
  <c r="I14" i="2"/>
  <c r="H14" i="2"/>
  <c r="G14" i="2"/>
  <c r="F14" i="2"/>
  <c r="E14" i="2"/>
  <c r="D14" i="2"/>
  <c r="C14" i="2"/>
  <c r="B14" i="2"/>
  <c r="M157" i="1"/>
  <c r="J157" i="1"/>
  <c r="I157" i="1"/>
  <c r="E157" i="1"/>
  <c r="M145" i="1"/>
  <c r="J145" i="1"/>
  <c r="I145" i="1"/>
  <c r="E145" i="1"/>
  <c r="M133" i="1"/>
  <c r="J133" i="1"/>
  <c r="I133" i="1"/>
  <c r="E133" i="1"/>
  <c r="M121" i="1"/>
  <c r="I121" i="1"/>
  <c r="M109" i="1"/>
  <c r="I109" i="1"/>
  <c r="H109" i="1"/>
  <c r="E109" i="1"/>
  <c r="M97" i="1"/>
  <c r="I97" i="1"/>
  <c r="H97" i="1"/>
  <c r="E97" i="1"/>
  <c r="M85" i="1"/>
  <c r="I85" i="1"/>
  <c r="E85" i="1"/>
  <c r="M73" i="1"/>
  <c r="I73" i="1"/>
  <c r="E73" i="1"/>
  <c r="M61" i="1"/>
  <c r="I61" i="1"/>
  <c r="E61" i="1"/>
  <c r="M49" i="1"/>
  <c r="I49" i="1"/>
  <c r="E49" i="1"/>
  <c r="M37" i="1"/>
  <c r="J37" i="1"/>
  <c r="I37" i="1"/>
  <c r="H37" i="1"/>
  <c r="E37" i="1"/>
  <c r="M25" i="1"/>
  <c r="I25" i="1"/>
  <c r="E25" i="1"/>
  <c r="M13" i="1"/>
  <c r="J13" i="1"/>
  <c r="I13" i="1"/>
  <c r="E13" i="1"/>
  <c r="B157" i="1"/>
  <c r="B145" i="1"/>
  <c r="B133" i="1"/>
  <c r="B121" i="1"/>
  <c r="B109" i="1"/>
  <c r="B97" i="1"/>
  <c r="B85" i="1"/>
  <c r="B73" i="1"/>
  <c r="B61" i="1"/>
  <c r="B49" i="1"/>
  <c r="B37" i="1"/>
  <c r="B25" i="1"/>
  <c r="B13" i="1"/>
  <c r="G84" i="1"/>
  <c r="G156" i="1"/>
  <c r="G163" i="1"/>
  <c r="G144" i="1"/>
  <c r="H144" i="1"/>
  <c r="G132" i="1"/>
  <c r="G139" i="1"/>
  <c r="G120" i="1"/>
  <c r="G108" i="1"/>
  <c r="G96" i="1"/>
  <c r="H96" i="1"/>
  <c r="G72" i="1"/>
  <c r="G60" i="1"/>
  <c r="G48" i="1"/>
  <c r="H48" i="1"/>
  <c r="G36" i="1"/>
  <c r="G24" i="1"/>
  <c r="G12" i="1"/>
  <c r="F19" i="1"/>
  <c r="J12" i="1"/>
  <c r="F156" i="1"/>
  <c r="J156" i="1"/>
  <c r="F143" i="1"/>
  <c r="J143" i="1"/>
  <c r="F144" i="1"/>
  <c r="J144" i="1"/>
  <c r="F132" i="1"/>
  <c r="J132" i="1"/>
  <c r="H120" i="1"/>
  <c r="F108" i="1"/>
  <c r="J108" i="1"/>
  <c r="F96" i="1"/>
  <c r="J96" i="1"/>
  <c r="F72" i="1"/>
  <c r="J72" i="1"/>
  <c r="F59" i="1"/>
  <c r="F60" i="1"/>
  <c r="H60" i="1"/>
  <c r="F46" i="1"/>
  <c r="F45" i="1"/>
  <c r="H45" i="1"/>
  <c r="J45" i="1"/>
  <c r="F48" i="1"/>
  <c r="J48" i="1"/>
  <c r="F36" i="1"/>
  <c r="J36" i="1"/>
  <c r="F24" i="1"/>
  <c r="G157" i="4"/>
  <c r="H157" i="4"/>
  <c r="F157" i="4"/>
  <c r="G145" i="4"/>
  <c r="H145" i="4"/>
  <c r="F145" i="4"/>
  <c r="G133" i="4"/>
  <c r="H133" i="4"/>
  <c r="F133" i="4"/>
  <c r="G121" i="4"/>
  <c r="H121" i="4"/>
  <c r="F121" i="4"/>
  <c r="G109" i="4"/>
  <c r="H109" i="4"/>
  <c r="F109" i="4"/>
  <c r="G97" i="4"/>
  <c r="H97" i="4"/>
  <c r="F97" i="4"/>
  <c r="G85" i="4"/>
  <c r="H85" i="4"/>
  <c r="F85" i="4"/>
  <c r="G73" i="4"/>
  <c r="H73" i="4"/>
  <c r="F73" i="4"/>
  <c r="G61" i="4"/>
  <c r="H61" i="4"/>
  <c r="F61" i="4"/>
  <c r="G49" i="4"/>
  <c r="H49" i="4"/>
  <c r="F49" i="4"/>
  <c r="G37" i="4"/>
  <c r="H37" i="4"/>
  <c r="F37" i="4"/>
  <c r="G25" i="4"/>
  <c r="H25" i="4"/>
  <c r="F25" i="4"/>
  <c r="G13" i="4"/>
  <c r="H13" i="4"/>
  <c r="F13" i="4"/>
  <c r="B157" i="4"/>
  <c r="B145" i="4"/>
  <c r="B133" i="4"/>
  <c r="B121" i="4"/>
  <c r="B109" i="4"/>
  <c r="B97" i="4"/>
  <c r="B85" i="4"/>
  <c r="B73" i="4"/>
  <c r="B61" i="4"/>
  <c r="B49" i="4"/>
  <c r="B37" i="4"/>
  <c r="B25" i="4"/>
  <c r="B13" i="4"/>
  <c r="G145" i="5"/>
  <c r="H145" i="5"/>
  <c r="F145" i="5"/>
  <c r="B157" i="5"/>
  <c r="B145" i="5"/>
  <c r="B133" i="5"/>
  <c r="B121" i="5"/>
  <c r="B109" i="5"/>
  <c r="B97" i="5"/>
  <c r="B85" i="5"/>
  <c r="B73" i="5"/>
  <c r="B61" i="5"/>
  <c r="B49" i="5"/>
  <c r="B37" i="5"/>
  <c r="B25" i="5"/>
  <c r="B13" i="5"/>
  <c r="G156" i="3"/>
  <c r="F156" i="3"/>
  <c r="G144" i="3"/>
  <c r="F144" i="3"/>
  <c r="G132" i="3"/>
  <c r="F132" i="3"/>
  <c r="G120" i="3"/>
  <c r="F120" i="3"/>
  <c r="G108" i="3"/>
  <c r="F108" i="3"/>
  <c r="G96" i="3"/>
  <c r="F96" i="3"/>
  <c r="G84" i="3"/>
  <c r="F84" i="3"/>
  <c r="G72" i="3"/>
  <c r="F72" i="3"/>
  <c r="G60" i="3"/>
  <c r="F60" i="3"/>
  <c r="G48" i="3"/>
  <c r="F48" i="3"/>
  <c r="G36" i="3"/>
  <c r="F36" i="3"/>
  <c r="G24" i="3"/>
  <c r="F24" i="3"/>
  <c r="B156" i="3"/>
  <c r="B144" i="3"/>
  <c r="B132" i="3"/>
  <c r="B120" i="3"/>
  <c r="B108" i="3"/>
  <c r="B96" i="3"/>
  <c r="B84" i="3"/>
  <c r="B72" i="3"/>
  <c r="B60" i="3"/>
  <c r="B48" i="3"/>
  <c r="B36" i="3"/>
  <c r="B24" i="3"/>
  <c r="G12" i="3"/>
  <c r="F12" i="3"/>
  <c r="B12" i="3"/>
  <c r="N34" i="2"/>
  <c r="M34" i="2"/>
  <c r="L34" i="2"/>
  <c r="K34" i="2"/>
  <c r="J34" i="2"/>
  <c r="I34" i="2"/>
  <c r="H34" i="2"/>
  <c r="G34" i="2"/>
  <c r="F34" i="2"/>
  <c r="E34" i="2"/>
  <c r="D34" i="2"/>
  <c r="C34" i="2"/>
  <c r="B34" i="2"/>
  <c r="A34" i="2"/>
  <c r="N13" i="2"/>
  <c r="M13" i="2"/>
  <c r="L13" i="2"/>
  <c r="K13" i="2"/>
  <c r="J13" i="2"/>
  <c r="I13" i="2"/>
  <c r="H13" i="2"/>
  <c r="G13" i="2"/>
  <c r="F13" i="2"/>
  <c r="E13" i="2"/>
  <c r="D13" i="2"/>
  <c r="C13" i="2"/>
  <c r="B13" i="2"/>
  <c r="A13" i="2"/>
  <c r="M156" i="1"/>
  <c r="I156" i="1"/>
  <c r="H156" i="1"/>
  <c r="E156" i="1"/>
  <c r="M144" i="1"/>
  <c r="I144" i="1"/>
  <c r="E144" i="1"/>
  <c r="M132" i="1"/>
  <c r="I132" i="1"/>
  <c r="E132" i="1"/>
  <c r="M120" i="1"/>
  <c r="I120" i="1"/>
  <c r="E120" i="1"/>
  <c r="M108" i="1"/>
  <c r="I108" i="1"/>
  <c r="E108" i="1"/>
  <c r="M96" i="1"/>
  <c r="I96" i="1"/>
  <c r="E96" i="1"/>
  <c r="M84" i="1"/>
  <c r="I84" i="1"/>
  <c r="E84" i="1"/>
  <c r="M72" i="1"/>
  <c r="I72" i="1"/>
  <c r="E72" i="1"/>
  <c r="M60" i="1"/>
  <c r="J60" i="1"/>
  <c r="I60" i="1"/>
  <c r="E60" i="1"/>
  <c r="M48" i="1"/>
  <c r="I48" i="1"/>
  <c r="E48" i="1"/>
  <c r="M36" i="1"/>
  <c r="I36" i="1"/>
  <c r="H36" i="1"/>
  <c r="E36" i="1"/>
  <c r="M24" i="1"/>
  <c r="J24" i="1"/>
  <c r="I24" i="1"/>
  <c r="E24" i="1"/>
  <c r="M12" i="1"/>
  <c r="I12" i="1"/>
  <c r="H12" i="1"/>
  <c r="E12" i="1"/>
  <c r="B156" i="1"/>
  <c r="B144" i="1"/>
  <c r="B132" i="1"/>
  <c r="B120" i="1"/>
  <c r="B108" i="1"/>
  <c r="B96" i="1"/>
  <c r="B84" i="1"/>
  <c r="B72" i="1"/>
  <c r="B60" i="1"/>
  <c r="B48" i="1"/>
  <c r="B36" i="1"/>
  <c r="B24" i="1"/>
  <c r="B12" i="1"/>
  <c r="F83" i="1"/>
  <c r="H83" i="1"/>
  <c r="G155" i="1"/>
  <c r="G143" i="1"/>
  <c r="G131" i="1"/>
  <c r="G119" i="1"/>
  <c r="G107" i="1"/>
  <c r="G95" i="1"/>
  <c r="G83" i="1"/>
  <c r="G71" i="1"/>
  <c r="G59" i="1"/>
  <c r="G47" i="1"/>
  <c r="H47" i="1"/>
  <c r="G35" i="1"/>
  <c r="G23" i="1"/>
  <c r="G11" i="1"/>
  <c r="F155" i="1"/>
  <c r="F131" i="1"/>
  <c r="F119" i="1"/>
  <c r="F107" i="1"/>
  <c r="F95" i="1"/>
  <c r="F71" i="1"/>
  <c r="H59" i="1"/>
  <c r="F47" i="1"/>
  <c r="F35" i="1"/>
  <c r="H35" i="1"/>
  <c r="F23" i="1"/>
  <c r="J23" i="1"/>
  <c r="G156" i="4"/>
  <c r="H156" i="4"/>
  <c r="F156" i="4"/>
  <c r="G144" i="4"/>
  <c r="H144" i="4"/>
  <c r="F144" i="4"/>
  <c r="G132" i="4"/>
  <c r="H132" i="4"/>
  <c r="F132" i="4"/>
  <c r="G120" i="4"/>
  <c r="H120" i="4"/>
  <c r="F120" i="4"/>
  <c r="G108" i="4"/>
  <c r="H108" i="4"/>
  <c r="F108" i="4"/>
  <c r="G96" i="4"/>
  <c r="H96" i="4"/>
  <c r="F96" i="4"/>
  <c r="G84" i="4"/>
  <c r="H84" i="4"/>
  <c r="F84" i="4"/>
  <c r="G72" i="4"/>
  <c r="H72" i="4"/>
  <c r="F72" i="4"/>
  <c r="G60" i="4"/>
  <c r="H60" i="4"/>
  <c r="F60" i="4"/>
  <c r="G48" i="4"/>
  <c r="H48" i="4"/>
  <c r="F48" i="4"/>
  <c r="G36" i="4"/>
  <c r="H36" i="4"/>
  <c r="F36" i="4"/>
  <c r="G24" i="4"/>
  <c r="H24" i="4"/>
  <c r="F24" i="4"/>
  <c r="G12" i="4"/>
  <c r="H12" i="4"/>
  <c r="F12" i="4"/>
  <c r="B156" i="4"/>
  <c r="B144" i="4"/>
  <c r="B132" i="4"/>
  <c r="B120" i="4"/>
  <c r="B108" i="4"/>
  <c r="B96" i="4"/>
  <c r="B84" i="4"/>
  <c r="B72" i="4"/>
  <c r="B60" i="4"/>
  <c r="B48" i="4"/>
  <c r="B36" i="4"/>
  <c r="B24" i="4"/>
  <c r="B12" i="4"/>
  <c r="G144" i="5"/>
  <c r="H144" i="5"/>
  <c r="F144" i="5"/>
  <c r="B156" i="5"/>
  <c r="B144" i="5"/>
  <c r="B132" i="5"/>
  <c r="B120" i="5"/>
  <c r="B108" i="5"/>
  <c r="B96" i="5"/>
  <c r="B84" i="5"/>
  <c r="B72" i="5"/>
  <c r="B60" i="5"/>
  <c r="B48" i="5"/>
  <c r="B36" i="5"/>
  <c r="B24" i="5"/>
  <c r="B12" i="5"/>
  <c r="G155" i="3"/>
  <c r="F155" i="3"/>
  <c r="G143" i="3"/>
  <c r="F143" i="3"/>
  <c r="G131" i="3"/>
  <c r="F131" i="3"/>
  <c r="G119" i="3"/>
  <c r="F119" i="3"/>
  <c r="G107" i="3"/>
  <c r="F107" i="3"/>
  <c r="G95" i="3"/>
  <c r="F95" i="3"/>
  <c r="G83" i="3"/>
  <c r="F83" i="3"/>
  <c r="G71" i="3"/>
  <c r="F71" i="3"/>
  <c r="G59" i="3"/>
  <c r="F59" i="3"/>
  <c r="G47" i="3"/>
  <c r="F47" i="3"/>
  <c r="G35" i="3"/>
  <c r="F35" i="3"/>
  <c r="G23" i="3"/>
  <c r="F23" i="3"/>
  <c r="B155" i="3"/>
  <c r="B143" i="3"/>
  <c r="B131" i="3"/>
  <c r="B119" i="3"/>
  <c r="B107" i="3"/>
  <c r="B95" i="3"/>
  <c r="B83" i="3"/>
  <c r="B71" i="3"/>
  <c r="B59" i="3"/>
  <c r="B47" i="3"/>
  <c r="B35" i="3"/>
  <c r="B23" i="3"/>
  <c r="G11" i="3"/>
  <c r="F11" i="3"/>
  <c r="B11" i="3"/>
  <c r="N33" i="2"/>
  <c r="M33" i="2"/>
  <c r="L33" i="2"/>
  <c r="K33" i="2"/>
  <c r="J33" i="2"/>
  <c r="I33" i="2"/>
  <c r="H33" i="2"/>
  <c r="G33" i="2"/>
  <c r="F33" i="2"/>
  <c r="E33" i="2"/>
  <c r="D33" i="2"/>
  <c r="C33" i="2"/>
  <c r="B33" i="2"/>
  <c r="A33" i="2"/>
  <c r="N12" i="2"/>
  <c r="M12" i="2"/>
  <c r="L12" i="2"/>
  <c r="K12" i="2"/>
  <c r="J12" i="2"/>
  <c r="I12" i="2"/>
  <c r="H12" i="2"/>
  <c r="G12" i="2"/>
  <c r="F12" i="2"/>
  <c r="E12" i="2"/>
  <c r="D12" i="2"/>
  <c r="C12" i="2"/>
  <c r="B12" i="2"/>
  <c r="A12" i="2"/>
  <c r="M155" i="1"/>
  <c r="J155" i="1"/>
  <c r="I155" i="1"/>
  <c r="E155" i="1"/>
  <c r="M143" i="1"/>
  <c r="I143" i="1"/>
  <c r="E143" i="1"/>
  <c r="M131" i="1"/>
  <c r="J131" i="1"/>
  <c r="I131" i="1"/>
  <c r="E131" i="1"/>
  <c r="M119" i="1"/>
  <c r="J119" i="1"/>
  <c r="I119" i="1"/>
  <c r="E119" i="1"/>
  <c r="M107" i="1"/>
  <c r="J107" i="1"/>
  <c r="I107" i="1"/>
  <c r="H107" i="1"/>
  <c r="E107" i="1"/>
  <c r="M95" i="1"/>
  <c r="J95" i="1"/>
  <c r="I95" i="1"/>
  <c r="E95" i="1"/>
  <c r="M83" i="1"/>
  <c r="I83" i="1"/>
  <c r="E83" i="1"/>
  <c r="M71" i="1"/>
  <c r="J71" i="1"/>
  <c r="I71" i="1"/>
  <c r="E71" i="1"/>
  <c r="M59" i="1"/>
  <c r="J59" i="1"/>
  <c r="I59" i="1"/>
  <c r="E59" i="1"/>
  <c r="M47" i="1"/>
  <c r="J47" i="1"/>
  <c r="I47" i="1"/>
  <c r="E47" i="1"/>
  <c r="M35" i="1"/>
  <c r="J35" i="1"/>
  <c r="I35" i="1"/>
  <c r="E35" i="1"/>
  <c r="M23" i="1"/>
  <c r="I23" i="1"/>
  <c r="E23" i="1"/>
  <c r="M11" i="1"/>
  <c r="I11" i="1"/>
  <c r="E11" i="1"/>
  <c r="B155" i="1"/>
  <c r="B143" i="1"/>
  <c r="B131" i="1"/>
  <c r="B119" i="1"/>
  <c r="B107" i="1"/>
  <c r="B95" i="1"/>
  <c r="B83" i="1"/>
  <c r="B71" i="1"/>
  <c r="B59" i="1"/>
  <c r="B47" i="1"/>
  <c r="B35" i="1"/>
  <c r="B23" i="1"/>
  <c r="B11" i="1"/>
  <c r="G155" i="4"/>
  <c r="H155" i="4"/>
  <c r="F155" i="4"/>
  <c r="G143" i="4"/>
  <c r="H143" i="4"/>
  <c r="F143" i="4"/>
  <c r="G131" i="4"/>
  <c r="H131" i="4"/>
  <c r="F131" i="4"/>
  <c r="G119" i="4"/>
  <c r="H119" i="4"/>
  <c r="F119" i="4"/>
  <c r="G107" i="4"/>
  <c r="H107" i="4"/>
  <c r="F107" i="4"/>
  <c r="G95" i="4"/>
  <c r="H95" i="4"/>
  <c r="F95" i="4"/>
  <c r="G83" i="4"/>
  <c r="H83" i="4"/>
  <c r="F83" i="4"/>
  <c r="G71" i="4"/>
  <c r="H71" i="4"/>
  <c r="F71" i="4"/>
  <c r="G59" i="4"/>
  <c r="H59" i="4"/>
  <c r="F59" i="4"/>
  <c r="G47" i="4"/>
  <c r="H47" i="4"/>
  <c r="F47" i="4"/>
  <c r="G35" i="4"/>
  <c r="H35" i="4"/>
  <c r="F35" i="4"/>
  <c r="G23" i="4"/>
  <c r="H23" i="4"/>
  <c r="F23" i="4"/>
  <c r="G11" i="4"/>
  <c r="H11" i="4"/>
  <c r="F11" i="4"/>
  <c r="B155" i="4"/>
  <c r="B143" i="4"/>
  <c r="B131" i="4"/>
  <c r="B119" i="4"/>
  <c r="B107" i="4"/>
  <c r="B95" i="4"/>
  <c r="B83" i="4"/>
  <c r="B71" i="4"/>
  <c r="B59" i="4"/>
  <c r="B47" i="4"/>
  <c r="B35" i="4"/>
  <c r="B23" i="4"/>
  <c r="B11" i="4"/>
  <c r="G143" i="5"/>
  <c r="H143" i="5"/>
  <c r="F143" i="5"/>
  <c r="B155" i="5"/>
  <c r="B143" i="5"/>
  <c r="B131" i="5"/>
  <c r="B119" i="5"/>
  <c r="B107" i="5"/>
  <c r="B95" i="5"/>
  <c r="B83" i="5"/>
  <c r="B71" i="5"/>
  <c r="B59" i="5"/>
  <c r="B47" i="5"/>
  <c r="B35" i="5"/>
  <c r="B23" i="5"/>
  <c r="B11" i="5"/>
  <c r="G154" i="3"/>
  <c r="F154" i="3"/>
  <c r="G142" i="3"/>
  <c r="F142" i="3"/>
  <c r="G130" i="3"/>
  <c r="F130" i="3"/>
  <c r="G118" i="3"/>
  <c r="F118" i="3"/>
  <c r="G106" i="3"/>
  <c r="F106" i="3"/>
  <c r="G94" i="3"/>
  <c r="F94" i="3"/>
  <c r="G82" i="3"/>
  <c r="F82" i="3"/>
  <c r="G70" i="3"/>
  <c r="F70" i="3"/>
  <c r="G58" i="3"/>
  <c r="F58" i="3"/>
  <c r="G46" i="3"/>
  <c r="F46" i="3"/>
  <c r="G34" i="3"/>
  <c r="F34" i="3"/>
  <c r="G22" i="3"/>
  <c r="F22" i="3"/>
  <c r="G10" i="3"/>
  <c r="F10" i="3"/>
  <c r="B154" i="3"/>
  <c r="B142" i="3"/>
  <c r="B130" i="3"/>
  <c r="B118" i="3"/>
  <c r="B106" i="3"/>
  <c r="B94" i="3"/>
  <c r="B82" i="3"/>
  <c r="B70" i="3"/>
  <c r="B58" i="3"/>
  <c r="B46" i="3"/>
  <c r="B34" i="3"/>
  <c r="B22" i="3"/>
  <c r="B10" i="3"/>
  <c r="N32" i="2"/>
  <c r="M32" i="2"/>
  <c r="L32" i="2"/>
  <c r="K32" i="2"/>
  <c r="J32" i="2"/>
  <c r="I32" i="2"/>
  <c r="H32" i="2"/>
  <c r="G32" i="2"/>
  <c r="F32" i="2"/>
  <c r="E32" i="2"/>
  <c r="D32" i="2"/>
  <c r="C32" i="2"/>
  <c r="B32" i="2"/>
  <c r="A32" i="2"/>
  <c r="N11" i="2"/>
  <c r="M11" i="2"/>
  <c r="L11" i="2"/>
  <c r="K11" i="2"/>
  <c r="J11" i="2"/>
  <c r="I11" i="2"/>
  <c r="H11" i="2"/>
  <c r="G11" i="2"/>
  <c r="F11" i="2"/>
  <c r="E11" i="2"/>
  <c r="D11" i="2"/>
  <c r="C11" i="2"/>
  <c r="B11" i="2"/>
  <c r="A11" i="2"/>
  <c r="G93" i="1"/>
  <c r="M154" i="1"/>
  <c r="J154" i="1"/>
  <c r="I154" i="1"/>
  <c r="H154" i="1"/>
  <c r="E154" i="1"/>
  <c r="G154" i="1"/>
  <c r="F154" i="1"/>
  <c r="M142" i="1"/>
  <c r="J142" i="1"/>
  <c r="I142" i="1"/>
  <c r="H142" i="1"/>
  <c r="E142" i="1"/>
  <c r="G142" i="1"/>
  <c r="F142" i="1"/>
  <c r="M130" i="1"/>
  <c r="J130" i="1"/>
  <c r="I130" i="1"/>
  <c r="H130" i="1"/>
  <c r="E130" i="1"/>
  <c r="G130" i="1"/>
  <c r="F130" i="1"/>
  <c r="M118" i="1"/>
  <c r="J118" i="1"/>
  <c r="I118" i="1"/>
  <c r="H118" i="1"/>
  <c r="E118" i="1"/>
  <c r="G118" i="1"/>
  <c r="F118" i="1"/>
  <c r="M106" i="1"/>
  <c r="J106" i="1"/>
  <c r="I106" i="1"/>
  <c r="H106" i="1"/>
  <c r="E106" i="1"/>
  <c r="G106" i="1"/>
  <c r="F106" i="1"/>
  <c r="M94" i="1"/>
  <c r="I94" i="1"/>
  <c r="E94" i="1"/>
  <c r="G94" i="1"/>
  <c r="M82" i="1"/>
  <c r="J82" i="1"/>
  <c r="I82" i="1"/>
  <c r="H82" i="1"/>
  <c r="E82" i="1"/>
  <c r="G82" i="1"/>
  <c r="F82" i="1"/>
  <c r="M70" i="1"/>
  <c r="J70" i="1"/>
  <c r="I70" i="1"/>
  <c r="H70" i="1"/>
  <c r="E70" i="1"/>
  <c r="G70" i="1"/>
  <c r="F70" i="1"/>
  <c r="M58" i="1"/>
  <c r="J58" i="1"/>
  <c r="I58" i="1"/>
  <c r="H58" i="1"/>
  <c r="E58" i="1"/>
  <c r="G58" i="1"/>
  <c r="F58" i="1"/>
  <c r="M46" i="1"/>
  <c r="I46" i="1"/>
  <c r="E46" i="1"/>
  <c r="G46" i="1"/>
  <c r="J46" i="1"/>
  <c r="M34" i="1"/>
  <c r="J34" i="1"/>
  <c r="I34" i="1"/>
  <c r="H34" i="1"/>
  <c r="E34" i="1"/>
  <c r="G34" i="1"/>
  <c r="F34" i="1"/>
  <c r="M22" i="1"/>
  <c r="I22" i="1"/>
  <c r="E22" i="1"/>
  <c r="G22" i="1"/>
  <c r="F22" i="1"/>
  <c r="H22" i="1"/>
  <c r="M10" i="1"/>
  <c r="J10" i="1"/>
  <c r="I10" i="1"/>
  <c r="H10" i="1"/>
  <c r="E10" i="1"/>
  <c r="G10" i="1"/>
  <c r="F10" i="1"/>
  <c r="B154" i="1"/>
  <c r="B142" i="1"/>
  <c r="B130" i="1"/>
  <c r="B118" i="1"/>
  <c r="B106" i="1"/>
  <c r="B94" i="1"/>
  <c r="B82" i="1"/>
  <c r="B70" i="1"/>
  <c r="B58" i="1"/>
  <c r="B46" i="1"/>
  <c r="B34" i="1"/>
  <c r="B22" i="1"/>
  <c r="B10" i="1"/>
  <c r="B154" i="4"/>
  <c r="B142" i="4"/>
  <c r="B130" i="4"/>
  <c r="B118" i="4"/>
  <c r="B106" i="4"/>
  <c r="B94" i="4"/>
  <c r="B82" i="4"/>
  <c r="B70" i="4"/>
  <c r="B58" i="4"/>
  <c r="B46" i="4"/>
  <c r="B34" i="4"/>
  <c r="B22" i="4"/>
  <c r="B10" i="4"/>
  <c r="B154" i="5"/>
  <c r="B142" i="5"/>
  <c r="B130" i="5"/>
  <c r="B118" i="5"/>
  <c r="B106" i="5"/>
  <c r="B94" i="5"/>
  <c r="B82" i="5"/>
  <c r="B70" i="5"/>
  <c r="B58" i="5"/>
  <c r="B46" i="5"/>
  <c r="B34" i="5"/>
  <c r="B22" i="5"/>
  <c r="B10" i="5"/>
  <c r="B153" i="3"/>
  <c r="B141" i="3"/>
  <c r="B129" i="3"/>
  <c r="B117" i="3"/>
  <c r="B105" i="3"/>
  <c r="B93" i="3"/>
  <c r="B81" i="3"/>
  <c r="B69" i="3"/>
  <c r="B57" i="3"/>
  <c r="B45" i="3"/>
  <c r="B33" i="3"/>
  <c r="B21" i="3"/>
  <c r="B9" i="3"/>
  <c r="A31" i="2"/>
  <c r="A10" i="2"/>
  <c r="G153" i="1"/>
  <c r="F153" i="1"/>
  <c r="G141" i="1"/>
  <c r="F141" i="1"/>
  <c r="G129" i="1"/>
  <c r="F129" i="1"/>
  <c r="G117" i="1"/>
  <c r="F117" i="1"/>
  <c r="G105" i="1"/>
  <c r="F105" i="1"/>
  <c r="F93" i="1"/>
  <c r="G81" i="1"/>
  <c r="F81" i="1"/>
  <c r="G69" i="1"/>
  <c r="F69" i="1"/>
  <c r="G57" i="1"/>
  <c r="F57" i="1"/>
  <c r="G45" i="1"/>
  <c r="G33" i="1"/>
  <c r="F33" i="1"/>
  <c r="G21" i="1"/>
  <c r="F21" i="1"/>
  <c r="G9" i="1"/>
  <c r="F9" i="1"/>
  <c r="B153" i="1"/>
  <c r="B141" i="1"/>
  <c r="B129" i="1"/>
  <c r="B117" i="1"/>
  <c r="B105" i="1"/>
  <c r="B93" i="1"/>
  <c r="B81" i="1"/>
  <c r="B69" i="1"/>
  <c r="B57" i="1"/>
  <c r="B45" i="1"/>
  <c r="B33" i="1"/>
  <c r="B21" i="1"/>
  <c r="B9" i="1"/>
  <c r="J117" i="1"/>
  <c r="F142" i="5"/>
  <c r="J129" i="1"/>
  <c r="J69" i="1"/>
  <c r="G142" i="5"/>
  <c r="H142" i="5"/>
  <c r="B10" i="2"/>
  <c r="E164" i="5"/>
  <c r="D164" i="5"/>
  <c r="C164" i="5"/>
  <c r="E152" i="5"/>
  <c r="D152" i="5"/>
  <c r="C152" i="5"/>
  <c r="E140" i="5"/>
  <c r="D140" i="5"/>
  <c r="C140" i="5"/>
  <c r="E128" i="5"/>
  <c r="D128" i="5"/>
  <c r="G128" i="5"/>
  <c r="H128" i="5"/>
  <c r="C128" i="5"/>
  <c r="E116" i="5"/>
  <c r="D116" i="5"/>
  <c r="C116" i="5"/>
  <c r="E104" i="5"/>
  <c r="D104" i="5"/>
  <c r="C104" i="5"/>
  <c r="E92" i="5"/>
  <c r="D92" i="5"/>
  <c r="C92" i="5"/>
  <c r="E80" i="5"/>
  <c r="D80" i="5"/>
  <c r="C80" i="5"/>
  <c r="E68" i="5"/>
  <c r="D68" i="5"/>
  <c r="C68" i="5"/>
  <c r="E56" i="5"/>
  <c r="D56" i="5"/>
  <c r="F56" i="5"/>
  <c r="C56" i="5"/>
  <c r="E44" i="5"/>
  <c r="D44" i="5"/>
  <c r="C44" i="5"/>
  <c r="E32" i="5"/>
  <c r="D32" i="5"/>
  <c r="C32" i="5"/>
  <c r="E20" i="5"/>
  <c r="D20" i="5"/>
  <c r="F20" i="5"/>
  <c r="C20" i="5"/>
  <c r="L55" i="1"/>
  <c r="F70" i="4"/>
  <c r="F69" i="3"/>
  <c r="M69" i="1"/>
  <c r="E69" i="1"/>
  <c r="F154" i="4"/>
  <c r="F153" i="3"/>
  <c r="G31" i="2"/>
  <c r="G10" i="2"/>
  <c r="M153" i="1"/>
  <c r="E153" i="1"/>
  <c r="E80" i="4"/>
  <c r="F80" i="4"/>
  <c r="D80" i="4"/>
  <c r="C80" i="4"/>
  <c r="G70" i="4"/>
  <c r="H70" i="4"/>
  <c r="E79" i="3"/>
  <c r="D79" i="3"/>
  <c r="F79" i="3"/>
  <c r="C79" i="3"/>
  <c r="G79" i="3"/>
  <c r="G69" i="3"/>
  <c r="L79" i="1"/>
  <c r="D79" i="1"/>
  <c r="C79" i="1"/>
  <c r="I69" i="1"/>
  <c r="G154" i="4"/>
  <c r="H154" i="4"/>
  <c r="G153" i="3"/>
  <c r="I153" i="1"/>
  <c r="D19" i="1"/>
  <c r="D31" i="1"/>
  <c r="D43" i="1"/>
  <c r="D55" i="1"/>
  <c r="D67" i="1"/>
  <c r="D91" i="1"/>
  <c r="D103" i="1"/>
  <c r="D115" i="1"/>
  <c r="D127" i="1"/>
  <c r="D139" i="1"/>
  <c r="D151" i="1"/>
  <c r="D163" i="1"/>
  <c r="E163" i="1"/>
  <c r="C163" i="1"/>
  <c r="C164" i="4"/>
  <c r="D164" i="4"/>
  <c r="F164" i="4"/>
  <c r="C163" i="3"/>
  <c r="D163" i="3"/>
  <c r="E20" i="4"/>
  <c r="F20" i="4"/>
  <c r="E32" i="4"/>
  <c r="F32" i="4"/>
  <c r="E44" i="4"/>
  <c r="E56" i="4"/>
  <c r="F56" i="4"/>
  <c r="E68" i="4"/>
  <c r="E92" i="4"/>
  <c r="E104" i="4"/>
  <c r="E116" i="4"/>
  <c r="E128" i="4"/>
  <c r="E140" i="4"/>
  <c r="E152" i="4"/>
  <c r="E164" i="4"/>
  <c r="D20" i="4"/>
  <c r="D32" i="4"/>
  <c r="D44" i="4"/>
  <c r="D56" i="4"/>
  <c r="G56" i="4"/>
  <c r="H56" i="4"/>
  <c r="D68" i="4"/>
  <c r="D92" i="4"/>
  <c r="D104" i="4"/>
  <c r="D116" i="4"/>
  <c r="G116" i="4"/>
  <c r="H116" i="4"/>
  <c r="D128" i="4"/>
  <c r="G128" i="4"/>
  <c r="H128" i="4"/>
  <c r="D140" i="4"/>
  <c r="D152" i="4"/>
  <c r="C20" i="4"/>
  <c r="G20" i="4"/>
  <c r="H20" i="4"/>
  <c r="C32" i="4"/>
  <c r="C44" i="4"/>
  <c r="C56" i="4"/>
  <c r="C68" i="4"/>
  <c r="G68" i="4"/>
  <c r="H68" i="4"/>
  <c r="C92" i="4"/>
  <c r="C104" i="4"/>
  <c r="G104" i="4"/>
  <c r="H104" i="4"/>
  <c r="C116" i="4"/>
  <c r="C128" i="4"/>
  <c r="C140" i="4"/>
  <c r="C152" i="4"/>
  <c r="F118" i="4"/>
  <c r="E19" i="3"/>
  <c r="E31" i="3"/>
  <c r="E43" i="3"/>
  <c r="E55" i="3"/>
  <c r="E67" i="3"/>
  <c r="E91" i="3"/>
  <c r="E103" i="3"/>
  <c r="E115" i="3"/>
  <c r="E127" i="3"/>
  <c r="F127" i="3"/>
  <c r="E139" i="3"/>
  <c r="E151" i="3"/>
  <c r="E163" i="3"/>
  <c r="D19" i="3"/>
  <c r="F19" i="3"/>
  <c r="D31" i="3"/>
  <c r="G31" i="3"/>
  <c r="D43" i="3"/>
  <c r="D55" i="3"/>
  <c r="D67" i="3"/>
  <c r="F67" i="3"/>
  <c r="D91" i="3"/>
  <c r="G91" i="3"/>
  <c r="D103" i="3"/>
  <c r="F103" i="3"/>
  <c r="D115" i="3"/>
  <c r="D127" i="3"/>
  <c r="G127" i="3"/>
  <c r="D139" i="3"/>
  <c r="D151" i="3"/>
  <c r="C19" i="3"/>
  <c r="C31" i="3"/>
  <c r="C43" i="3"/>
  <c r="C55" i="3"/>
  <c r="C67" i="3"/>
  <c r="C91" i="3"/>
  <c r="C103" i="3"/>
  <c r="C115" i="3"/>
  <c r="G115" i="3"/>
  <c r="C127" i="3"/>
  <c r="C139" i="3"/>
  <c r="C151" i="3"/>
  <c r="F117" i="3"/>
  <c r="M117" i="1"/>
  <c r="E117" i="1"/>
  <c r="L19" i="1"/>
  <c r="L31" i="1"/>
  <c r="L43" i="1"/>
  <c r="L67" i="1"/>
  <c r="L91" i="1"/>
  <c r="L103" i="1"/>
  <c r="M103" i="1"/>
  <c r="L127" i="1"/>
  <c r="L139" i="1"/>
  <c r="L151" i="1"/>
  <c r="K19" i="1"/>
  <c r="K31" i="1"/>
  <c r="M31" i="1"/>
  <c r="C19" i="1"/>
  <c r="I19" i="1"/>
  <c r="C31" i="1"/>
  <c r="I31" i="1"/>
  <c r="C43" i="1"/>
  <c r="E43" i="1"/>
  <c r="C55" i="1"/>
  <c r="C67" i="1"/>
  <c r="C91" i="1"/>
  <c r="C103" i="1"/>
  <c r="C115" i="1"/>
  <c r="C127" i="1"/>
  <c r="E127" i="1"/>
  <c r="C139" i="1"/>
  <c r="E139" i="1"/>
  <c r="C151" i="1"/>
  <c r="E151" i="1"/>
  <c r="E129" i="1"/>
  <c r="I129" i="1"/>
  <c r="M129" i="1"/>
  <c r="K127" i="1"/>
  <c r="F142" i="4"/>
  <c r="K31" i="2"/>
  <c r="K10" i="2"/>
  <c r="K55" i="1"/>
  <c r="K67" i="1"/>
  <c r="K91" i="1"/>
  <c r="I91" i="1"/>
  <c r="K103" i="1"/>
  <c r="K115" i="1"/>
  <c r="K151" i="1"/>
  <c r="I117" i="1"/>
  <c r="G118" i="4"/>
  <c r="H118" i="4"/>
  <c r="G117" i="3"/>
  <c r="F94" i="4"/>
  <c r="F93" i="3"/>
  <c r="N31" i="2"/>
  <c r="M31" i="2"/>
  <c r="L31" i="2"/>
  <c r="J31" i="2"/>
  <c r="I31" i="2"/>
  <c r="H31" i="2"/>
  <c r="F31" i="2"/>
  <c r="E31" i="2"/>
  <c r="C31" i="2"/>
  <c r="B31" i="2"/>
  <c r="M93" i="1"/>
  <c r="E93" i="1"/>
  <c r="I10" i="2"/>
  <c r="G94" i="4"/>
  <c r="H94" i="4"/>
  <c r="G106" i="4"/>
  <c r="H106" i="4"/>
  <c r="F106" i="4"/>
  <c r="G93" i="3"/>
  <c r="I93" i="1"/>
  <c r="F10" i="4"/>
  <c r="G10" i="4"/>
  <c r="H10" i="4"/>
  <c r="I9" i="1"/>
  <c r="I21" i="1"/>
  <c r="I45" i="1"/>
  <c r="I57" i="1"/>
  <c r="I81" i="1"/>
  <c r="I105" i="1"/>
  <c r="I141" i="1"/>
  <c r="E9" i="1"/>
  <c r="M9" i="1"/>
  <c r="E21" i="1"/>
  <c r="M21" i="1"/>
  <c r="E33" i="1"/>
  <c r="E45" i="1"/>
  <c r="M45" i="1"/>
  <c r="E57" i="1"/>
  <c r="M57" i="1"/>
  <c r="E81" i="1"/>
  <c r="M81" i="1"/>
  <c r="E105" i="1"/>
  <c r="M105" i="1"/>
  <c r="E141" i="1"/>
  <c r="M141" i="1"/>
  <c r="F22" i="4"/>
  <c r="G22" i="4"/>
  <c r="H22" i="4"/>
  <c r="F34" i="4"/>
  <c r="G34" i="4"/>
  <c r="H34" i="4"/>
  <c r="F46" i="4"/>
  <c r="G46" i="4"/>
  <c r="H46" i="4"/>
  <c r="F58" i="4"/>
  <c r="G58" i="4"/>
  <c r="H58" i="4"/>
  <c r="F82" i="4"/>
  <c r="G82" i="4"/>
  <c r="H82" i="4"/>
  <c r="F130" i="4"/>
  <c r="G130" i="4"/>
  <c r="H130" i="4"/>
  <c r="G142" i="4"/>
  <c r="H142" i="4"/>
  <c r="F9" i="3"/>
  <c r="F21" i="3"/>
  <c r="G21" i="3"/>
  <c r="F33" i="3"/>
  <c r="G33" i="3"/>
  <c r="F45" i="3"/>
  <c r="G45" i="3"/>
  <c r="F57" i="3"/>
  <c r="G57" i="3"/>
  <c r="F81" i="3"/>
  <c r="G81" i="3"/>
  <c r="F105" i="3"/>
  <c r="G105" i="3"/>
  <c r="F129" i="3"/>
  <c r="G129" i="3"/>
  <c r="F141" i="3"/>
  <c r="G141" i="3"/>
  <c r="G9" i="3"/>
  <c r="C10" i="2"/>
  <c r="D10" i="2"/>
  <c r="E10" i="2"/>
  <c r="F10" i="2"/>
  <c r="H10" i="2"/>
  <c r="J10" i="2"/>
  <c r="L10" i="2"/>
  <c r="M10" i="2"/>
  <c r="N10" i="2"/>
  <c r="I33" i="1"/>
  <c r="M33" i="1"/>
  <c r="K43" i="1"/>
  <c r="I43" i="1"/>
  <c r="D31" i="2"/>
  <c r="L163" i="1"/>
  <c r="K163" i="1"/>
  <c r="K79" i="1"/>
  <c r="K139" i="1"/>
  <c r="J21" i="1"/>
  <c r="H69" i="1"/>
  <c r="J9" i="1"/>
  <c r="H21" i="1"/>
  <c r="J33" i="1"/>
  <c r="H33" i="1"/>
  <c r="H9" i="1"/>
  <c r="H117" i="1"/>
  <c r="H105" i="1"/>
  <c r="H81" i="1"/>
  <c r="H129" i="1"/>
  <c r="H141" i="1"/>
  <c r="H93" i="1"/>
  <c r="J81" i="1"/>
  <c r="J93" i="1"/>
  <c r="J57" i="1"/>
  <c r="J141" i="1"/>
  <c r="H57" i="1"/>
  <c r="J153" i="1"/>
  <c r="J105" i="1"/>
  <c r="H153" i="1"/>
  <c r="H155" i="1"/>
  <c r="H131" i="1"/>
  <c r="H119" i="1"/>
  <c r="H71" i="1"/>
  <c r="J22" i="1"/>
  <c r="H95" i="1"/>
  <c r="H23" i="1"/>
  <c r="J83" i="1"/>
  <c r="G151" i="1"/>
  <c r="H72" i="1"/>
  <c r="G55" i="1"/>
  <c r="H24" i="1"/>
  <c r="H143" i="1"/>
  <c r="H132" i="1"/>
  <c r="H108" i="1"/>
  <c r="F79" i="1"/>
  <c r="H46" i="1"/>
  <c r="H133" i="1"/>
  <c r="H73" i="1"/>
  <c r="H13" i="1"/>
  <c r="H145" i="1"/>
  <c r="F139" i="1"/>
  <c r="J139" i="1"/>
  <c r="J94" i="1"/>
  <c r="H84" i="1"/>
  <c r="J84" i="1"/>
  <c r="J61" i="1"/>
  <c r="H25" i="1"/>
  <c r="F139" i="3"/>
  <c r="J85" i="1"/>
  <c r="H49" i="1"/>
  <c r="F115" i="3"/>
  <c r="J146" i="1"/>
  <c r="F115" i="1"/>
  <c r="J110" i="1"/>
  <c r="J86" i="1"/>
  <c r="M67" i="1"/>
  <c r="H26" i="1"/>
  <c r="G152" i="4"/>
  <c r="H152" i="4"/>
  <c r="G32" i="4"/>
  <c r="H32" i="4"/>
  <c r="J39" i="1"/>
  <c r="F43" i="1"/>
  <c r="J43" i="1"/>
  <c r="G151" i="3"/>
  <c r="G167" i="3"/>
  <c r="H112" i="1"/>
  <c r="E115" i="1"/>
  <c r="E55" i="1"/>
  <c r="E31" i="1"/>
  <c r="G19" i="1"/>
  <c r="J160" i="1"/>
  <c r="H148" i="1"/>
  <c r="H87" i="1"/>
  <c r="F91" i="1"/>
  <c r="H76" i="1"/>
  <c r="F67" i="1"/>
  <c r="J67" i="1"/>
  <c r="J64" i="1"/>
  <c r="I67" i="1"/>
  <c r="J40" i="1"/>
  <c r="M167" i="1"/>
  <c r="M19" i="1"/>
  <c r="J16" i="1"/>
  <c r="H167" i="1"/>
  <c r="F92" i="4"/>
  <c r="G92" i="4"/>
  <c r="H92" i="4"/>
  <c r="F168" i="4"/>
  <c r="G164" i="4"/>
  <c r="H164" i="4"/>
  <c r="F152" i="4"/>
  <c r="F140" i="4"/>
  <c r="G140" i="4"/>
  <c r="H140" i="4"/>
  <c r="F128" i="4"/>
  <c r="F116" i="4"/>
  <c r="F104" i="4"/>
  <c r="D166" i="4"/>
  <c r="G80" i="4"/>
  <c r="H80" i="4"/>
  <c r="F68" i="4"/>
  <c r="C166" i="4"/>
  <c r="E166" i="4"/>
  <c r="F44" i="4"/>
  <c r="G44" i="4"/>
  <c r="H44" i="4"/>
  <c r="E166" i="5"/>
  <c r="F152" i="5"/>
  <c r="G152" i="5"/>
  <c r="H152" i="5"/>
  <c r="C166" i="5"/>
  <c r="D166" i="5"/>
  <c r="F163" i="3"/>
  <c r="G163" i="3"/>
  <c r="F151" i="3"/>
  <c r="G139" i="3"/>
  <c r="G103" i="3"/>
  <c r="F91" i="3"/>
  <c r="G67" i="3"/>
  <c r="F55" i="3"/>
  <c r="G55" i="3"/>
  <c r="D165" i="3"/>
  <c r="E165" i="3"/>
  <c r="G43" i="3"/>
  <c r="F43" i="3"/>
  <c r="F31" i="3"/>
  <c r="G19" i="3"/>
  <c r="C165" i="3"/>
  <c r="O39" i="2"/>
  <c r="O18" i="2"/>
  <c r="M55" i="1"/>
  <c r="M91" i="1"/>
  <c r="I167" i="1"/>
  <c r="M163" i="1"/>
  <c r="I163" i="1"/>
  <c r="H163" i="1"/>
  <c r="J163" i="1"/>
  <c r="M151" i="1"/>
  <c r="I151" i="1"/>
  <c r="H151" i="1"/>
  <c r="J151" i="1"/>
  <c r="M139" i="1"/>
  <c r="I139" i="1"/>
  <c r="H139" i="1"/>
  <c r="H121" i="1"/>
  <c r="H123" i="1"/>
  <c r="F127" i="1"/>
  <c r="H127" i="1"/>
  <c r="M127" i="1"/>
  <c r="I127" i="1"/>
  <c r="J115" i="1"/>
  <c r="I115" i="1"/>
  <c r="J103" i="1"/>
  <c r="H103" i="1"/>
  <c r="E103" i="1"/>
  <c r="I103" i="1"/>
  <c r="H91" i="1"/>
  <c r="J91" i="1"/>
  <c r="E91" i="1"/>
  <c r="M79" i="1"/>
  <c r="J79" i="1"/>
  <c r="G165" i="1"/>
  <c r="H79" i="1"/>
  <c r="D165" i="1"/>
  <c r="E79" i="1"/>
  <c r="I79" i="1"/>
  <c r="H67" i="1"/>
  <c r="E67" i="1"/>
  <c r="F55" i="1"/>
  <c r="H55" i="1"/>
  <c r="J51" i="1"/>
  <c r="I55" i="1"/>
  <c r="M43" i="1"/>
  <c r="H43" i="1"/>
  <c r="F31" i="1"/>
  <c r="K165" i="1"/>
  <c r="J11" i="1"/>
  <c r="E19" i="1"/>
  <c r="C165" i="1"/>
  <c r="H19" i="1"/>
  <c r="J19" i="1"/>
  <c r="D23" i="2"/>
  <c r="L23" i="2"/>
  <c r="K23" i="2"/>
  <c r="H23" i="2"/>
  <c r="F23" i="2"/>
  <c r="G44" i="2"/>
  <c r="O14" i="2"/>
  <c r="B23" i="2"/>
  <c r="B44" i="2"/>
  <c r="O10" i="2"/>
  <c r="O33" i="2"/>
  <c r="O13" i="2"/>
  <c r="H44" i="2"/>
  <c r="J23" i="2"/>
  <c r="O35" i="2"/>
  <c r="O36" i="2"/>
  <c r="O16" i="2"/>
  <c r="O37" i="2"/>
  <c r="N44" i="2"/>
  <c r="O17" i="2"/>
  <c r="O38" i="2"/>
  <c r="O32" i="2"/>
  <c r="J44" i="2"/>
  <c r="O12" i="2"/>
  <c r="I23" i="2"/>
  <c r="I44" i="2"/>
  <c r="O34" i="2"/>
  <c r="K44" i="2"/>
  <c r="E23" i="2"/>
  <c r="M23" i="2"/>
  <c r="O15" i="2"/>
  <c r="L44" i="2"/>
  <c r="G23" i="2"/>
  <c r="C23" i="2"/>
  <c r="E44" i="2"/>
  <c r="M44" i="2"/>
  <c r="N23" i="2"/>
  <c r="D44" i="2"/>
  <c r="O11" i="2"/>
  <c r="C44" i="2"/>
  <c r="O31" i="2"/>
  <c r="F44" i="2"/>
  <c r="F166" i="4"/>
  <c r="G166" i="4"/>
  <c r="H166" i="4"/>
  <c r="G166" i="5"/>
  <c r="H166" i="5"/>
  <c r="F166" i="5"/>
  <c r="F165" i="3"/>
  <c r="G165" i="3"/>
  <c r="J127" i="1"/>
  <c r="E165" i="1"/>
  <c r="F165" i="1"/>
  <c r="J165" i="1"/>
  <c r="J55" i="1"/>
  <c r="H31" i="1"/>
  <c r="J31" i="1"/>
  <c r="I165" i="1"/>
  <c r="O44" i="2"/>
  <c r="O23" i="2"/>
  <c r="H165" i="1"/>
  <c r="L115" i="1"/>
  <c r="M115" i="1"/>
  <c r="L165" i="1"/>
  <c r="M165" i="1"/>
</calcChain>
</file>

<file path=xl/sharedStrings.xml><?xml version="1.0" encoding="utf-8"?>
<sst xmlns="http://schemas.openxmlformats.org/spreadsheetml/2006/main" count="241" uniqueCount="79">
  <si>
    <t>MISSOURI GAMING COMMISSION</t>
  </si>
  <si>
    <t>CURR YR</t>
  </si>
  <si>
    <t>CURR</t>
  </si>
  <si>
    <t>PRIOR YR</t>
  </si>
  <si>
    <t>WIN PER</t>
  </si>
  <si>
    <t xml:space="preserve">BOAT </t>
  </si>
  <si>
    <t>YEAR</t>
  </si>
  <si>
    <t>ADMISSIONS</t>
  </si>
  <si>
    <t>% CHG</t>
  </si>
  <si>
    <t>PATRONS</t>
  </si>
  <si>
    <t>ADMISSION</t>
  </si>
  <si>
    <t>PATRON</t>
  </si>
  <si>
    <t>TOTAL AGR</t>
  </si>
  <si>
    <t>ARGOSY</t>
  </si>
  <si>
    <t xml:space="preserve">      TOTALS:</t>
  </si>
  <si>
    <t>IOC - BOONVILLE</t>
  </si>
  <si>
    <t xml:space="preserve">AMERISTAR KC </t>
  </si>
  <si>
    <t>AMERISTAR SC</t>
  </si>
  <si>
    <t>STATE TOTALS FYTD:</t>
  </si>
  <si>
    <t>STATE TOTALS MTD:</t>
  </si>
  <si>
    <t>NOTE:  1)    The figures in this report are subject to adjustment.</t>
  </si>
  <si>
    <t>FISCAL YTD ADMISSION FEES &amp; GAMING TAX BY LICENSED OPERATOR</t>
  </si>
  <si>
    <t>ADMISSIONS FEES</t>
  </si>
  <si>
    <t>STATE</t>
  </si>
  <si>
    <t>MONTH</t>
  </si>
  <si>
    <t>AMERISTAR KC</t>
  </si>
  <si>
    <t>TOTAL</t>
  </si>
  <si>
    <t>TOTALS</t>
  </si>
  <si>
    <t>GAMING TAX</t>
  </si>
  <si>
    <t>NOTE:  THE FIGURES IN THIS REPORT ARE SUBJECT TO ADJUSTMENT</t>
  </si>
  <si>
    <t xml:space="preserve">TABLE GAMES - FISCAL YTD  ANALYSIS OF HOLD % BY BOAT </t>
  </si>
  <si>
    <t>CURR YEAR</t>
  </si>
  <si>
    <t>ACTUAL</t>
  </si>
  <si>
    <t>TABLE DROP</t>
  </si>
  <si>
    <t>TABLE WIN</t>
  </si>
  <si>
    <t>HOLD %</t>
  </si>
  <si>
    <t>ARGOSY RIVERSIDE</t>
  </si>
  <si>
    <t xml:space="preserve">AMERISTAR SC </t>
  </si>
  <si>
    <t>STATE TOTALS FISCAL YTD:</t>
  </si>
  <si>
    <t>STATE TOTALS CURR MONTH:</t>
  </si>
  <si>
    <t>NOTE:  The figures in this report are subject to adjustment.</t>
  </si>
  <si>
    <t>ELECTRONIC GAMING DEVICES</t>
  </si>
  <si>
    <t xml:space="preserve">FISCAL YTD ANALYSIS OF HOLD &amp; PAYOUT % BY BOAT </t>
  </si>
  <si>
    <t>CURRENT YEAR</t>
  </si>
  <si>
    <t>SLOT</t>
  </si>
  <si>
    <t>HANDLE</t>
  </si>
  <si>
    <t>SLOT WIN</t>
  </si>
  <si>
    <t>PAYOUT %</t>
  </si>
  <si>
    <t xml:space="preserve">IOC - BOONVILLE </t>
  </si>
  <si>
    <t>NOTE:    The figures in this report are subject to adjustment.</t>
  </si>
  <si>
    <t>MARK TWAIN</t>
  </si>
  <si>
    <t xml:space="preserve">ST. JO </t>
  </si>
  <si>
    <t>RIVER CITY</t>
  </si>
  <si>
    <t xml:space="preserve">RIVER CITY </t>
  </si>
  <si>
    <t xml:space="preserve">MARK TWAIN </t>
  </si>
  <si>
    <t>HOLLYWOOD</t>
  </si>
  <si>
    <t>ST. JO FRONTIER</t>
  </si>
  <si>
    <t xml:space="preserve">ST. JO FRONTIER </t>
  </si>
  <si>
    <t xml:space="preserve">HOLLYWOOD </t>
  </si>
  <si>
    <t>HYBRID TABLES</t>
  </si>
  <si>
    <t>HARRAHS KC</t>
  </si>
  <si>
    <t xml:space="preserve">CENTURY- CAPE </t>
  </si>
  <si>
    <t>CENTURY-CARUTHERSVILLE</t>
  </si>
  <si>
    <t>CENTURY - CAPE</t>
  </si>
  <si>
    <t>CENTURY-CAPE</t>
  </si>
  <si>
    <t>HYBRID</t>
  </si>
  <si>
    <t>HYBRID WIN</t>
  </si>
  <si>
    <t>BALLY'S KANSAS CITY</t>
  </si>
  <si>
    <t>BALLY'S KC</t>
  </si>
  <si>
    <t>HORSESHOE ST. LOUIS</t>
  </si>
  <si>
    <t>HORSESHOE STL</t>
  </si>
  <si>
    <t xml:space="preserve">FISCAL 2024 YTD ADMISSIONS, PATRONS AND AGR SUMMARY </t>
  </si>
  <si>
    <t>MONTH ENDED:  MARCH 31, 2024</t>
  </si>
  <si>
    <t>(as reported on the tax remittal database dtd 4/9/24)</t>
  </si>
  <si>
    <t>FOR THE MONTH ENDED:  MARCH 31, 2024</t>
  </si>
  <si>
    <t>THRU MONTH ENDED:   MARCH 31, 2024</t>
  </si>
  <si>
    <t>THRU MONTH ENDED:    MARCH 31, 2024</t>
  </si>
  <si>
    <t>THRU MONTH ENDED:     MARCH 31, 2024</t>
  </si>
  <si>
    <t>(as reported on the tax remittal database as of 4/9/24)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</si>
</sst>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General;[Red]\-General"/>
    <numFmt numFmtId="165" formatCode="0.000%"/>
    <numFmt numFmtId="166" formatCode="#,##0.00;[Red]\-#,##0.00"/>
    <numFmt numFmtId="167" formatCode="0.0%"/>
  </numFmts>
  <fonts count="18" x14ac:knownFonts="1">
    <font>
      <sz val="12"/>
      <name val="Arial"/>
    </font>
    <font>
      <b/>
      <sz val="10"/>
      <name val="Arial"/>
    </font>
    <font>
      <sz val="12"/>
      <name val="Arial"/>
    </font>
    <font>
      <b/>
      <sz val="14"/>
      <name val="Arial"/>
    </font>
    <font>
      <b/>
      <i/>
      <sz val="14"/>
      <name val="Arial"/>
    </font>
    <font>
      <b/>
      <sz val="11"/>
      <name val="Arial"/>
    </font>
    <font>
      <b/>
      <sz val="12"/>
      <name val="Arial"/>
    </font>
    <font>
      <b/>
      <u/>
      <sz val="12"/>
      <name val="Arial"/>
    </font>
    <font>
      <b/>
      <sz val="18"/>
      <name val="Arial"/>
    </font>
    <font>
      <b/>
      <i/>
      <u/>
      <sz val="14"/>
      <name val="Arial"/>
    </font>
    <font>
      <b/>
      <i/>
      <u/>
      <sz val="14"/>
      <name val="Arial"/>
      <family val="2"/>
    </font>
    <font>
      <b/>
      <sz val="12"/>
      <name val="Arial"/>
      <family val="2"/>
    </font>
    <font>
      <b/>
      <u/>
      <sz val="12"/>
      <name val="Arial"/>
      <family val="2"/>
    </font>
    <font>
      <b/>
      <sz val="14"/>
      <name val="Arial"/>
      <family val="2"/>
    </font>
    <font>
      <b/>
      <i/>
      <sz val="12"/>
      <name val="Arial"/>
      <family val="2"/>
    </font>
    <font>
      <b/>
      <sz val="18"/>
      <name val="Arial"/>
      <family val="2"/>
    </font>
    <font>
      <i/>
      <sz val="12"/>
      <name val="Arial"/>
      <family val="2"/>
    </font>
    <font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5"/>
        <bgColor indexed="64"/>
      </patternFill>
    </fill>
  </fills>
  <borders count="22">
    <border>
      <left/>
      <right/>
      <top/>
      <bottom/>
      <diagonal/>
    </border>
    <border>
      <left style="thick">
        <color indexed="8"/>
      </left>
      <right/>
      <top style="thick">
        <color indexed="8"/>
      </top>
      <bottom/>
      <diagonal/>
    </border>
    <border>
      <left style="thin">
        <color indexed="8"/>
      </left>
      <right/>
      <top style="thick">
        <color indexed="8"/>
      </top>
      <bottom/>
      <diagonal/>
    </border>
    <border>
      <left style="thin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ck">
        <color indexed="8"/>
      </right>
      <top/>
      <bottom/>
      <diagonal/>
    </border>
    <border>
      <left style="thick">
        <color indexed="8"/>
      </left>
      <right/>
      <top style="thick">
        <color indexed="8"/>
      </top>
      <bottom style="thick">
        <color indexed="8"/>
      </bottom>
      <diagonal/>
    </border>
    <border>
      <left style="thin">
        <color indexed="8"/>
      </left>
      <right/>
      <top style="thick">
        <color indexed="8"/>
      </top>
      <bottom style="thick">
        <color indexed="8"/>
      </bottom>
      <diagonal/>
    </border>
    <border>
      <left style="thin">
        <color indexed="8"/>
      </left>
      <right style="thick">
        <color indexed="8"/>
      </right>
      <top style="thick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 style="thick">
        <color indexed="8"/>
      </bottom>
      <diagonal/>
    </border>
    <border>
      <left/>
      <right/>
      <top style="thick">
        <color indexed="8"/>
      </top>
      <bottom style="thick">
        <color indexed="8"/>
      </bottom>
      <diagonal/>
    </border>
    <border>
      <left style="thick">
        <color indexed="8"/>
      </left>
      <right style="thin">
        <color indexed="8"/>
      </right>
      <top style="thick">
        <color indexed="8"/>
      </top>
      <bottom style="thick">
        <color indexed="8"/>
      </bottom>
      <diagonal/>
    </border>
    <border>
      <left/>
      <right/>
      <top style="thick">
        <color indexed="8"/>
      </top>
      <bottom/>
      <diagonal/>
    </border>
    <border>
      <left style="thick">
        <color indexed="8"/>
      </left>
      <right/>
      <top style="thin">
        <color indexed="8"/>
      </top>
      <bottom/>
      <diagonal/>
    </border>
    <border>
      <left style="thick">
        <color indexed="8"/>
      </left>
      <right/>
      <top/>
      <bottom style="thick">
        <color indexed="8"/>
      </bottom>
      <diagonal/>
    </border>
    <border>
      <left style="thin">
        <color indexed="8"/>
      </left>
      <right/>
      <top/>
      <bottom style="thick">
        <color indexed="8"/>
      </bottom>
      <diagonal/>
    </border>
    <border>
      <left style="thin">
        <color indexed="8"/>
      </left>
      <right style="thick">
        <color indexed="8"/>
      </right>
      <top/>
      <bottom style="thick">
        <color indexed="8"/>
      </bottom>
      <diagonal/>
    </border>
    <border>
      <left style="thick">
        <color indexed="8"/>
      </left>
      <right style="thin">
        <color indexed="8"/>
      </right>
      <top style="thick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/>
      <right style="thick">
        <color indexed="8"/>
      </right>
      <top style="thick">
        <color indexed="8"/>
      </top>
      <bottom style="thick">
        <color indexed="8"/>
      </bottom>
      <diagonal/>
    </border>
    <border>
      <left/>
      <right style="thin">
        <color indexed="8"/>
      </right>
      <top style="thick">
        <color indexed="8"/>
      </top>
      <bottom style="thick">
        <color indexed="8"/>
      </bottom>
      <diagonal/>
    </border>
  </borders>
  <cellStyleXfs count="4">
    <xf numFmtId="164" fontId="0" fillId="0" borderId="0"/>
    <xf numFmtId="0" fontId="2" fillId="0" borderId="0"/>
    <xf numFmtId="0" fontId="2" fillId="0" borderId="0"/>
    <xf numFmtId="0" fontId="2" fillId="0" borderId="0"/>
  </cellStyleXfs>
  <cellXfs count="297">
    <xf numFmtId="164" fontId="2" fillId="0" borderId="0" xfId="0" applyNumberFormat="1" applyFont="1" applyAlignment="1" applyProtection="1">
      <protection locked="0"/>
    </xf>
    <xf numFmtId="0" fontId="3" fillId="0" borderId="0" xfId="0" applyNumberFormat="1" applyFont="1" applyAlignment="1"/>
    <xf numFmtId="164" fontId="0" fillId="0" borderId="0" xfId="0" applyFont="1" applyAlignment="1"/>
    <xf numFmtId="164" fontId="0" fillId="0" borderId="0" xfId="0" applyNumberFormat="1" applyFont="1" applyAlignment="1" applyProtection="1">
      <protection locked="0"/>
    </xf>
    <xf numFmtId="0" fontId="4" fillId="0" borderId="0" xfId="0" applyNumberFormat="1" applyFont="1" applyAlignment="1"/>
    <xf numFmtId="164" fontId="1" fillId="0" borderId="0" xfId="0" applyFont="1" applyAlignment="1">
      <alignment horizontal="center"/>
    </xf>
    <xf numFmtId="164" fontId="0" fillId="2" borderId="1" xfId="0" applyFont="1" applyFill="1" applyBorder="1" applyAlignment="1"/>
    <xf numFmtId="164" fontId="5" fillId="2" borderId="2" xfId="0" applyFont="1" applyFill="1" applyBorder="1" applyAlignment="1">
      <alignment horizontal="center"/>
    </xf>
    <xf numFmtId="164" fontId="5" fillId="3" borderId="2" xfId="0" applyFont="1" applyFill="1" applyBorder="1" applyAlignment="1">
      <alignment horizontal="center"/>
    </xf>
    <xf numFmtId="164" fontId="5" fillId="3" borderId="3" xfId="0" applyFont="1" applyFill="1" applyBorder="1" applyAlignment="1">
      <alignment horizontal="center"/>
    </xf>
    <xf numFmtId="164" fontId="0" fillId="0" borderId="0" xfId="0" applyBorder="1"/>
    <xf numFmtId="164" fontId="6" fillId="2" borderId="4" xfId="0" applyFont="1" applyFill="1" applyBorder="1" applyAlignment="1">
      <alignment horizontal="center"/>
    </xf>
    <xf numFmtId="164" fontId="5" fillId="2" borderId="5" xfId="0" applyFont="1" applyFill="1" applyBorder="1" applyAlignment="1">
      <alignment horizontal="center"/>
    </xf>
    <xf numFmtId="164" fontId="0" fillId="3" borderId="5" xfId="0" applyFill="1" applyBorder="1" applyAlignment="1">
      <alignment horizontal="center"/>
    </xf>
    <xf numFmtId="164" fontId="5" fillId="3" borderId="6" xfId="0" applyFont="1" applyFill="1" applyBorder="1" applyAlignment="1">
      <alignment horizontal="center"/>
    </xf>
    <xf numFmtId="164" fontId="7" fillId="0" borderId="1" xfId="0" applyFont="1" applyBorder="1" applyAlignment="1">
      <alignment horizontal="center"/>
    </xf>
    <xf numFmtId="164" fontId="7" fillId="0" borderId="2" xfId="0" applyFont="1" applyBorder="1" applyAlignment="1">
      <alignment horizontal="center"/>
    </xf>
    <xf numFmtId="164" fontId="7" fillId="3" borderId="2" xfId="0" applyFont="1" applyFill="1" applyBorder="1" applyAlignment="1">
      <alignment horizontal="center"/>
    </xf>
    <xf numFmtId="164" fontId="7" fillId="3" borderId="3" xfId="0" applyFont="1" applyFill="1" applyBorder="1" applyAlignment="1">
      <alignment horizontal="center"/>
    </xf>
    <xf numFmtId="166" fontId="6" fillId="0" borderId="4" xfId="0" applyNumberFormat="1" applyFont="1" applyBorder="1" applyAlignment="1"/>
    <xf numFmtId="17" fontId="0" fillId="0" borderId="5" xfId="0" applyNumberFormat="1" applyFont="1" applyBorder="1" applyAlignment="1">
      <alignment horizontal="center"/>
    </xf>
    <xf numFmtId="3" fontId="0" fillId="0" borderId="5" xfId="0" applyNumberFormat="1" applyFont="1" applyBorder="1" applyAlignment="1">
      <alignment horizontal="center"/>
    </xf>
    <xf numFmtId="3" fontId="0" fillId="0" borderId="5" xfId="0" applyNumberFormat="1" applyBorder="1" applyAlignment="1">
      <alignment horizontal="center"/>
    </xf>
    <xf numFmtId="9" fontId="0" fillId="3" borderId="5" xfId="0" applyNumberFormat="1" applyFont="1" applyFill="1" applyBorder="1" applyAlignment="1">
      <alignment horizontal="center"/>
    </xf>
    <xf numFmtId="4" fontId="0" fillId="0" borderId="5" xfId="0" applyNumberFormat="1" applyFont="1" applyBorder="1" applyAlignment="1">
      <alignment horizontal="center"/>
    </xf>
    <xf numFmtId="9" fontId="0" fillId="3" borderId="6" xfId="0" applyNumberFormat="1" applyFont="1" applyFill="1" applyBorder="1" applyAlignment="1">
      <alignment horizontal="center"/>
    </xf>
    <xf numFmtId="166" fontId="6" fillId="2" borderId="1" xfId="0" applyNumberFormat="1" applyFont="1" applyFill="1" applyBorder="1" applyAlignment="1"/>
    <xf numFmtId="164" fontId="0" fillId="2" borderId="2" xfId="0" applyFont="1" applyFill="1" applyBorder="1" applyAlignment="1">
      <alignment horizontal="center"/>
    </xf>
    <xf numFmtId="3" fontId="6" fillId="2" borderId="2" xfId="0" applyNumberFormat="1" applyFont="1" applyFill="1" applyBorder="1" applyAlignment="1">
      <alignment horizontal="center"/>
    </xf>
    <xf numFmtId="9" fontId="0" fillId="3" borderId="2" xfId="0" applyNumberFormat="1" applyFont="1" applyFill="1" applyBorder="1" applyAlignment="1">
      <alignment horizontal="center"/>
    </xf>
    <xf numFmtId="9" fontId="6" fillId="3" borderId="2" xfId="0" applyNumberFormat="1" applyFont="1" applyFill="1" applyBorder="1" applyAlignment="1">
      <alignment horizontal="center"/>
    </xf>
    <xf numFmtId="4" fontId="6" fillId="2" borderId="2" xfId="0" applyNumberFormat="1" applyFont="1" applyFill="1" applyBorder="1" applyAlignment="1">
      <alignment horizontal="center"/>
    </xf>
    <xf numFmtId="9" fontId="6" fillId="3" borderId="3" xfId="0" applyNumberFormat="1" applyFont="1" applyFill="1" applyBorder="1" applyAlignment="1">
      <alignment horizontal="center"/>
    </xf>
    <xf numFmtId="166" fontId="6" fillId="0" borderId="1" xfId="0" applyNumberFormat="1" applyFont="1" applyBorder="1" applyAlignment="1"/>
    <xf numFmtId="164" fontId="0" fillId="0" borderId="2" xfId="0" applyFont="1" applyBorder="1" applyAlignment="1">
      <alignment horizontal="center"/>
    </xf>
    <xf numFmtId="3" fontId="0" fillId="0" borderId="2" xfId="0" applyNumberFormat="1" applyFont="1" applyBorder="1" applyAlignment="1">
      <alignment horizontal="center"/>
    </xf>
    <xf numFmtId="4" fontId="0" fillId="0" borderId="2" xfId="0" applyNumberFormat="1" applyFont="1" applyBorder="1" applyAlignment="1">
      <alignment horizontal="center"/>
    </xf>
    <xf numFmtId="9" fontId="0" fillId="3" borderId="3" xfId="0" applyNumberFormat="1" applyFont="1" applyFill="1" applyBorder="1" applyAlignment="1">
      <alignment horizontal="center"/>
    </xf>
    <xf numFmtId="166" fontId="0" fillId="0" borderId="4" xfId="0" applyNumberFormat="1" applyFont="1" applyBorder="1" applyAlignment="1"/>
    <xf numFmtId="166" fontId="6" fillId="2" borderId="7" xfId="0" applyNumberFormat="1" applyFont="1" applyFill="1" applyBorder="1" applyAlignment="1"/>
    <xf numFmtId="164" fontId="0" fillId="2" borderId="8" xfId="0" applyFont="1" applyFill="1" applyBorder="1" applyAlignment="1">
      <alignment horizontal="center"/>
    </xf>
    <xf numFmtId="3" fontId="6" fillId="2" borderId="8" xfId="0" applyNumberFormat="1" applyFont="1" applyFill="1" applyBorder="1" applyAlignment="1">
      <alignment horizontal="center"/>
    </xf>
    <xf numFmtId="9" fontId="6" fillId="3" borderId="8" xfId="0" applyNumberFormat="1" applyFont="1" applyFill="1" applyBorder="1" applyAlignment="1">
      <alignment horizontal="center"/>
    </xf>
    <xf numFmtId="4" fontId="6" fillId="2" borderId="8" xfId="0" applyNumberFormat="1" applyFont="1" applyFill="1" applyBorder="1" applyAlignment="1">
      <alignment horizontal="center"/>
    </xf>
    <xf numFmtId="9" fontId="6" fillId="3" borderId="9" xfId="0" applyNumberFormat="1" applyFont="1" applyFill="1" applyBorder="1" applyAlignment="1">
      <alignment horizontal="center"/>
    </xf>
    <xf numFmtId="164" fontId="0" fillId="0" borderId="5" xfId="0" applyFont="1" applyBorder="1" applyAlignment="1">
      <alignment horizontal="center"/>
    </xf>
    <xf numFmtId="9" fontId="0" fillId="3" borderId="10" xfId="0" applyNumberFormat="1" applyFont="1" applyFill="1" applyBorder="1" applyAlignment="1">
      <alignment horizontal="center"/>
    </xf>
    <xf numFmtId="3" fontId="6" fillId="2" borderId="11" xfId="0" applyNumberFormat="1" applyFont="1" applyFill="1" applyBorder="1" applyAlignment="1">
      <alignment horizontal="center"/>
    </xf>
    <xf numFmtId="3" fontId="6" fillId="2" borderId="10" xfId="0" applyNumberFormat="1" applyFont="1" applyFill="1" applyBorder="1" applyAlignment="1">
      <alignment horizontal="center"/>
    </xf>
    <xf numFmtId="9" fontId="6" fillId="3" borderId="11" xfId="0" applyNumberFormat="1" applyFont="1" applyFill="1" applyBorder="1" applyAlignment="1">
      <alignment horizontal="center"/>
    </xf>
    <xf numFmtId="4" fontId="6" fillId="2" borderId="10" xfId="0" applyNumberFormat="1" applyFont="1" applyFill="1" applyBorder="1" applyAlignment="1">
      <alignment horizontal="center"/>
    </xf>
    <xf numFmtId="4" fontId="6" fillId="2" borderId="11" xfId="0" applyNumberFormat="1" applyFont="1" applyFill="1" applyBorder="1" applyAlignment="1">
      <alignment horizontal="center"/>
    </xf>
    <xf numFmtId="164" fontId="0" fillId="2" borderId="10" xfId="0" applyFont="1" applyFill="1" applyBorder="1" applyAlignment="1">
      <alignment horizontal="center"/>
    </xf>
    <xf numFmtId="9" fontId="6" fillId="3" borderId="10" xfId="0" applyNumberFormat="1" applyFont="1" applyFill="1" applyBorder="1" applyAlignment="1">
      <alignment horizontal="center"/>
    </xf>
    <xf numFmtId="164" fontId="0" fillId="0" borderId="1" xfId="0" applyNumberFormat="1" applyBorder="1"/>
    <xf numFmtId="164" fontId="0" fillId="0" borderId="2" xfId="0" applyNumberFormat="1" applyBorder="1"/>
    <xf numFmtId="164" fontId="0" fillId="3" borderId="2" xfId="0" applyNumberFormat="1" applyFont="1" applyFill="1" applyBorder="1" applyAlignment="1"/>
    <xf numFmtId="164" fontId="0" fillId="3" borderId="3" xfId="0" applyNumberFormat="1" applyFont="1" applyFill="1" applyBorder="1" applyAlignment="1"/>
    <xf numFmtId="164" fontId="0" fillId="0" borderId="4" xfId="0" applyNumberFormat="1" applyBorder="1"/>
    <xf numFmtId="164" fontId="0" fillId="0" borderId="5" xfId="0" applyNumberFormat="1" applyBorder="1"/>
    <xf numFmtId="164" fontId="0" fillId="3" borderId="5" xfId="0" applyNumberFormat="1" applyFont="1" applyFill="1" applyBorder="1" applyAlignment="1"/>
    <xf numFmtId="164" fontId="0" fillId="3" borderId="6" xfId="0" applyNumberFormat="1" applyFont="1" applyFill="1" applyBorder="1" applyAlignment="1"/>
    <xf numFmtId="166" fontId="6" fillId="2" borderId="12" xfId="0" applyNumberFormat="1" applyFont="1" applyFill="1" applyBorder="1" applyAlignment="1"/>
    <xf numFmtId="166" fontId="0" fillId="0" borderId="1" xfId="0" applyNumberFormat="1" applyFont="1" applyBorder="1" applyAlignment="1"/>
    <xf numFmtId="166" fontId="6" fillId="2" borderId="1" xfId="0" applyNumberFormat="1" applyFont="1" applyFill="1" applyBorder="1" applyAlignment="1">
      <alignment horizontal="center"/>
    </xf>
    <xf numFmtId="164" fontId="6" fillId="2" borderId="2" xfId="0" applyFont="1" applyFill="1" applyBorder="1" applyAlignment="1">
      <alignment horizontal="center"/>
    </xf>
    <xf numFmtId="166" fontId="0" fillId="0" borderId="13" xfId="0" applyNumberFormat="1" applyFont="1" applyBorder="1" applyAlignment="1"/>
    <xf numFmtId="164" fontId="0" fillId="0" borderId="13" xfId="0" applyFont="1" applyBorder="1" applyAlignment="1">
      <alignment horizontal="center"/>
    </xf>
    <xf numFmtId="3" fontId="0" fillId="0" borderId="13" xfId="0" applyNumberFormat="1" applyFont="1" applyBorder="1" applyAlignment="1">
      <alignment horizontal="center"/>
    </xf>
    <xf numFmtId="166" fontId="3" fillId="0" borderId="0" xfId="0" applyNumberFormat="1" applyFont="1" applyAlignment="1"/>
    <xf numFmtId="164" fontId="0" fillId="0" borderId="0" xfId="0" applyFont="1" applyAlignment="1">
      <alignment horizontal="center"/>
    </xf>
    <xf numFmtId="4" fontId="6" fillId="0" borderId="0" xfId="0" applyNumberFormat="1" applyFont="1" applyAlignment="1"/>
    <xf numFmtId="0" fontId="6" fillId="0" borderId="0" xfId="0" applyNumberFormat="1" applyFont="1" applyAlignment="1"/>
    <xf numFmtId="17" fontId="0" fillId="0" borderId="0" xfId="0" applyNumberFormat="1" applyFont="1" applyAlignment="1">
      <alignment horizontal="center"/>
    </xf>
    <xf numFmtId="4" fontId="0" fillId="0" borderId="0" xfId="0" applyNumberFormat="1" applyFont="1" applyAlignment="1"/>
    <xf numFmtId="165" fontId="0" fillId="0" borderId="0" xfId="0" applyNumberFormat="1" applyFont="1" applyAlignment="1"/>
    <xf numFmtId="164" fontId="6" fillId="0" borderId="0" xfId="0" applyFont="1" applyAlignment="1"/>
    <xf numFmtId="17" fontId="0" fillId="0" borderId="0" xfId="0" applyNumberFormat="1" applyFont="1" applyAlignment="1"/>
    <xf numFmtId="0" fontId="8" fillId="0" borderId="0" xfId="3" applyFont="1" applyAlignment="1"/>
    <xf numFmtId="0" fontId="2" fillId="0" borderId="0" xfId="3" applyFont="1" applyAlignment="1"/>
    <xf numFmtId="0" fontId="2" fillId="0" borderId="0" xfId="3" applyNumberFormat="1" applyFont="1" applyAlignment="1" applyProtection="1">
      <protection locked="0"/>
    </xf>
    <xf numFmtId="0" fontId="2" fillId="3" borderId="1" xfId="3" applyFont="1" applyFill="1" applyBorder="1" applyAlignment="1"/>
    <xf numFmtId="0" fontId="6" fillId="3" borderId="1" xfId="3" applyFont="1" applyFill="1" applyBorder="1" applyAlignment="1">
      <alignment horizontal="center"/>
    </xf>
    <xf numFmtId="0" fontId="2" fillId="0" borderId="4" xfId="3" applyNumberFormat="1" applyBorder="1"/>
    <xf numFmtId="0" fontId="7" fillId="3" borderId="4" xfId="3" applyFont="1" applyFill="1" applyBorder="1" applyAlignment="1">
      <alignment horizontal="center"/>
    </xf>
    <xf numFmtId="0" fontId="2" fillId="3" borderId="4" xfId="3" applyFont="1" applyFill="1" applyBorder="1" applyAlignment="1"/>
    <xf numFmtId="0" fontId="2" fillId="2" borderId="1" xfId="3" applyFont="1" applyFill="1" applyBorder="1" applyAlignment="1"/>
    <xf numFmtId="0" fontId="2" fillId="0" borderId="1" xfId="3" applyFont="1" applyBorder="1" applyAlignment="1"/>
    <xf numFmtId="17" fontId="2" fillId="0" borderId="14" xfId="3" applyNumberFormat="1" applyFont="1" applyBorder="1" applyAlignment="1">
      <alignment horizontal="center"/>
    </xf>
    <xf numFmtId="3" fontId="2" fillId="0" borderId="14" xfId="3" applyNumberFormat="1" applyFont="1" applyBorder="1" applyAlignment="1">
      <alignment horizontal="center"/>
    </xf>
    <xf numFmtId="3" fontId="6" fillId="0" borderId="14" xfId="3" applyNumberFormat="1" applyFont="1" applyBorder="1" applyAlignment="1">
      <alignment horizontal="center"/>
    </xf>
    <xf numFmtId="17" fontId="7" fillId="0" borderId="14" xfId="3" applyNumberFormat="1" applyFont="1" applyBorder="1" applyAlignment="1">
      <alignment horizontal="center"/>
    </xf>
    <xf numFmtId="17" fontId="6" fillId="0" borderId="14" xfId="3" applyNumberFormat="1" applyFont="1" applyBorder="1" applyAlignment="1">
      <alignment horizontal="center"/>
    </xf>
    <xf numFmtId="17" fontId="2" fillId="0" borderId="13" xfId="3" applyNumberFormat="1" applyFont="1" applyBorder="1" applyAlignment="1">
      <alignment horizontal="center"/>
    </xf>
    <xf numFmtId="0" fontId="2" fillId="0" borderId="13" xfId="3" applyFont="1" applyBorder="1" applyAlignment="1">
      <alignment horizontal="center"/>
    </xf>
    <xf numFmtId="0" fontId="2" fillId="0" borderId="13" xfId="3" applyNumberFormat="1" applyFont="1" applyBorder="1" applyAlignment="1">
      <alignment horizontal="center"/>
    </xf>
    <xf numFmtId="17" fontId="8" fillId="0" borderId="0" xfId="3" applyNumberFormat="1" applyFont="1" applyAlignment="1">
      <alignment horizontal="centerContinuous"/>
    </xf>
    <xf numFmtId="0" fontId="8" fillId="0" borderId="0" xfId="3" applyNumberFormat="1" applyFont="1" applyAlignment="1">
      <alignment horizontal="centerContinuous"/>
    </xf>
    <xf numFmtId="0" fontId="2" fillId="0" borderId="0" xfId="3" applyFont="1" applyAlignment="1">
      <alignment horizontal="center"/>
    </xf>
    <xf numFmtId="0" fontId="2" fillId="0" borderId="0" xfId="3" applyNumberFormat="1" applyFont="1" applyAlignment="1">
      <alignment horizontal="center"/>
    </xf>
    <xf numFmtId="17" fontId="2" fillId="3" borderId="1" xfId="3" applyNumberFormat="1" applyFont="1" applyFill="1" applyBorder="1" applyAlignment="1">
      <alignment horizontal="center"/>
    </xf>
    <xf numFmtId="0" fontId="2" fillId="3" borderId="1" xfId="3" applyFont="1" applyFill="1" applyBorder="1" applyAlignment="1">
      <alignment horizontal="center"/>
    </xf>
    <xf numFmtId="0" fontId="7" fillId="3" borderId="1" xfId="3" applyFont="1" applyFill="1" applyBorder="1" applyAlignment="1">
      <alignment horizontal="center"/>
    </xf>
    <xf numFmtId="0" fontId="2" fillId="3" borderId="1" xfId="3" applyNumberFormat="1" applyFont="1" applyFill="1" applyBorder="1" applyAlignment="1">
      <alignment horizontal="center"/>
    </xf>
    <xf numFmtId="0" fontId="6" fillId="3" borderId="1" xfId="3" applyNumberFormat="1" applyFont="1" applyFill="1" applyBorder="1" applyAlignment="1">
      <alignment horizontal="center"/>
    </xf>
    <xf numFmtId="17" fontId="7" fillId="3" borderId="4" xfId="3" applyNumberFormat="1" applyFont="1" applyFill="1" applyBorder="1" applyAlignment="1">
      <alignment horizontal="center"/>
    </xf>
    <xf numFmtId="0" fontId="7" fillId="3" borderId="4" xfId="3" applyNumberFormat="1" applyFont="1" applyFill="1" applyBorder="1" applyAlignment="1">
      <alignment horizontal="center"/>
    </xf>
    <xf numFmtId="17" fontId="2" fillId="3" borderId="4" xfId="3" applyNumberFormat="1" applyFont="1" applyFill="1" applyBorder="1" applyAlignment="1">
      <alignment horizontal="center"/>
    </xf>
    <xf numFmtId="0" fontId="2" fillId="3" borderId="4" xfId="3" applyFont="1" applyFill="1" applyBorder="1" applyAlignment="1">
      <alignment horizontal="center"/>
    </xf>
    <xf numFmtId="0" fontId="2" fillId="3" borderId="4" xfId="3" applyNumberFormat="1" applyFont="1" applyFill="1" applyBorder="1" applyAlignment="1">
      <alignment horizontal="center"/>
    </xf>
    <xf numFmtId="17" fontId="2" fillId="2" borderId="1" xfId="3" applyNumberFormat="1" applyFont="1" applyFill="1" applyBorder="1" applyAlignment="1">
      <alignment horizontal="center"/>
    </xf>
    <xf numFmtId="0" fontId="2" fillId="2" borderId="1" xfId="3" applyFont="1" applyFill="1" applyBorder="1" applyAlignment="1">
      <alignment horizontal="center"/>
    </xf>
    <xf numFmtId="0" fontId="2" fillId="0" borderId="1" xfId="3" applyFont="1" applyBorder="1" applyAlignment="1">
      <alignment horizontal="center"/>
    </xf>
    <xf numFmtId="0" fontId="2" fillId="2" borderId="1" xfId="3" applyNumberFormat="1" applyFont="1" applyFill="1" applyBorder="1" applyAlignment="1">
      <alignment horizontal="center"/>
    </xf>
    <xf numFmtId="4" fontId="2" fillId="0" borderId="13" xfId="3" applyNumberFormat="1" applyFont="1" applyBorder="1" applyAlignment="1">
      <alignment horizontal="center"/>
    </xf>
    <xf numFmtId="0" fontId="7" fillId="0" borderId="0" xfId="3" applyFont="1" applyAlignment="1">
      <alignment horizontal="left"/>
    </xf>
    <xf numFmtId="0" fontId="3" fillId="0" borderId="0" xfId="2" applyNumberFormat="1" applyFont="1" applyAlignment="1"/>
    <xf numFmtId="0" fontId="2" fillId="0" borderId="0" xfId="2" applyNumberFormat="1" applyFont="1" applyAlignment="1"/>
    <xf numFmtId="0" fontId="2" fillId="0" borderId="0" xfId="2" applyAlignment="1"/>
    <xf numFmtId="0" fontId="4" fillId="0" borderId="0" xfId="2" applyNumberFormat="1" applyFont="1" applyAlignment="1"/>
    <xf numFmtId="0" fontId="2" fillId="2" borderId="1" xfId="2" applyNumberFormat="1" applyFont="1" applyFill="1" applyBorder="1" applyAlignment="1"/>
    <xf numFmtId="0" fontId="6" fillId="2" borderId="2" xfId="2" applyNumberFormat="1" applyFont="1" applyFill="1" applyBorder="1" applyAlignment="1">
      <alignment horizontal="center"/>
    </xf>
    <xf numFmtId="0" fontId="6" fillId="3" borderId="2" xfId="2" applyNumberFormat="1" applyFont="1" applyFill="1" applyBorder="1" applyAlignment="1">
      <alignment horizontal="center"/>
    </xf>
    <xf numFmtId="0" fontId="2" fillId="0" borderId="4" xfId="2" applyBorder="1"/>
    <xf numFmtId="0" fontId="6" fillId="2" borderId="15" xfId="2" applyNumberFormat="1" applyFont="1" applyFill="1" applyBorder="1" applyAlignment="1">
      <alignment horizontal="center"/>
    </xf>
    <xf numFmtId="0" fontId="6" fillId="2" borderId="16" xfId="2" applyNumberFormat="1" applyFont="1" applyFill="1" applyBorder="1" applyAlignment="1">
      <alignment horizontal="center"/>
    </xf>
    <xf numFmtId="0" fontId="6" fillId="3" borderId="16" xfId="2" applyNumberFormat="1" applyFont="1" applyFill="1" applyBorder="1" applyAlignment="1">
      <alignment horizontal="center"/>
    </xf>
    <xf numFmtId="0" fontId="7" fillId="0" borderId="4" xfId="2" applyNumberFormat="1" applyFont="1" applyBorder="1" applyAlignment="1">
      <alignment horizontal="center"/>
    </xf>
    <xf numFmtId="0" fontId="7" fillId="0" borderId="5" xfId="2" applyNumberFormat="1" applyFont="1" applyBorder="1" applyAlignment="1">
      <alignment horizontal="center"/>
    </xf>
    <xf numFmtId="0" fontId="7" fillId="3" borderId="5" xfId="2" applyNumberFormat="1" applyFont="1" applyFill="1" applyBorder="1" applyAlignment="1">
      <alignment horizontal="center"/>
    </xf>
    <xf numFmtId="166" fontId="6" fillId="0" borderId="4" xfId="2" applyNumberFormat="1" applyFont="1" applyBorder="1" applyAlignment="1"/>
    <xf numFmtId="17" fontId="2" fillId="0" borderId="5" xfId="2" applyNumberFormat="1" applyFont="1" applyBorder="1" applyAlignment="1">
      <alignment horizontal="center"/>
    </xf>
    <xf numFmtId="9" fontId="2" fillId="3" borderId="5" xfId="2" applyNumberFormat="1" applyFont="1" applyFill="1" applyBorder="1" applyAlignment="1">
      <alignment horizontal="center"/>
    </xf>
    <xf numFmtId="166" fontId="2" fillId="0" borderId="4" xfId="2" applyNumberFormat="1" applyFont="1" applyBorder="1" applyAlignment="1"/>
    <xf numFmtId="0" fontId="2" fillId="0" borderId="5" xfId="2" applyNumberFormat="1" applyFont="1" applyBorder="1" applyAlignment="1">
      <alignment horizontal="center"/>
    </xf>
    <xf numFmtId="166" fontId="6" fillId="2" borderId="1" xfId="2" applyNumberFormat="1" applyFont="1" applyFill="1" applyBorder="1" applyAlignment="1"/>
    <xf numFmtId="0" fontId="2" fillId="2" borderId="2" xfId="2" applyNumberFormat="1" applyFont="1" applyFill="1" applyBorder="1" applyAlignment="1">
      <alignment horizontal="center"/>
    </xf>
    <xf numFmtId="9" fontId="6" fillId="3" borderId="2" xfId="2" applyNumberFormat="1" applyFont="1" applyFill="1" applyBorder="1" applyAlignment="1">
      <alignment horizontal="center"/>
    </xf>
    <xf numFmtId="166" fontId="6" fillId="0" borderId="1" xfId="2" applyNumberFormat="1" applyFont="1" applyBorder="1" applyAlignment="1"/>
    <xf numFmtId="0" fontId="2" fillId="0" borderId="2" xfId="2" applyNumberFormat="1" applyFont="1" applyBorder="1" applyAlignment="1">
      <alignment horizontal="center"/>
    </xf>
    <xf numFmtId="9" fontId="2" fillId="3" borderId="2" xfId="2" applyNumberFormat="1" applyFont="1" applyFill="1" applyBorder="1" applyAlignment="1">
      <alignment horizontal="center"/>
    </xf>
    <xf numFmtId="166" fontId="6" fillId="2" borderId="7" xfId="2" applyNumberFormat="1" applyFont="1" applyFill="1" applyBorder="1" applyAlignment="1"/>
    <xf numFmtId="0" fontId="2" fillId="2" borderId="8" xfId="2" applyNumberFormat="1" applyFont="1" applyFill="1" applyBorder="1" applyAlignment="1">
      <alignment horizontal="center"/>
    </xf>
    <xf numFmtId="9" fontId="6" fillId="3" borderId="8" xfId="2" applyNumberFormat="1" applyFont="1" applyFill="1" applyBorder="1" applyAlignment="1">
      <alignment horizontal="center"/>
    </xf>
    <xf numFmtId="166" fontId="6" fillId="2" borderId="12" xfId="2" applyNumberFormat="1" applyFont="1" applyFill="1" applyBorder="1" applyAlignment="1"/>
    <xf numFmtId="0" fontId="2" fillId="2" borderId="10" xfId="2" applyNumberFormat="1" applyFont="1" applyFill="1" applyBorder="1" applyAlignment="1">
      <alignment horizontal="center"/>
    </xf>
    <xf numFmtId="166" fontId="2" fillId="0" borderId="1" xfId="2" applyNumberFormat="1" applyFont="1" applyBorder="1" applyAlignment="1"/>
    <xf numFmtId="166" fontId="6" fillId="2" borderId="1" xfId="2" applyNumberFormat="1" applyFont="1" applyFill="1" applyBorder="1" applyAlignment="1">
      <alignment horizontal="center"/>
    </xf>
    <xf numFmtId="4" fontId="6" fillId="0" borderId="0" xfId="2" applyNumberFormat="1" applyFont="1" applyAlignment="1"/>
    <xf numFmtId="0" fontId="3" fillId="0" borderId="0" xfId="1" applyNumberFormat="1" applyFont="1" applyAlignment="1"/>
    <xf numFmtId="0" fontId="2" fillId="0" borderId="0" xfId="1" applyNumberFormat="1" applyFont="1" applyAlignment="1"/>
    <xf numFmtId="0" fontId="2" fillId="0" borderId="0" xfId="1"/>
    <xf numFmtId="0" fontId="2" fillId="0" borderId="0" xfId="1" applyAlignment="1"/>
    <xf numFmtId="0" fontId="4" fillId="0" borderId="0" xfId="1" applyNumberFormat="1" applyFont="1" applyAlignment="1"/>
    <xf numFmtId="0" fontId="6" fillId="2" borderId="1" xfId="1" applyNumberFormat="1" applyFont="1" applyFill="1" applyBorder="1" applyAlignment="1">
      <alignment horizontal="center"/>
    </xf>
    <xf numFmtId="0" fontId="6" fillId="2" borderId="2" xfId="1" applyNumberFormat="1" applyFont="1" applyFill="1" applyBorder="1" applyAlignment="1">
      <alignment horizontal="center"/>
    </xf>
    <xf numFmtId="0" fontId="6" fillId="3" borderId="2" xfId="1" applyNumberFormat="1" applyFont="1" applyFill="1" applyBorder="1" applyAlignment="1">
      <alignment horizontal="center"/>
    </xf>
    <xf numFmtId="0" fontId="2" fillId="0" borderId="0" xfId="1" applyBorder="1"/>
    <xf numFmtId="0" fontId="6" fillId="2" borderId="4" xfId="1" applyNumberFormat="1" applyFont="1" applyFill="1" applyBorder="1" applyAlignment="1">
      <alignment horizontal="center"/>
    </xf>
    <xf numFmtId="0" fontId="6" fillId="2" borderId="5" xfId="1" applyNumberFormat="1" applyFont="1" applyFill="1" applyBorder="1" applyAlignment="1">
      <alignment horizontal="center"/>
    </xf>
    <xf numFmtId="0" fontId="6" fillId="3" borderId="5" xfId="1" applyNumberFormat="1" applyFont="1" applyFill="1" applyBorder="1" applyAlignment="1">
      <alignment horizontal="center"/>
    </xf>
    <xf numFmtId="0" fontId="7" fillId="0" borderId="1" xfId="1" applyNumberFormat="1" applyFont="1" applyBorder="1" applyAlignment="1">
      <alignment horizontal="center"/>
    </xf>
    <xf numFmtId="0" fontId="7" fillId="0" borderId="2" xfId="1" applyNumberFormat="1" applyFont="1" applyBorder="1" applyAlignment="1">
      <alignment horizontal="center"/>
    </xf>
    <xf numFmtId="0" fontId="7" fillId="3" borderId="2" xfId="1" applyNumberFormat="1" applyFont="1" applyFill="1" applyBorder="1" applyAlignment="1">
      <alignment horizontal="center"/>
    </xf>
    <xf numFmtId="166" fontId="6" fillId="0" borderId="4" xfId="1" applyNumberFormat="1" applyFont="1" applyBorder="1" applyAlignment="1"/>
    <xf numFmtId="17" fontId="2" fillId="0" borderId="5" xfId="1" applyNumberFormat="1" applyFont="1" applyBorder="1" applyAlignment="1">
      <alignment horizontal="center"/>
    </xf>
    <xf numFmtId="9" fontId="2" fillId="3" borderId="5" xfId="1" applyNumberFormat="1" applyFont="1" applyFill="1" applyBorder="1" applyAlignment="1">
      <alignment horizontal="center"/>
    </xf>
    <xf numFmtId="166" fontId="2" fillId="0" borderId="4" xfId="1" applyNumberFormat="1" applyFont="1" applyBorder="1" applyAlignment="1"/>
    <xf numFmtId="0" fontId="2" fillId="0" borderId="5" xfId="1" applyNumberFormat="1" applyFont="1" applyBorder="1" applyAlignment="1">
      <alignment horizontal="center"/>
    </xf>
    <xf numFmtId="166" fontId="6" fillId="2" borderId="1" xfId="1" applyNumberFormat="1" applyFont="1" applyFill="1" applyBorder="1" applyAlignment="1"/>
    <xf numFmtId="9" fontId="6" fillId="3" borderId="2" xfId="1" applyNumberFormat="1" applyFont="1" applyFill="1" applyBorder="1" applyAlignment="1">
      <alignment horizontal="center"/>
    </xf>
    <xf numFmtId="166" fontId="2" fillId="0" borderId="1" xfId="1" applyNumberFormat="1" applyFont="1" applyBorder="1" applyAlignment="1"/>
    <xf numFmtId="0" fontId="2" fillId="0" borderId="2" xfId="1" applyNumberFormat="1" applyFont="1" applyBorder="1" applyAlignment="1">
      <alignment horizontal="center"/>
    </xf>
    <xf numFmtId="9" fontId="2" fillId="3" borderId="2" xfId="1" applyNumberFormat="1" applyFont="1" applyFill="1" applyBorder="1" applyAlignment="1">
      <alignment horizontal="center"/>
    </xf>
    <xf numFmtId="166" fontId="6" fillId="2" borderId="7" xfId="1" applyNumberFormat="1" applyFont="1" applyFill="1" applyBorder="1" applyAlignment="1"/>
    <xf numFmtId="0" fontId="6" fillId="2" borderId="8" xfId="1" applyNumberFormat="1" applyFont="1" applyFill="1" applyBorder="1" applyAlignment="1">
      <alignment horizontal="center"/>
    </xf>
    <xf numFmtId="9" fontId="6" fillId="3" borderId="8" xfId="1" applyNumberFormat="1" applyFont="1" applyFill="1" applyBorder="1" applyAlignment="1">
      <alignment horizontal="center"/>
    </xf>
    <xf numFmtId="0" fontId="6" fillId="0" borderId="4" xfId="1" applyNumberFormat="1" applyFont="1" applyBorder="1" applyAlignment="1"/>
    <xf numFmtId="17" fontId="6" fillId="2" borderId="8" xfId="1" applyNumberFormat="1" applyFont="1" applyFill="1" applyBorder="1" applyAlignment="1">
      <alignment horizontal="center"/>
    </xf>
    <xf numFmtId="0" fontId="2" fillId="0" borderId="5" xfId="1" applyBorder="1"/>
    <xf numFmtId="0" fontId="2" fillId="3" borderId="5" xfId="1" applyFont="1" applyFill="1" applyBorder="1" applyAlignment="1"/>
    <xf numFmtId="0" fontId="2" fillId="2" borderId="8" xfId="1" applyNumberFormat="1" applyFont="1" applyFill="1" applyBorder="1" applyAlignment="1">
      <alignment horizontal="center"/>
    </xf>
    <xf numFmtId="166" fontId="6" fillId="2" borderId="12" xfId="1" applyNumberFormat="1" applyFont="1" applyFill="1" applyBorder="1" applyAlignment="1"/>
    <xf numFmtId="0" fontId="6" fillId="2" borderId="10" xfId="1" applyNumberFormat="1" applyFont="1" applyFill="1" applyBorder="1" applyAlignment="1">
      <alignment horizontal="center"/>
    </xf>
    <xf numFmtId="166" fontId="6" fillId="2" borderId="1" xfId="1" applyNumberFormat="1" applyFont="1" applyFill="1" applyBorder="1" applyAlignment="1">
      <alignment horizontal="center"/>
    </xf>
    <xf numFmtId="166" fontId="6" fillId="0" borderId="13" xfId="1" applyNumberFormat="1" applyFont="1" applyBorder="1" applyAlignment="1"/>
    <xf numFmtId="0" fontId="6" fillId="0" borderId="13" xfId="1" applyNumberFormat="1" applyFont="1" applyBorder="1" applyAlignment="1">
      <alignment horizontal="center"/>
    </xf>
    <xf numFmtId="4" fontId="6" fillId="0" borderId="13" xfId="1" applyNumberFormat="1" applyFont="1" applyBorder="1" applyAlignment="1">
      <alignment horizontal="center"/>
    </xf>
    <xf numFmtId="0" fontId="9" fillId="0" borderId="0" xfId="1" applyNumberFormat="1" applyFont="1" applyAlignment="1"/>
    <xf numFmtId="17" fontId="6" fillId="0" borderId="0" xfId="1" applyNumberFormat="1" applyFont="1" applyAlignment="1">
      <alignment horizontal="center"/>
    </xf>
    <xf numFmtId="4" fontId="6" fillId="0" borderId="0" xfId="1" applyNumberFormat="1" applyFont="1" applyAlignment="1">
      <alignment horizontal="center"/>
    </xf>
    <xf numFmtId="0" fontId="6" fillId="0" borderId="0" xfId="1" applyNumberFormat="1" applyFont="1" applyAlignment="1"/>
    <xf numFmtId="3" fontId="0" fillId="0" borderId="0" xfId="0" applyNumberFormat="1" applyFont="1" applyAlignment="1"/>
    <xf numFmtId="3" fontId="5" fillId="2" borderId="2" xfId="0" applyNumberFormat="1" applyFont="1" applyFill="1" applyBorder="1" applyAlignment="1">
      <alignment horizontal="center"/>
    </xf>
    <xf numFmtId="3" fontId="5" fillId="2" borderId="5" xfId="0" applyNumberFormat="1" applyFont="1" applyFill="1" applyBorder="1" applyAlignment="1">
      <alignment horizontal="center"/>
    </xf>
    <xf numFmtId="3" fontId="7" fillId="0" borderId="2" xfId="0" applyNumberFormat="1" applyFont="1" applyBorder="1" applyAlignment="1">
      <alignment horizontal="center"/>
    </xf>
    <xf numFmtId="3" fontId="0" fillId="0" borderId="2" xfId="0" applyNumberFormat="1" applyBorder="1"/>
    <xf numFmtId="3" fontId="0" fillId="0" borderId="5" xfId="0" applyNumberFormat="1" applyBorder="1"/>
    <xf numFmtId="3" fontId="6" fillId="0" borderId="0" xfId="0" applyNumberFormat="1" applyFont="1" applyAlignment="1"/>
    <xf numFmtId="3" fontId="0" fillId="0" borderId="0" xfId="0" applyNumberFormat="1" applyFont="1" applyAlignment="1" applyProtection="1">
      <protection locked="0"/>
    </xf>
    <xf numFmtId="3" fontId="2" fillId="0" borderId="0" xfId="2" applyNumberFormat="1" applyFont="1" applyAlignment="1"/>
    <xf numFmtId="3" fontId="6" fillId="2" borderId="2" xfId="2" applyNumberFormat="1" applyFont="1" applyFill="1" applyBorder="1" applyAlignment="1">
      <alignment horizontal="center"/>
    </xf>
    <xf numFmtId="3" fontId="6" fillId="2" borderId="16" xfId="2" applyNumberFormat="1" applyFont="1" applyFill="1" applyBorder="1" applyAlignment="1">
      <alignment horizontal="center"/>
    </xf>
    <xf numFmtId="3" fontId="7" fillId="0" borderId="5" xfId="2" applyNumberFormat="1" applyFont="1" applyBorder="1" applyAlignment="1">
      <alignment horizontal="center"/>
    </xf>
    <xf numFmtId="3" fontId="2" fillId="0" borderId="5" xfId="2" applyNumberFormat="1" applyFont="1" applyBorder="1" applyAlignment="1">
      <alignment horizontal="center"/>
    </xf>
    <xf numFmtId="3" fontId="2" fillId="0" borderId="2" xfId="2" applyNumberFormat="1" applyFont="1" applyBorder="1" applyAlignment="1">
      <alignment horizontal="center"/>
    </xf>
    <xf numFmtId="3" fontId="6" fillId="2" borderId="8" xfId="2" applyNumberFormat="1" applyFont="1" applyFill="1" applyBorder="1" applyAlignment="1">
      <alignment horizontal="center"/>
    </xf>
    <xf numFmtId="3" fontId="6" fillId="2" borderId="10" xfId="2" applyNumberFormat="1" applyFont="1" applyFill="1" applyBorder="1" applyAlignment="1">
      <alignment horizontal="center"/>
    </xf>
    <xf numFmtId="3" fontId="6" fillId="0" borderId="0" xfId="2" applyNumberFormat="1" applyFont="1" applyAlignment="1"/>
    <xf numFmtId="3" fontId="2" fillId="0" borderId="0" xfId="2" applyNumberFormat="1" applyAlignment="1"/>
    <xf numFmtId="167" fontId="2" fillId="0" borderId="0" xfId="2" applyNumberFormat="1" applyFont="1" applyAlignment="1"/>
    <xf numFmtId="167" fontId="6" fillId="0" borderId="0" xfId="2" applyNumberFormat="1" applyFont="1" applyAlignment="1">
      <alignment horizontal="center"/>
    </xf>
    <xf numFmtId="167" fontId="6" fillId="2" borderId="2" xfId="2" applyNumberFormat="1" applyFont="1" applyFill="1" applyBorder="1" applyAlignment="1">
      <alignment horizontal="center"/>
    </xf>
    <xf numFmtId="167" fontId="6" fillId="2" borderId="17" xfId="2" applyNumberFormat="1" applyFont="1" applyFill="1" applyBorder="1" applyAlignment="1">
      <alignment horizontal="center"/>
    </xf>
    <xf numFmtId="167" fontId="7" fillId="0" borderId="6" xfId="2" applyNumberFormat="1" applyFont="1" applyBorder="1" applyAlignment="1">
      <alignment horizontal="center"/>
    </xf>
    <xf numFmtId="167" fontId="2" fillId="0" borderId="5" xfId="2" applyNumberFormat="1" applyFont="1" applyBorder="1" applyAlignment="1">
      <alignment horizontal="center"/>
    </xf>
    <xf numFmtId="167" fontId="2" fillId="0" borderId="2" xfId="2" applyNumberFormat="1" applyFont="1" applyBorder="1" applyAlignment="1">
      <alignment horizontal="center"/>
    </xf>
    <xf numFmtId="167" fontId="6" fillId="2" borderId="9" xfId="2" applyNumberFormat="1" applyFont="1" applyFill="1" applyBorder="1" applyAlignment="1">
      <alignment horizontal="center"/>
    </xf>
    <xf numFmtId="167" fontId="2" fillId="0" borderId="6" xfId="2" applyNumberFormat="1" applyFont="1" applyBorder="1" applyAlignment="1">
      <alignment horizontal="center"/>
    </xf>
    <xf numFmtId="167" fontId="2" fillId="0" borderId="3" xfId="2" applyNumberFormat="1" applyFont="1" applyBorder="1" applyAlignment="1">
      <alignment horizontal="center"/>
    </xf>
    <xf numFmtId="167" fontId="6" fillId="0" borderId="0" xfId="2" applyNumberFormat="1" applyFont="1" applyAlignment="1"/>
    <xf numFmtId="167" fontId="2" fillId="0" borderId="0" xfId="2" applyNumberFormat="1" applyAlignment="1"/>
    <xf numFmtId="3" fontId="2" fillId="0" borderId="0" xfId="1" applyNumberFormat="1" applyFont="1" applyAlignment="1"/>
    <xf numFmtId="3" fontId="6" fillId="2" borderId="2" xfId="1" applyNumberFormat="1" applyFont="1" applyFill="1" applyBorder="1" applyAlignment="1">
      <alignment horizontal="center"/>
    </xf>
    <xf numFmtId="3" fontId="6" fillId="2" borderId="5" xfId="1" applyNumberFormat="1" applyFont="1" applyFill="1" applyBorder="1" applyAlignment="1">
      <alignment horizontal="center"/>
    </xf>
    <xf numFmtId="3" fontId="7" fillId="0" borderId="2" xfId="1" applyNumberFormat="1" applyFont="1" applyBorder="1" applyAlignment="1">
      <alignment horizontal="center"/>
    </xf>
    <xf numFmtId="3" fontId="2" fillId="0" borderId="5" xfId="1" applyNumberFormat="1" applyFont="1" applyBorder="1" applyAlignment="1">
      <alignment horizontal="center"/>
    </xf>
    <xf numFmtId="3" fontId="2" fillId="0" borderId="2" xfId="1" applyNumberFormat="1" applyFont="1" applyBorder="1" applyAlignment="1">
      <alignment horizontal="center"/>
    </xf>
    <xf numFmtId="3" fontId="6" fillId="2" borderId="8" xfId="1" applyNumberFormat="1" applyFont="1" applyFill="1" applyBorder="1" applyAlignment="1">
      <alignment horizontal="center"/>
    </xf>
    <xf numFmtId="3" fontId="2" fillId="0" borderId="5" xfId="1" applyNumberFormat="1" applyBorder="1"/>
    <xf numFmtId="3" fontId="6" fillId="2" borderId="10" xfId="1" applyNumberFormat="1" applyFont="1" applyFill="1" applyBorder="1" applyAlignment="1">
      <alignment horizontal="center"/>
    </xf>
    <xf numFmtId="3" fontId="6" fillId="0" borderId="13" xfId="1" applyNumberFormat="1" applyFont="1" applyBorder="1" applyAlignment="1">
      <alignment horizontal="center"/>
    </xf>
    <xf numFmtId="3" fontId="6" fillId="0" borderId="0" xfId="1" applyNumberFormat="1" applyFont="1" applyAlignment="1">
      <alignment horizontal="center"/>
    </xf>
    <xf numFmtId="3" fontId="2" fillId="0" borderId="0" xfId="1" applyNumberFormat="1" applyAlignment="1"/>
    <xf numFmtId="167" fontId="2" fillId="0" borderId="0" xfId="1" applyNumberFormat="1" applyFont="1" applyAlignment="1"/>
    <xf numFmtId="167" fontId="6" fillId="0" borderId="0" xfId="1" applyNumberFormat="1" applyFont="1" applyAlignment="1">
      <alignment horizontal="centerContinuous"/>
    </xf>
    <xf numFmtId="167" fontId="6" fillId="2" borderId="2" xfId="1" applyNumberFormat="1" applyFont="1" applyFill="1" applyBorder="1" applyAlignment="1">
      <alignment horizontal="center"/>
    </xf>
    <xf numFmtId="167" fontId="6" fillId="2" borderId="3" xfId="1" applyNumberFormat="1" applyFont="1" applyFill="1" applyBorder="1" applyAlignment="1">
      <alignment horizontal="center"/>
    </xf>
    <xf numFmtId="167" fontId="6" fillId="2" borderId="5" xfId="1" applyNumberFormat="1" applyFont="1" applyFill="1" applyBorder="1" applyAlignment="1">
      <alignment horizontal="center"/>
    </xf>
    <xf numFmtId="167" fontId="7" fillId="0" borderId="2" xfId="1" applyNumberFormat="1" applyFont="1" applyBorder="1" applyAlignment="1">
      <alignment horizontal="center"/>
    </xf>
    <xf numFmtId="167" fontId="7" fillId="0" borderId="3" xfId="1" applyNumberFormat="1" applyFont="1" applyBorder="1" applyAlignment="1">
      <alignment horizontal="center"/>
    </xf>
    <xf numFmtId="167" fontId="2" fillId="0" borderId="5" xfId="1" applyNumberFormat="1" applyFont="1" applyBorder="1" applyAlignment="1">
      <alignment horizontal="center"/>
    </xf>
    <xf numFmtId="167" fontId="2" fillId="0" borderId="6" xfId="1" applyNumberFormat="1" applyFont="1" applyBorder="1" applyAlignment="1">
      <alignment horizontal="center"/>
    </xf>
    <xf numFmtId="167" fontId="2" fillId="0" borderId="2" xfId="1" applyNumberFormat="1" applyFont="1" applyBorder="1" applyAlignment="1">
      <alignment horizontal="center"/>
    </xf>
    <xf numFmtId="167" fontId="2" fillId="0" borderId="3" xfId="1" applyNumberFormat="1" applyFont="1" applyBorder="1" applyAlignment="1">
      <alignment horizontal="center"/>
    </xf>
    <xf numFmtId="167" fontId="6" fillId="2" borderId="8" xfId="1" applyNumberFormat="1" applyFont="1" applyFill="1" applyBorder="1" applyAlignment="1">
      <alignment horizontal="center"/>
    </xf>
    <xf numFmtId="167" fontId="6" fillId="2" borderId="9" xfId="1" applyNumberFormat="1" applyFont="1" applyFill="1" applyBorder="1" applyAlignment="1">
      <alignment horizontal="center"/>
    </xf>
    <xf numFmtId="167" fontId="2" fillId="0" borderId="5" xfId="1" applyNumberFormat="1" applyBorder="1"/>
    <xf numFmtId="167" fontId="2" fillId="0" borderId="6" xfId="1" applyNumberFormat="1" applyBorder="1"/>
    <xf numFmtId="167" fontId="6" fillId="2" borderId="10" xfId="1" applyNumberFormat="1" applyFont="1" applyFill="1" applyBorder="1" applyAlignment="1">
      <alignment horizontal="center"/>
    </xf>
    <xf numFmtId="167" fontId="6" fillId="0" borderId="13" xfId="1" applyNumberFormat="1" applyFont="1" applyBorder="1" applyAlignment="1">
      <alignment horizontal="center"/>
    </xf>
    <xf numFmtId="167" fontId="6" fillId="0" borderId="0" xfId="1" applyNumberFormat="1" applyFont="1" applyAlignment="1">
      <alignment horizontal="center"/>
    </xf>
    <xf numFmtId="167" fontId="2" fillId="0" borderId="0" xfId="1" applyNumberFormat="1" applyAlignment="1"/>
    <xf numFmtId="167" fontId="6" fillId="2" borderId="3" xfId="1" applyNumberFormat="1" applyFont="1" applyFill="1" applyBorder="1" applyAlignment="1"/>
    <xf numFmtId="167" fontId="6" fillId="2" borderId="6" xfId="1" applyNumberFormat="1" applyFont="1" applyFill="1" applyBorder="1" applyAlignment="1"/>
    <xf numFmtId="166" fontId="6" fillId="0" borderId="18" xfId="2" applyNumberFormat="1" applyFont="1" applyBorder="1" applyAlignment="1"/>
    <xf numFmtId="166" fontId="6" fillId="0" borderId="0" xfId="1" applyNumberFormat="1" applyFont="1" applyBorder="1" applyAlignment="1"/>
    <xf numFmtId="167" fontId="6" fillId="0" borderId="0" xfId="1" applyNumberFormat="1" applyFont="1" applyBorder="1" applyAlignment="1">
      <alignment horizontal="center"/>
    </xf>
    <xf numFmtId="0" fontId="6" fillId="0" borderId="0" xfId="1" applyNumberFormat="1" applyFont="1" applyBorder="1" applyAlignment="1">
      <alignment horizontal="center"/>
    </xf>
    <xf numFmtId="3" fontId="6" fillId="0" borderId="0" xfId="1" applyNumberFormat="1" applyFont="1" applyBorder="1" applyAlignment="1">
      <alignment horizontal="center"/>
    </xf>
    <xf numFmtId="4" fontId="6" fillId="0" borderId="0" xfId="1" applyNumberFormat="1" applyFont="1" applyBorder="1" applyAlignment="1">
      <alignment horizontal="center"/>
    </xf>
    <xf numFmtId="3" fontId="6" fillId="2" borderId="11" xfId="2" applyNumberFormat="1" applyFont="1" applyFill="1" applyBorder="1" applyAlignment="1">
      <alignment horizontal="center"/>
    </xf>
    <xf numFmtId="3" fontId="6" fillId="2" borderId="19" xfId="2" applyNumberFormat="1" applyFont="1" applyFill="1" applyBorder="1" applyAlignment="1">
      <alignment horizontal="center"/>
    </xf>
    <xf numFmtId="166" fontId="10" fillId="0" borderId="0" xfId="2" applyNumberFormat="1" applyFont="1" applyAlignment="1"/>
    <xf numFmtId="166" fontId="10" fillId="0" borderId="0" xfId="0" applyNumberFormat="1" applyFont="1" applyAlignment="1"/>
    <xf numFmtId="166" fontId="6" fillId="2" borderId="7" xfId="2" applyNumberFormat="1" applyFont="1" applyFill="1" applyBorder="1" applyAlignment="1">
      <alignment horizontal="center"/>
    </xf>
    <xf numFmtId="0" fontId="6" fillId="2" borderId="8" xfId="2" applyNumberFormat="1" applyFont="1" applyFill="1" applyBorder="1" applyAlignment="1">
      <alignment horizontal="center"/>
    </xf>
    <xf numFmtId="167" fontId="6" fillId="2" borderId="20" xfId="2" applyNumberFormat="1" applyFont="1" applyFill="1" applyBorder="1" applyAlignment="1">
      <alignment horizontal="center"/>
    </xf>
    <xf numFmtId="9" fontId="6" fillId="3" borderId="10" xfId="2" applyNumberFormat="1" applyFont="1" applyFill="1" applyBorder="1" applyAlignment="1">
      <alignment horizontal="center"/>
    </xf>
    <xf numFmtId="9" fontId="6" fillId="3" borderId="21" xfId="2" applyNumberFormat="1" applyFont="1" applyFill="1" applyBorder="1" applyAlignment="1">
      <alignment horizontal="center"/>
    </xf>
    <xf numFmtId="167" fontId="6" fillId="2" borderId="20" xfId="1" applyNumberFormat="1" applyFont="1" applyFill="1" applyBorder="1" applyAlignment="1">
      <alignment horizontal="center"/>
    </xf>
    <xf numFmtId="3" fontId="6" fillId="2" borderId="11" xfId="1" applyNumberFormat="1" applyFont="1" applyFill="1" applyBorder="1" applyAlignment="1">
      <alignment horizontal="center"/>
    </xf>
    <xf numFmtId="9" fontId="6" fillId="3" borderId="10" xfId="1" applyNumberFormat="1" applyFont="1" applyFill="1" applyBorder="1" applyAlignment="1">
      <alignment horizontal="center"/>
    </xf>
    <xf numFmtId="166" fontId="6" fillId="2" borderId="4" xfId="0" applyNumberFormat="1" applyFont="1" applyFill="1" applyBorder="1" applyAlignment="1"/>
    <xf numFmtId="166" fontId="11" fillId="0" borderId="4" xfId="0" applyNumberFormat="1" applyFont="1" applyBorder="1" applyAlignment="1"/>
    <xf numFmtId="0" fontId="12" fillId="3" borderId="4" xfId="3" applyFont="1" applyFill="1" applyBorder="1" applyAlignment="1">
      <alignment horizontal="center"/>
    </xf>
    <xf numFmtId="0" fontId="11" fillId="3" borderId="4" xfId="3" applyFont="1" applyFill="1" applyBorder="1" applyAlignment="1">
      <alignment horizontal="center"/>
    </xf>
    <xf numFmtId="0" fontId="13" fillId="0" borderId="0" xfId="0" applyNumberFormat="1" applyFont="1" applyAlignment="1"/>
    <xf numFmtId="0" fontId="14" fillId="0" borderId="0" xfId="0" applyNumberFormat="1" applyFont="1" applyAlignment="1"/>
    <xf numFmtId="9" fontId="11" fillId="3" borderId="2" xfId="0" applyNumberFormat="1" applyFont="1" applyFill="1" applyBorder="1" applyAlignment="1">
      <alignment horizontal="center"/>
    </xf>
    <xf numFmtId="9" fontId="11" fillId="3" borderId="8" xfId="0" applyNumberFormat="1" applyFont="1" applyFill="1" applyBorder="1" applyAlignment="1">
      <alignment horizontal="center"/>
    </xf>
    <xf numFmtId="9" fontId="11" fillId="3" borderId="10" xfId="0" applyNumberFormat="1" applyFont="1" applyFill="1" applyBorder="1" applyAlignment="1">
      <alignment horizontal="center"/>
    </xf>
    <xf numFmtId="0" fontId="15" fillId="0" borderId="0" xfId="3" applyFont="1" applyAlignment="1"/>
    <xf numFmtId="0" fontId="13" fillId="0" borderId="0" xfId="2" applyNumberFormat="1" applyFont="1" applyAlignment="1"/>
    <xf numFmtId="0" fontId="14" fillId="0" borderId="0" xfId="2" applyNumberFormat="1" applyFont="1" applyAlignment="1"/>
    <xf numFmtId="0" fontId="13" fillId="0" borderId="0" xfId="1" applyNumberFormat="1" applyFont="1" applyAlignment="1"/>
    <xf numFmtId="0" fontId="14" fillId="0" borderId="0" xfId="1" applyNumberFormat="1" applyFont="1" applyAlignment="1"/>
    <xf numFmtId="4" fontId="2" fillId="0" borderId="0" xfId="3" applyNumberFormat="1" applyFont="1" applyBorder="1" applyAlignment="1">
      <alignment horizontal="center"/>
    </xf>
    <xf numFmtId="4" fontId="16" fillId="0" borderId="0" xfId="3" applyNumberFormat="1" applyFont="1" applyBorder="1" applyAlignment="1">
      <alignment horizontal="left"/>
    </xf>
    <xf numFmtId="167" fontId="0" fillId="0" borderId="6" xfId="1" applyNumberFormat="1" applyFont="1" applyBorder="1" applyAlignment="1">
      <alignment horizontal="center"/>
    </xf>
    <xf numFmtId="166" fontId="11" fillId="0" borderId="4" xfId="1" applyNumberFormat="1" applyFont="1" applyBorder="1" applyAlignment="1"/>
    <xf numFmtId="4" fontId="0" fillId="0" borderId="10" xfId="0" applyNumberFormat="1" applyFont="1" applyBorder="1" applyAlignment="1">
      <alignment horizontal="center"/>
    </xf>
    <xf numFmtId="17" fontId="2" fillId="0" borderId="5" xfId="1" applyNumberFormat="1" applyFont="1" applyFill="1" applyBorder="1" applyAlignment="1">
      <alignment horizontal="center"/>
    </xf>
    <xf numFmtId="3" fontId="17" fillId="0" borderId="5" xfId="1" applyNumberFormat="1" applyFont="1" applyFill="1" applyBorder="1" applyAlignment="1">
      <alignment horizontal="center"/>
    </xf>
    <xf numFmtId="166" fontId="6" fillId="0" borderId="4" xfId="1" applyNumberFormat="1" applyFont="1" applyFill="1" applyBorder="1" applyAlignment="1"/>
    <xf numFmtId="3" fontId="2" fillId="0" borderId="5" xfId="1" applyNumberFormat="1" applyFont="1" applyFill="1" applyBorder="1" applyAlignment="1">
      <alignment horizontal="center"/>
    </xf>
    <xf numFmtId="0" fontId="6" fillId="0" borderId="4" xfId="1" applyNumberFormat="1" applyFont="1" applyFill="1" applyBorder="1" applyAlignment="1"/>
  </cellXfs>
  <cellStyles count="4">
    <cellStyle name="Normal" xfId="0" builtinId="0"/>
    <cellStyle name="Normal_SLOT STATS" xfId="1"/>
    <cellStyle name="Normal_TABLE STATS" xfId="2"/>
    <cellStyle name="Normal_YTD TAXES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R439"/>
  <sheetViews>
    <sheetView tabSelected="1" showOutlineSymbols="0" zoomScaleNormal="100" workbookViewId="0">
      <selection activeCell="A5" sqref="A5"/>
    </sheetView>
  </sheetViews>
  <sheetFormatPr defaultColWidth="9.6640625" defaultRowHeight="15" x14ac:dyDescent="0.2"/>
  <cols>
    <col min="1" max="1" width="26.44140625" style="3" customWidth="1"/>
    <col min="2" max="2" width="8.6640625" style="3" customWidth="1"/>
    <col min="3" max="4" width="13.6640625" style="3" customWidth="1"/>
    <col min="5" max="5" width="7.6640625" style="3" customWidth="1"/>
    <col min="6" max="7" width="13.6640625" style="3" customWidth="1"/>
    <col min="8" max="8" width="7.6640625" style="3" customWidth="1"/>
    <col min="9" max="10" width="11.6640625" style="3" customWidth="1"/>
    <col min="11" max="12" width="16.6640625" style="199" customWidth="1"/>
    <col min="13" max="13" width="7.6640625" style="3" customWidth="1"/>
    <col min="14" max="14" width="11.6640625" style="3" customWidth="1"/>
    <col min="15" max="15" width="7.6640625" style="3" customWidth="1"/>
    <col min="16" max="16" width="15.6640625" style="3" customWidth="1"/>
    <col min="17" max="17" width="7.6640625" style="3" customWidth="1"/>
    <col min="18" max="16384" width="9.6640625" style="3"/>
  </cols>
  <sheetData>
    <row r="1" spans="1:18" ht="18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192"/>
      <c r="L1" s="192"/>
      <c r="M1" s="2"/>
      <c r="N1" s="2"/>
      <c r="O1" s="2"/>
      <c r="P1" s="2"/>
      <c r="Q1" s="2"/>
      <c r="R1" s="2"/>
    </row>
    <row r="2" spans="1:18" ht="18" customHeight="1" x14ac:dyDescent="0.3">
      <c r="A2" s="4" t="s">
        <v>71</v>
      </c>
      <c r="B2" s="2"/>
      <c r="C2" s="2"/>
      <c r="D2" s="2"/>
      <c r="E2" s="2"/>
      <c r="F2" s="2"/>
      <c r="G2" s="2"/>
      <c r="H2" s="2"/>
      <c r="I2" s="2"/>
      <c r="J2" s="2"/>
      <c r="K2" s="192"/>
      <c r="L2" s="192"/>
      <c r="M2" s="2"/>
      <c r="N2" s="2"/>
      <c r="O2" s="2"/>
      <c r="P2" s="2"/>
      <c r="Q2" s="2"/>
      <c r="R2" s="2"/>
    </row>
    <row r="3" spans="1:18" ht="18" x14ac:dyDescent="0.25">
      <c r="A3" s="277" t="s">
        <v>72</v>
      </c>
      <c r="B3" s="2"/>
      <c r="C3" s="2"/>
      <c r="D3" s="2"/>
      <c r="E3" s="2"/>
      <c r="F3" s="2"/>
      <c r="G3" s="2"/>
      <c r="H3" s="2"/>
      <c r="I3" s="2"/>
      <c r="J3" s="2"/>
      <c r="K3" s="192"/>
      <c r="L3" s="192"/>
      <c r="M3" s="2"/>
      <c r="N3" s="2"/>
      <c r="O3" s="2"/>
      <c r="P3" s="2"/>
      <c r="Q3" s="2"/>
      <c r="R3" s="2"/>
    </row>
    <row r="4" spans="1:18" x14ac:dyDescent="0.2">
      <c r="A4" s="278" t="s">
        <v>73</v>
      </c>
      <c r="B4" s="2"/>
      <c r="C4" s="2"/>
      <c r="D4" s="2"/>
      <c r="E4" s="2"/>
      <c r="F4" s="2"/>
      <c r="G4" s="2"/>
      <c r="H4" s="2"/>
      <c r="I4" s="2"/>
      <c r="J4" s="2"/>
      <c r="K4" s="192"/>
      <c r="L4" s="192"/>
      <c r="M4" s="2"/>
      <c r="N4" s="2"/>
      <c r="O4" s="2"/>
      <c r="P4" s="2"/>
      <c r="Q4" s="2"/>
      <c r="R4" s="2"/>
    </row>
    <row r="5" spans="1:18" ht="15.75" thickBot="1" x14ac:dyDescent="0.25">
      <c r="A5" s="2"/>
      <c r="B5" s="2"/>
      <c r="C5" s="2"/>
      <c r="D5" s="2"/>
      <c r="E5" s="2"/>
      <c r="F5" s="2"/>
      <c r="G5" s="2"/>
      <c r="H5" s="2"/>
      <c r="I5" s="5" t="s">
        <v>1</v>
      </c>
      <c r="J5" s="5" t="s">
        <v>1</v>
      </c>
      <c r="K5" s="192"/>
      <c r="L5" s="192"/>
      <c r="M5" s="2"/>
      <c r="N5" s="2"/>
      <c r="O5" s="2"/>
      <c r="P5" s="2"/>
      <c r="Q5" s="2"/>
      <c r="R5" s="2"/>
    </row>
    <row r="6" spans="1:18" ht="16.5" thickTop="1" x14ac:dyDescent="0.25">
      <c r="A6" s="6"/>
      <c r="B6" s="7" t="s">
        <v>2</v>
      </c>
      <c r="C6" s="7" t="s">
        <v>1</v>
      </c>
      <c r="D6" s="7" t="s">
        <v>3</v>
      </c>
      <c r="E6" s="8"/>
      <c r="F6" s="7" t="s">
        <v>1</v>
      </c>
      <c r="G6" s="7" t="s">
        <v>3</v>
      </c>
      <c r="H6" s="8"/>
      <c r="I6" s="7" t="s">
        <v>4</v>
      </c>
      <c r="J6" s="7" t="s">
        <v>4</v>
      </c>
      <c r="K6" s="193" t="s">
        <v>1</v>
      </c>
      <c r="L6" s="193" t="s">
        <v>3</v>
      </c>
      <c r="M6" s="9"/>
      <c r="N6" s="10"/>
      <c r="R6" s="2"/>
    </row>
    <row r="7" spans="1:18" ht="16.5" thickBot="1" x14ac:dyDescent="0.3">
      <c r="A7" s="11" t="s">
        <v>5</v>
      </c>
      <c r="B7" s="12" t="s">
        <v>6</v>
      </c>
      <c r="C7" s="12" t="s">
        <v>7</v>
      </c>
      <c r="D7" s="12" t="s">
        <v>7</v>
      </c>
      <c r="E7" s="13" t="s">
        <v>8</v>
      </c>
      <c r="F7" s="12" t="s">
        <v>9</v>
      </c>
      <c r="G7" s="12" t="s">
        <v>9</v>
      </c>
      <c r="H7" s="13" t="s">
        <v>8</v>
      </c>
      <c r="I7" s="12" t="s">
        <v>10</v>
      </c>
      <c r="J7" s="12" t="s">
        <v>11</v>
      </c>
      <c r="K7" s="194" t="s">
        <v>12</v>
      </c>
      <c r="L7" s="194" t="s">
        <v>12</v>
      </c>
      <c r="M7" s="14" t="s">
        <v>8</v>
      </c>
      <c r="N7" s="10"/>
      <c r="R7" s="2"/>
    </row>
    <row r="8" spans="1:18" ht="15.75" customHeight="1" thickTop="1" x14ac:dyDescent="0.25">
      <c r="A8" s="15"/>
      <c r="B8" s="16"/>
      <c r="C8" s="16"/>
      <c r="D8" s="16"/>
      <c r="E8" s="17"/>
      <c r="F8" s="16"/>
      <c r="G8" s="16"/>
      <c r="H8" s="17"/>
      <c r="I8" s="16"/>
      <c r="J8" s="16"/>
      <c r="K8" s="195"/>
      <c r="L8" s="195"/>
      <c r="M8" s="18"/>
      <c r="N8" s="10"/>
      <c r="R8" s="2"/>
    </row>
    <row r="9" spans="1:18" ht="15.75" x14ac:dyDescent="0.25">
      <c r="A9" s="19" t="s">
        <v>13</v>
      </c>
      <c r="B9" s="20">
        <f>DATE(2023,7,1)</f>
        <v>45108</v>
      </c>
      <c r="C9" s="21">
        <v>198971</v>
      </c>
      <c r="D9" s="22">
        <v>217943</v>
      </c>
      <c r="E9" s="23">
        <f t="shared" ref="E9:E17" si="0">(+C9-D9)/D9</f>
        <v>-8.7050283789798247E-2</v>
      </c>
      <c r="F9" s="21">
        <f>+C9-94713</f>
        <v>104258</v>
      </c>
      <c r="G9" s="21">
        <f>+D9-101378</f>
        <v>116565</v>
      </c>
      <c r="H9" s="23">
        <f t="shared" ref="H9:H14" si="1">(+F9-G9)/G9</f>
        <v>-0.1055805773602711</v>
      </c>
      <c r="I9" s="24">
        <f t="shared" ref="I9:I14" si="2">K9/C9</f>
        <v>75.297311065431643</v>
      </c>
      <c r="J9" s="24">
        <f t="shared" ref="J9:J14" si="3">K9/F9</f>
        <v>143.7010232308312</v>
      </c>
      <c r="K9" s="21">
        <v>14981981.279999999</v>
      </c>
      <c r="L9" s="21">
        <v>15995475.4</v>
      </c>
      <c r="M9" s="25">
        <f t="shared" ref="M9:M17" si="4">(+K9-L9)/L9</f>
        <v>-6.3361300283704042E-2</v>
      </c>
      <c r="N9" s="10"/>
      <c r="R9" s="2"/>
    </row>
    <row r="10" spans="1:18" ht="15.75" x14ac:dyDescent="0.25">
      <c r="A10" s="19"/>
      <c r="B10" s="20">
        <f>DATE(2023,8,1)</f>
        <v>45139</v>
      </c>
      <c r="C10" s="21">
        <v>185586</v>
      </c>
      <c r="D10" s="22">
        <v>199444</v>
      </c>
      <c r="E10" s="23">
        <f t="shared" si="0"/>
        <v>-6.9483163193678421E-2</v>
      </c>
      <c r="F10" s="21">
        <f>+C10-87146</f>
        <v>98440</v>
      </c>
      <c r="G10" s="21">
        <f>+D10-93160</f>
        <v>106284</v>
      </c>
      <c r="H10" s="23">
        <f t="shared" si="1"/>
        <v>-7.3802265627940233E-2</v>
      </c>
      <c r="I10" s="24">
        <f t="shared" si="2"/>
        <v>76.121730733999328</v>
      </c>
      <c r="J10" s="24">
        <f t="shared" si="3"/>
        <v>143.51003169443317</v>
      </c>
      <c r="K10" s="21">
        <v>14127127.52</v>
      </c>
      <c r="L10" s="21">
        <v>15184238.189999999</v>
      </c>
      <c r="M10" s="25">
        <f t="shared" si="4"/>
        <v>-6.9618946750729285E-2</v>
      </c>
      <c r="N10" s="10"/>
      <c r="R10" s="2"/>
    </row>
    <row r="11" spans="1:18" ht="15.75" x14ac:dyDescent="0.25">
      <c r="A11" s="19"/>
      <c r="B11" s="20">
        <f>DATE(2023,9,1)</f>
        <v>45170</v>
      </c>
      <c r="C11" s="21">
        <v>185491</v>
      </c>
      <c r="D11" s="22">
        <v>190853</v>
      </c>
      <c r="E11" s="23">
        <f t="shared" si="0"/>
        <v>-2.8094921222092395E-2</v>
      </c>
      <c r="F11" s="21">
        <f>+C11-86562</f>
        <v>98929</v>
      </c>
      <c r="G11" s="21">
        <f>+D11-90801</f>
        <v>100052</v>
      </c>
      <c r="H11" s="23">
        <f t="shared" si="1"/>
        <v>-1.1224163435013793E-2</v>
      </c>
      <c r="I11" s="24">
        <f t="shared" si="2"/>
        <v>68.920352901218919</v>
      </c>
      <c r="J11" s="24">
        <f t="shared" si="3"/>
        <v>129.22505210807751</v>
      </c>
      <c r="K11" s="21">
        <v>12784105.18</v>
      </c>
      <c r="L11" s="21">
        <v>13875166.15</v>
      </c>
      <c r="M11" s="25">
        <f t="shared" si="4"/>
        <v>-7.8634083239428498E-2</v>
      </c>
      <c r="N11" s="10"/>
      <c r="R11" s="2"/>
    </row>
    <row r="12" spans="1:18" ht="15.75" x14ac:dyDescent="0.25">
      <c r="A12" s="19"/>
      <c r="B12" s="20">
        <f>DATE(2023,10,1)</f>
        <v>45200</v>
      </c>
      <c r="C12" s="21">
        <v>169150</v>
      </c>
      <c r="D12" s="22">
        <v>191998</v>
      </c>
      <c r="E12" s="23">
        <f t="shared" si="0"/>
        <v>-0.1190012395962458</v>
      </c>
      <c r="F12" s="21">
        <f>+C12-77860</f>
        <v>91290</v>
      </c>
      <c r="G12" s="21">
        <f>+D12-90818</f>
        <v>101180</v>
      </c>
      <c r="H12" s="23">
        <f t="shared" si="1"/>
        <v>-9.7746590235224348E-2</v>
      </c>
      <c r="I12" s="24">
        <f t="shared" si="2"/>
        <v>76.039374933490976</v>
      </c>
      <c r="J12" s="24">
        <f t="shared" si="3"/>
        <v>140.89232413188739</v>
      </c>
      <c r="K12" s="21">
        <v>12862060.27</v>
      </c>
      <c r="L12" s="21">
        <v>14645832.02</v>
      </c>
      <c r="M12" s="25">
        <f t="shared" si="4"/>
        <v>-0.1217938146200314</v>
      </c>
      <c r="N12" s="10"/>
      <c r="R12" s="2"/>
    </row>
    <row r="13" spans="1:18" ht="15.75" x14ac:dyDescent="0.25">
      <c r="A13" s="19"/>
      <c r="B13" s="20">
        <f>DATE(2023,11,1)</f>
        <v>45231</v>
      </c>
      <c r="C13" s="21">
        <v>176075</v>
      </c>
      <c r="D13" s="22">
        <v>181329</v>
      </c>
      <c r="E13" s="23">
        <f t="shared" si="0"/>
        <v>-2.8974957122137109E-2</v>
      </c>
      <c r="F13" s="21">
        <f>+C13-85210</f>
        <v>90865</v>
      </c>
      <c r="G13" s="21">
        <f>+D13-85776</f>
        <v>95553</v>
      </c>
      <c r="H13" s="23">
        <f t="shared" si="1"/>
        <v>-4.9061777233577179E-2</v>
      </c>
      <c r="I13" s="24">
        <f t="shared" si="2"/>
        <v>71.677413318188272</v>
      </c>
      <c r="J13" s="24">
        <f t="shared" si="3"/>
        <v>138.89396962526826</v>
      </c>
      <c r="K13" s="21">
        <v>12620600.550000001</v>
      </c>
      <c r="L13" s="21">
        <v>13547746.890000001</v>
      </c>
      <c r="M13" s="25">
        <f t="shared" si="4"/>
        <v>-6.8435463662548532E-2</v>
      </c>
      <c r="N13" s="10"/>
      <c r="R13" s="2"/>
    </row>
    <row r="14" spans="1:18" ht="15.75" x14ac:dyDescent="0.25">
      <c r="A14" s="19"/>
      <c r="B14" s="20">
        <f>DATE(2023,12,1)</f>
        <v>45261</v>
      </c>
      <c r="C14" s="21">
        <v>204702</v>
      </c>
      <c r="D14" s="22">
        <v>198171</v>
      </c>
      <c r="E14" s="23">
        <f t="shared" si="0"/>
        <v>3.2956386151354135E-2</v>
      </c>
      <c r="F14" s="21">
        <f>+C14-98466</f>
        <v>106236</v>
      </c>
      <c r="G14" s="21">
        <f>+D14-94881</f>
        <v>103290</v>
      </c>
      <c r="H14" s="23">
        <f t="shared" si="1"/>
        <v>2.8521638106302642E-2</v>
      </c>
      <c r="I14" s="24">
        <f t="shared" si="2"/>
        <v>67.40296621430177</v>
      </c>
      <c r="J14" s="24">
        <f t="shared" si="3"/>
        <v>129.87614358597838</v>
      </c>
      <c r="K14" s="21">
        <v>13797521.99</v>
      </c>
      <c r="L14" s="21">
        <v>13219110.720000001</v>
      </c>
      <c r="M14" s="25">
        <f t="shared" si="4"/>
        <v>4.3755686918098488E-2</v>
      </c>
      <c r="N14" s="10"/>
      <c r="R14" s="2"/>
    </row>
    <row r="15" spans="1:18" ht="15.75" x14ac:dyDescent="0.25">
      <c r="A15" s="19"/>
      <c r="B15" s="20">
        <f>DATE(2024,1,1)</f>
        <v>45292</v>
      </c>
      <c r="C15" s="21">
        <v>158832</v>
      </c>
      <c r="D15" s="22">
        <v>197003</v>
      </c>
      <c r="E15" s="23">
        <f t="shared" si="0"/>
        <v>-0.19375847068318758</v>
      </c>
      <c r="F15" s="21">
        <f>+C15-76421</f>
        <v>82411</v>
      </c>
      <c r="G15" s="21">
        <f>D15-95273</f>
        <v>101730</v>
      </c>
      <c r="H15" s="23">
        <f>(+F15-G15)/G15</f>
        <v>-0.18990464956256758</v>
      </c>
      <c r="I15" s="24">
        <f>K15/C15</f>
        <v>78.008131988516169</v>
      </c>
      <c r="J15" s="24">
        <f>K15/F15</f>
        <v>150.34628411255778</v>
      </c>
      <c r="K15" s="21">
        <v>12390187.619999999</v>
      </c>
      <c r="L15" s="21">
        <v>14485066.34</v>
      </c>
      <c r="M15" s="25">
        <f t="shared" si="4"/>
        <v>-0.14462334316102282</v>
      </c>
      <c r="N15" s="10"/>
      <c r="R15" s="2"/>
    </row>
    <row r="16" spans="1:18" ht="15.75" x14ac:dyDescent="0.25">
      <c r="A16" s="19"/>
      <c r="B16" s="20">
        <f>DATE(2024,2,1)</f>
        <v>45323</v>
      </c>
      <c r="C16" s="21">
        <v>185703</v>
      </c>
      <c r="D16" s="22">
        <v>191288</v>
      </c>
      <c r="E16" s="23">
        <f t="shared" si="0"/>
        <v>-2.9196813182217389E-2</v>
      </c>
      <c r="F16" s="21">
        <f>+C16-89848</f>
        <v>95855</v>
      </c>
      <c r="G16" s="21">
        <f>+D16-92919</f>
        <v>98369</v>
      </c>
      <c r="H16" s="23">
        <f>(+F16-G16)/G16</f>
        <v>-2.5556831928758045E-2</v>
      </c>
      <c r="I16" s="24">
        <f>K16/C16</f>
        <v>73.70802227212269</v>
      </c>
      <c r="J16" s="24">
        <f>K16/F16</f>
        <v>142.79694183923635</v>
      </c>
      <c r="K16" s="21">
        <v>13687800.859999999</v>
      </c>
      <c r="L16" s="21">
        <v>13954232.720000001</v>
      </c>
      <c r="M16" s="25">
        <f t="shared" si="4"/>
        <v>-1.909326477106376E-2</v>
      </c>
      <c r="N16" s="10"/>
      <c r="R16" s="2"/>
    </row>
    <row r="17" spans="1:18" ht="15.75" x14ac:dyDescent="0.25">
      <c r="A17" s="19"/>
      <c r="B17" s="20">
        <f>DATE(2024,3,1)</f>
        <v>45352</v>
      </c>
      <c r="C17" s="21">
        <v>209559</v>
      </c>
      <c r="D17" s="22">
        <v>217797</v>
      </c>
      <c r="E17" s="23">
        <f t="shared" si="0"/>
        <v>-3.782421245471701E-2</v>
      </c>
      <c r="F17" s="21">
        <f>+C17-100610</f>
        <v>108949</v>
      </c>
      <c r="G17" s="21">
        <f>+D17-105615</f>
        <v>112182</v>
      </c>
      <c r="H17" s="23">
        <f>(+F17-G17)/G17</f>
        <v>-2.8819240163306056E-2</v>
      </c>
      <c r="I17" s="24">
        <f>K17/C17</f>
        <v>78.06301576167094</v>
      </c>
      <c r="J17" s="24">
        <f>K17/F17</f>
        <v>150.15105710011105</v>
      </c>
      <c r="K17" s="21">
        <v>16358807.52</v>
      </c>
      <c r="L17" s="21">
        <v>15680989.529999999</v>
      </c>
      <c r="M17" s="25">
        <f t="shared" si="4"/>
        <v>4.3225460274891228E-2</v>
      </c>
      <c r="N17" s="10"/>
      <c r="R17" s="2"/>
    </row>
    <row r="18" spans="1:18" ht="15.75" customHeight="1" thickBot="1" x14ac:dyDescent="0.3">
      <c r="A18" s="19"/>
      <c r="B18" s="20"/>
      <c r="C18" s="21"/>
      <c r="D18" s="21"/>
      <c r="E18" s="23"/>
      <c r="F18" s="21"/>
      <c r="G18" s="21"/>
      <c r="H18" s="23"/>
      <c r="I18" s="24"/>
      <c r="J18" s="24"/>
      <c r="K18" s="21"/>
      <c r="L18" s="21"/>
      <c r="M18" s="25"/>
      <c r="N18" s="10"/>
      <c r="R18" s="2"/>
    </row>
    <row r="19" spans="1:18" ht="17.25" thickTop="1" thickBot="1" x14ac:dyDescent="0.3">
      <c r="A19" s="26" t="s">
        <v>14</v>
      </c>
      <c r="B19" s="27"/>
      <c r="C19" s="28">
        <f>SUM(C9:C18)</f>
        <v>1674069</v>
      </c>
      <c r="D19" s="28">
        <f>SUM(D9:D18)</f>
        <v>1785826</v>
      </c>
      <c r="E19" s="279">
        <f>(+C19-D19)/D19</f>
        <v>-6.2580004994887514E-2</v>
      </c>
      <c r="F19" s="28">
        <f>SUM(F9:F18)</f>
        <v>877233</v>
      </c>
      <c r="G19" s="28">
        <f>SUM(G9:G18)</f>
        <v>935205</v>
      </c>
      <c r="H19" s="30">
        <f>(+F19-G19)/G19</f>
        <v>-6.1988547965419347E-2</v>
      </c>
      <c r="I19" s="31">
        <f>K19/C19</f>
        <v>73.838170822110669</v>
      </c>
      <c r="J19" s="31">
        <f>K19/F19</f>
        <v>140.90919150328361</v>
      </c>
      <c r="K19" s="28">
        <f>SUM(K9:K18)</f>
        <v>123610192.78999999</v>
      </c>
      <c r="L19" s="28">
        <f>SUM(L9:L18)</f>
        <v>130587857.96000001</v>
      </c>
      <c r="M19" s="32">
        <f>(+K19-L19)/L19</f>
        <v>-5.3432725515241433E-2</v>
      </c>
      <c r="N19" s="10"/>
      <c r="R19" s="2"/>
    </row>
    <row r="20" spans="1:18" ht="15.75" customHeight="1" thickTop="1" x14ac:dyDescent="0.25">
      <c r="A20" s="15"/>
      <c r="B20" s="16"/>
      <c r="C20" s="16"/>
      <c r="D20" s="16"/>
      <c r="E20" s="17"/>
      <c r="F20" s="16"/>
      <c r="G20" s="16"/>
      <c r="H20" s="17"/>
      <c r="I20" s="16"/>
      <c r="J20" s="16"/>
      <c r="K20" s="195"/>
      <c r="L20" s="195"/>
      <c r="M20" s="18"/>
      <c r="N20" s="10"/>
      <c r="R20" s="2"/>
    </row>
    <row r="21" spans="1:18" ht="15.75" x14ac:dyDescent="0.25">
      <c r="A21" s="19" t="s">
        <v>15</v>
      </c>
      <c r="B21" s="20">
        <f>DATE(2023,7,1)</f>
        <v>45108</v>
      </c>
      <c r="C21" s="21">
        <v>114764</v>
      </c>
      <c r="D21" s="21">
        <v>114715</v>
      </c>
      <c r="E21" s="23">
        <f t="shared" ref="E21:E29" si="5">(+C21-D21)/D21</f>
        <v>4.2714553458571243E-4</v>
      </c>
      <c r="F21" s="21">
        <f>+C21-56037</f>
        <v>58727</v>
      </c>
      <c r="G21" s="21">
        <f>+D21-55568</f>
        <v>59147</v>
      </c>
      <c r="H21" s="23">
        <f t="shared" ref="H21:H26" si="6">(+F21-G21)/G21</f>
        <v>-7.1009518656905673E-3</v>
      </c>
      <c r="I21" s="24">
        <f t="shared" ref="I21:I26" si="7">K21/C21</f>
        <v>71.3647338886759</v>
      </c>
      <c r="J21" s="24">
        <f t="shared" ref="J21:J26" si="8">K21/F21</f>
        <v>139.46059427520561</v>
      </c>
      <c r="K21" s="21">
        <v>8190102.3200000003</v>
      </c>
      <c r="L21" s="21">
        <v>8395754.2100000009</v>
      </c>
      <c r="M21" s="25">
        <f t="shared" ref="M21:M29" si="9">(+K21-L21)/L21</f>
        <v>-2.4494748757062597E-2</v>
      </c>
      <c r="N21" s="10"/>
      <c r="R21" s="2"/>
    </row>
    <row r="22" spans="1:18" ht="15.75" x14ac:dyDescent="0.25">
      <c r="A22" s="19"/>
      <c r="B22" s="20">
        <f>DATE(2023,8,1)</f>
        <v>45139</v>
      </c>
      <c r="C22" s="21">
        <v>103488</v>
      </c>
      <c r="D22" s="21">
        <v>103784</v>
      </c>
      <c r="E22" s="23">
        <f t="shared" si="5"/>
        <v>-2.8520773915054346E-3</v>
      </c>
      <c r="F22" s="21">
        <f>+C22-50126</f>
        <v>53362</v>
      </c>
      <c r="G22" s="21">
        <f>+D22-49858</f>
        <v>53926</v>
      </c>
      <c r="H22" s="23">
        <f t="shared" si="6"/>
        <v>-1.0458776842339501E-2</v>
      </c>
      <c r="I22" s="24">
        <f t="shared" si="7"/>
        <v>72.262649099412499</v>
      </c>
      <c r="J22" s="24">
        <f t="shared" si="8"/>
        <v>140.14311738690455</v>
      </c>
      <c r="K22" s="21">
        <v>7478317.0300000003</v>
      </c>
      <c r="L22" s="21">
        <v>7565961.5300000003</v>
      </c>
      <c r="M22" s="25">
        <f t="shared" si="9"/>
        <v>-1.1584053084657965E-2</v>
      </c>
      <c r="N22" s="10"/>
      <c r="R22" s="2"/>
    </row>
    <row r="23" spans="1:18" ht="15.75" x14ac:dyDescent="0.25">
      <c r="A23" s="19"/>
      <c r="B23" s="20">
        <f>DATE(2023,9,1)</f>
        <v>45170</v>
      </c>
      <c r="C23" s="21">
        <v>100304</v>
      </c>
      <c r="D23" s="21">
        <v>107511</v>
      </c>
      <c r="E23" s="23">
        <f t="shared" si="5"/>
        <v>-6.7035001069657985E-2</v>
      </c>
      <c r="F23" s="21">
        <f>+C23-48762</f>
        <v>51542</v>
      </c>
      <c r="G23" s="21">
        <f>+D23-51983</f>
        <v>55528</v>
      </c>
      <c r="H23" s="23">
        <f t="shared" si="6"/>
        <v>-7.1783604667915279E-2</v>
      </c>
      <c r="I23" s="24">
        <f t="shared" si="7"/>
        <v>71.829193551603126</v>
      </c>
      <c r="J23" s="24">
        <f t="shared" si="8"/>
        <v>139.78416495285398</v>
      </c>
      <c r="K23" s="21">
        <v>7204755.4299999997</v>
      </c>
      <c r="L23" s="21">
        <v>7793918.54</v>
      </c>
      <c r="M23" s="25">
        <f t="shared" si="9"/>
        <v>-7.559266971758731E-2</v>
      </c>
      <c r="N23" s="10"/>
      <c r="R23" s="2"/>
    </row>
    <row r="24" spans="1:18" ht="15.75" x14ac:dyDescent="0.25">
      <c r="A24" s="19"/>
      <c r="B24" s="20">
        <f>DATE(2023,10,1)</f>
        <v>45200</v>
      </c>
      <c r="C24" s="21">
        <v>93178</v>
      </c>
      <c r="D24" s="21">
        <v>104490</v>
      </c>
      <c r="E24" s="23">
        <f t="shared" si="5"/>
        <v>-0.10825916355632118</v>
      </c>
      <c r="F24" s="21">
        <f>+C24-45141</f>
        <v>48037</v>
      </c>
      <c r="G24" s="21">
        <f>+D24-49825</f>
        <v>54665</v>
      </c>
      <c r="H24" s="23">
        <f t="shared" si="6"/>
        <v>-0.121247599012165</v>
      </c>
      <c r="I24" s="24">
        <f t="shared" si="7"/>
        <v>70.092507136877799</v>
      </c>
      <c r="J24" s="24">
        <f t="shared" si="8"/>
        <v>135.95935695401462</v>
      </c>
      <c r="K24" s="21">
        <v>6531079.6299999999</v>
      </c>
      <c r="L24" s="21">
        <v>7661616.3399999999</v>
      </c>
      <c r="M24" s="25">
        <f t="shared" si="9"/>
        <v>-0.14755851243785981</v>
      </c>
      <c r="N24" s="10"/>
      <c r="R24" s="2"/>
    </row>
    <row r="25" spans="1:18" ht="15.75" x14ac:dyDescent="0.25">
      <c r="A25" s="19"/>
      <c r="B25" s="20">
        <f>DATE(2023,11,1)</f>
        <v>45231</v>
      </c>
      <c r="C25" s="21">
        <v>89320</v>
      </c>
      <c r="D25" s="21">
        <v>93678</v>
      </c>
      <c r="E25" s="23">
        <f t="shared" si="5"/>
        <v>-4.6521061508571916E-2</v>
      </c>
      <c r="F25" s="21">
        <f>+C25-43671</f>
        <v>45649</v>
      </c>
      <c r="G25" s="21">
        <f>+D25-44918</f>
        <v>48760</v>
      </c>
      <c r="H25" s="23">
        <f t="shared" si="6"/>
        <v>-6.3802296964725183E-2</v>
      </c>
      <c r="I25" s="24">
        <f t="shared" si="7"/>
        <v>76.058776197939991</v>
      </c>
      <c r="J25" s="24">
        <f t="shared" si="8"/>
        <v>148.82187758767989</v>
      </c>
      <c r="K25" s="21">
        <v>6793569.8899999997</v>
      </c>
      <c r="L25" s="21">
        <v>7032076.0599999996</v>
      </c>
      <c r="M25" s="25">
        <f t="shared" si="9"/>
        <v>-3.3916892815860689E-2</v>
      </c>
      <c r="N25" s="10"/>
      <c r="R25" s="2"/>
    </row>
    <row r="26" spans="1:18" ht="15.75" x14ac:dyDescent="0.25">
      <c r="A26" s="19"/>
      <c r="B26" s="20">
        <f>DATE(2023,12,1)</f>
        <v>45261</v>
      </c>
      <c r="C26" s="21">
        <v>103282</v>
      </c>
      <c r="D26" s="21">
        <v>102036</v>
      </c>
      <c r="E26" s="23">
        <f t="shared" si="5"/>
        <v>1.2211376376964993E-2</v>
      </c>
      <c r="F26" s="21">
        <f>+C26-51256</f>
        <v>52026</v>
      </c>
      <c r="G26" s="21">
        <f>+D26-49071</f>
        <v>52965</v>
      </c>
      <c r="H26" s="23">
        <f t="shared" si="6"/>
        <v>-1.7728688756726139E-2</v>
      </c>
      <c r="I26" s="24">
        <f t="shared" si="7"/>
        <v>75.579002343099475</v>
      </c>
      <c r="J26" s="24">
        <f t="shared" si="8"/>
        <v>150.03941337023795</v>
      </c>
      <c r="K26" s="21">
        <v>7805950.5199999996</v>
      </c>
      <c r="L26" s="21">
        <v>7398968.5199999996</v>
      </c>
      <c r="M26" s="25">
        <f t="shared" si="9"/>
        <v>5.500523470263393E-2</v>
      </c>
      <c r="N26" s="10"/>
      <c r="R26" s="2"/>
    </row>
    <row r="27" spans="1:18" ht="15.75" x14ac:dyDescent="0.25">
      <c r="A27" s="19"/>
      <c r="B27" s="20">
        <f>DATE(2024,1,1)</f>
        <v>45292</v>
      </c>
      <c r="C27" s="21">
        <v>79391</v>
      </c>
      <c r="D27" s="21">
        <v>98251</v>
      </c>
      <c r="E27" s="23">
        <f t="shared" si="5"/>
        <v>-0.19195733376759525</v>
      </c>
      <c r="F27" s="21">
        <f>C27-39096</f>
        <v>40295</v>
      </c>
      <c r="G27" s="21">
        <f>D27-47583</f>
        <v>50668</v>
      </c>
      <c r="H27" s="23">
        <f>(+F27-G27)/G27</f>
        <v>-0.20472487566116682</v>
      </c>
      <c r="I27" s="24">
        <f>K27/C27</f>
        <v>75.650664307037317</v>
      </c>
      <c r="J27" s="24">
        <f>K27/F27</f>
        <v>149.05030127807419</v>
      </c>
      <c r="K27" s="21">
        <v>6005981.8899999997</v>
      </c>
      <c r="L27" s="21">
        <v>7202856.0199999996</v>
      </c>
      <c r="M27" s="25">
        <f t="shared" si="9"/>
        <v>-0.16616660484072815</v>
      </c>
      <c r="N27" s="10"/>
      <c r="R27" s="2"/>
    </row>
    <row r="28" spans="1:18" ht="15.75" x14ac:dyDescent="0.25">
      <c r="A28" s="19"/>
      <c r="B28" s="20">
        <f>DATE(2024,2,1)</f>
        <v>45323</v>
      </c>
      <c r="C28" s="21">
        <v>98851</v>
      </c>
      <c r="D28" s="21">
        <v>104260</v>
      </c>
      <c r="E28" s="23">
        <f t="shared" si="5"/>
        <v>-5.1879915595626318E-2</v>
      </c>
      <c r="F28" s="21">
        <f>+C28-48603</f>
        <v>50248</v>
      </c>
      <c r="G28" s="21">
        <f>+D28-49646</f>
        <v>54614</v>
      </c>
      <c r="H28" s="23">
        <f>(+F28-G28)/G28</f>
        <v>-7.9942871791115824E-2</v>
      </c>
      <c r="I28" s="24">
        <f>K28/C28</f>
        <v>71.685818049387464</v>
      </c>
      <c r="J28" s="24">
        <f>K28/F28</f>
        <v>141.02481292787772</v>
      </c>
      <c r="K28" s="21">
        <v>7086214.7999999998</v>
      </c>
      <c r="L28" s="21">
        <v>7650534.7699999996</v>
      </c>
      <c r="M28" s="25">
        <f t="shared" si="9"/>
        <v>-7.3762160027409401E-2</v>
      </c>
      <c r="N28" s="10"/>
      <c r="R28" s="2"/>
    </row>
    <row r="29" spans="1:18" ht="15.75" x14ac:dyDescent="0.25">
      <c r="A29" s="19"/>
      <c r="B29" s="20">
        <f>DATE(2024,3,1)</f>
        <v>45352</v>
      </c>
      <c r="C29" s="21">
        <v>107559</v>
      </c>
      <c r="D29" s="21">
        <v>109210</v>
      </c>
      <c r="E29" s="23">
        <f t="shared" si="5"/>
        <v>-1.5117663217654061E-2</v>
      </c>
      <c r="F29" s="21">
        <f>+C29-53561</f>
        <v>53998</v>
      </c>
      <c r="G29" s="21">
        <f>+D29-53257</f>
        <v>55953</v>
      </c>
      <c r="H29" s="23">
        <f>(+F29-G29)/G29</f>
        <v>-3.4940038961271069E-2</v>
      </c>
      <c r="I29" s="24">
        <f>K29/C29</f>
        <v>74.227960189291451</v>
      </c>
      <c r="J29" s="24">
        <f>K29/F29</f>
        <v>147.85520148894403</v>
      </c>
      <c r="K29" s="21">
        <v>7983885.1699999999</v>
      </c>
      <c r="L29" s="21">
        <v>8584562.1699999999</v>
      </c>
      <c r="M29" s="25">
        <f t="shared" si="9"/>
        <v>-6.9971768868906686E-2</v>
      </c>
      <c r="N29" s="10"/>
      <c r="R29" s="2"/>
    </row>
    <row r="30" spans="1:18" ht="15.75" customHeight="1" thickBot="1" x14ac:dyDescent="0.3">
      <c r="A30" s="19"/>
      <c r="B30" s="20"/>
      <c r="C30" s="21"/>
      <c r="D30" s="21"/>
      <c r="E30" s="23"/>
      <c r="F30" s="21"/>
      <c r="G30" s="21"/>
      <c r="H30" s="23"/>
      <c r="I30" s="24"/>
      <c r="J30" s="24"/>
      <c r="K30" s="21"/>
      <c r="L30" s="21"/>
      <c r="M30" s="25"/>
      <c r="N30" s="10"/>
      <c r="R30" s="2"/>
    </row>
    <row r="31" spans="1:18" ht="17.25" customHeight="1" thickTop="1" thickBot="1" x14ac:dyDescent="0.3">
      <c r="A31" s="26" t="s">
        <v>14</v>
      </c>
      <c r="B31" s="27"/>
      <c r="C31" s="28">
        <f>SUM(C21:C30)</f>
        <v>890137</v>
      </c>
      <c r="D31" s="28">
        <f>SUM(D21:D30)</f>
        <v>937935</v>
      </c>
      <c r="E31" s="279">
        <f>(+C31-D31)/D31</f>
        <v>-5.09608874815419E-2</v>
      </c>
      <c r="F31" s="28">
        <f>SUM(F21:F30)</f>
        <v>453884</v>
      </c>
      <c r="G31" s="28">
        <f>SUM(G21:G30)</f>
        <v>486226</v>
      </c>
      <c r="H31" s="30">
        <f>(+F31-G31)/G31</f>
        <v>-6.6516393611201374E-2</v>
      </c>
      <c r="I31" s="31">
        <f>K31/C31</f>
        <v>73.112180125081863</v>
      </c>
      <c r="J31" s="31">
        <f>K31/F31</f>
        <v>143.3843375840523</v>
      </c>
      <c r="K31" s="28">
        <f>SUM(K21:K30)</f>
        <v>65079856.679999992</v>
      </c>
      <c r="L31" s="28">
        <f>SUM(L21:L30)</f>
        <v>69286248.159999996</v>
      </c>
      <c r="M31" s="32">
        <f>(+K31-L31)/L31</f>
        <v>-6.071033706842302E-2</v>
      </c>
      <c r="N31" s="10"/>
      <c r="R31" s="2"/>
    </row>
    <row r="32" spans="1:18" ht="15.75" customHeight="1" thickTop="1" x14ac:dyDescent="0.25">
      <c r="A32" s="33"/>
      <c r="B32" s="34"/>
      <c r="C32" s="35"/>
      <c r="D32" s="35"/>
      <c r="E32" s="29"/>
      <c r="F32" s="35"/>
      <c r="G32" s="35"/>
      <c r="H32" s="29"/>
      <c r="I32" s="36"/>
      <c r="J32" s="36"/>
      <c r="K32" s="35"/>
      <c r="L32" s="35"/>
      <c r="M32" s="37"/>
      <c r="N32" s="10"/>
      <c r="R32" s="2"/>
    </row>
    <row r="33" spans="1:18" ht="15.75" customHeight="1" x14ac:dyDescent="0.25">
      <c r="A33" s="19" t="s">
        <v>62</v>
      </c>
      <c r="B33" s="20">
        <f>DATE(2023,7,1)</f>
        <v>45108</v>
      </c>
      <c r="C33" s="21">
        <v>62207</v>
      </c>
      <c r="D33" s="21">
        <v>56544</v>
      </c>
      <c r="E33" s="23">
        <f t="shared" ref="E33:E41" si="10">(+C33-D33)/D33</f>
        <v>0.10015209394453876</v>
      </c>
      <c r="F33" s="21">
        <f>+C33-32355</f>
        <v>29852</v>
      </c>
      <c r="G33" s="21">
        <f>+D33-31773</f>
        <v>24771</v>
      </c>
      <c r="H33" s="23">
        <f t="shared" ref="H33:H38" si="11">(+F33-G33)/G33</f>
        <v>0.20511888902345485</v>
      </c>
      <c r="I33" s="24">
        <f t="shared" ref="I33:I38" si="12">K33/C33</f>
        <v>62.61233446396708</v>
      </c>
      <c r="J33" s="24">
        <f t="shared" ref="J33:J38" si="13">K33/F33</f>
        <v>130.47452398499263</v>
      </c>
      <c r="K33" s="21">
        <v>3894925.49</v>
      </c>
      <c r="L33" s="21">
        <v>3786512.7</v>
      </c>
      <c r="M33" s="25">
        <f t="shared" ref="M33:M41" si="14">(+K33-L33)/L33</f>
        <v>2.8631302359028145E-2</v>
      </c>
      <c r="N33" s="10"/>
      <c r="R33" s="2"/>
    </row>
    <row r="34" spans="1:18" ht="15.75" customHeight="1" x14ac:dyDescent="0.25">
      <c r="A34" s="19"/>
      <c r="B34" s="20">
        <f>DATE(2023,8,1)</f>
        <v>45139</v>
      </c>
      <c r="C34" s="21">
        <v>55791</v>
      </c>
      <c r="D34" s="21">
        <v>49669</v>
      </c>
      <c r="E34" s="23">
        <f t="shared" si="10"/>
        <v>0.12325595441824881</v>
      </c>
      <c r="F34" s="21">
        <f>+C34-28978</f>
        <v>26813</v>
      </c>
      <c r="G34" s="21">
        <f>+D34-27651</f>
        <v>22018</v>
      </c>
      <c r="H34" s="23">
        <f t="shared" si="11"/>
        <v>0.21777636479244256</v>
      </c>
      <c r="I34" s="24">
        <f t="shared" si="12"/>
        <v>67.347290960907671</v>
      </c>
      <c r="J34" s="24">
        <f t="shared" si="13"/>
        <v>140.13249953380821</v>
      </c>
      <c r="K34" s="21">
        <v>3757372.71</v>
      </c>
      <c r="L34" s="21">
        <v>3497013.51</v>
      </c>
      <c r="M34" s="25">
        <f t="shared" si="14"/>
        <v>7.4451871362658878E-2</v>
      </c>
      <c r="N34" s="10"/>
      <c r="R34" s="2"/>
    </row>
    <row r="35" spans="1:18" ht="15.75" customHeight="1" x14ac:dyDescent="0.25">
      <c r="A35" s="19"/>
      <c r="B35" s="20">
        <f>DATE(2023,9,1)</f>
        <v>45170</v>
      </c>
      <c r="C35" s="21">
        <v>56687</v>
      </c>
      <c r="D35" s="21">
        <v>50523</v>
      </c>
      <c r="E35" s="23">
        <f t="shared" si="10"/>
        <v>0.12200383983532252</v>
      </c>
      <c r="F35" s="21">
        <f>+C35-29799</f>
        <v>26888</v>
      </c>
      <c r="G35" s="21">
        <f>+D35-27954</f>
        <v>22569</v>
      </c>
      <c r="H35" s="23">
        <f t="shared" si="11"/>
        <v>0.19136869156808012</v>
      </c>
      <c r="I35" s="24">
        <f t="shared" si="12"/>
        <v>70.977173955227826</v>
      </c>
      <c r="J35" s="24">
        <f t="shared" si="13"/>
        <v>149.63861425171081</v>
      </c>
      <c r="K35" s="21">
        <v>4023483.06</v>
      </c>
      <c r="L35" s="21">
        <v>3596804.25</v>
      </c>
      <c r="M35" s="25">
        <f t="shared" si="14"/>
        <v>0.11862719801890804</v>
      </c>
      <c r="N35" s="10"/>
      <c r="R35" s="2"/>
    </row>
    <row r="36" spans="1:18" ht="15.75" customHeight="1" x14ac:dyDescent="0.25">
      <c r="A36" s="19"/>
      <c r="B36" s="20">
        <f>DATE(2023,10,1)</f>
        <v>45200</v>
      </c>
      <c r="C36" s="21">
        <v>50318</v>
      </c>
      <c r="D36" s="21">
        <v>47473</v>
      </c>
      <c r="E36" s="23">
        <f t="shared" si="10"/>
        <v>5.9928801634613359E-2</v>
      </c>
      <c r="F36" s="21">
        <f>+C36-26291</f>
        <v>24027</v>
      </c>
      <c r="G36" s="21">
        <f>+D36-26103</f>
        <v>21370</v>
      </c>
      <c r="H36" s="23">
        <f t="shared" si="11"/>
        <v>0.12433317735142724</v>
      </c>
      <c r="I36" s="24">
        <f t="shared" si="12"/>
        <v>73.565421916610362</v>
      </c>
      <c r="J36" s="24">
        <f t="shared" si="13"/>
        <v>154.06271694343863</v>
      </c>
      <c r="K36" s="21">
        <v>3701664.9</v>
      </c>
      <c r="L36" s="21">
        <v>3359585.24</v>
      </c>
      <c r="M36" s="25">
        <f t="shared" si="14"/>
        <v>0.1018219915741741</v>
      </c>
      <c r="N36" s="10"/>
      <c r="R36" s="2"/>
    </row>
    <row r="37" spans="1:18" ht="15.75" customHeight="1" x14ac:dyDescent="0.25">
      <c r="A37" s="19"/>
      <c r="B37" s="20">
        <f>DATE(2023,11,1)</f>
        <v>45231</v>
      </c>
      <c r="C37" s="21">
        <v>50441</v>
      </c>
      <c r="D37" s="21">
        <v>39425</v>
      </c>
      <c r="E37" s="23">
        <f t="shared" si="10"/>
        <v>0.27941661382371591</v>
      </c>
      <c r="F37" s="21">
        <f>+C37-26944</f>
        <v>23497</v>
      </c>
      <c r="G37" s="21">
        <f>+D37-21931</f>
        <v>17494</v>
      </c>
      <c r="H37" s="23">
        <f t="shared" si="11"/>
        <v>0.34314622156167829</v>
      </c>
      <c r="I37" s="24">
        <f t="shared" si="12"/>
        <v>71.075485022105028</v>
      </c>
      <c r="J37" s="24">
        <f t="shared" si="13"/>
        <v>152.57771375069157</v>
      </c>
      <c r="K37" s="21">
        <v>3585118.54</v>
      </c>
      <c r="L37" s="21">
        <v>3098197.39</v>
      </c>
      <c r="M37" s="25">
        <f t="shared" si="14"/>
        <v>0.15716272680740975</v>
      </c>
      <c r="N37" s="10"/>
      <c r="R37" s="2"/>
    </row>
    <row r="38" spans="1:18" ht="15.75" customHeight="1" x14ac:dyDescent="0.25">
      <c r="A38" s="19"/>
      <c r="B38" s="20">
        <f>DATE(2023,12,1)</f>
        <v>45261</v>
      </c>
      <c r="C38" s="21">
        <v>56340</v>
      </c>
      <c r="D38" s="21">
        <v>43315</v>
      </c>
      <c r="E38" s="23">
        <f t="shared" si="10"/>
        <v>0.30070414406094886</v>
      </c>
      <c r="F38" s="21">
        <f>+C38-30403</f>
        <v>25937</v>
      </c>
      <c r="G38" s="21">
        <f>+D38-23779</f>
        <v>19536</v>
      </c>
      <c r="H38" s="23">
        <f t="shared" si="11"/>
        <v>0.32765151515151514</v>
      </c>
      <c r="I38" s="24">
        <f t="shared" si="12"/>
        <v>72.165827476038345</v>
      </c>
      <c r="J38" s="24">
        <f t="shared" si="13"/>
        <v>156.75763272545015</v>
      </c>
      <c r="K38" s="21">
        <v>4065822.7200000002</v>
      </c>
      <c r="L38" s="21">
        <v>3140293.54</v>
      </c>
      <c r="M38" s="25">
        <f t="shared" si="14"/>
        <v>0.29472696364557061</v>
      </c>
      <c r="N38" s="10"/>
      <c r="R38" s="2"/>
    </row>
    <row r="39" spans="1:18" ht="15.75" customHeight="1" x14ac:dyDescent="0.25">
      <c r="A39" s="19"/>
      <c r="B39" s="20">
        <f>DATE(2024,1,1)</f>
        <v>45292</v>
      </c>
      <c r="C39" s="21">
        <v>44640</v>
      </c>
      <c r="D39" s="21">
        <v>50499</v>
      </c>
      <c r="E39" s="23">
        <f t="shared" si="10"/>
        <v>-0.11602209944751381</v>
      </c>
      <c r="F39" s="21">
        <f>C39-24389</f>
        <v>20251</v>
      </c>
      <c r="G39" s="21">
        <f>D39-27910</f>
        <v>22589</v>
      </c>
      <c r="H39" s="23">
        <f>(+F39-G39)/G39</f>
        <v>-0.10350170436938333</v>
      </c>
      <c r="I39" s="24">
        <f>K39/C39</f>
        <v>75.626118727598566</v>
      </c>
      <c r="J39" s="24">
        <f>K39/F39</f>
        <v>166.70534492123846</v>
      </c>
      <c r="K39" s="21">
        <v>3375949.94</v>
      </c>
      <c r="L39" s="21">
        <v>3631909.7</v>
      </c>
      <c r="M39" s="25">
        <f t="shared" si="14"/>
        <v>-7.0475254382012922E-2</v>
      </c>
      <c r="N39" s="10"/>
      <c r="R39" s="2"/>
    </row>
    <row r="40" spans="1:18" ht="15.75" customHeight="1" x14ac:dyDescent="0.25">
      <c r="A40" s="19"/>
      <c r="B40" s="20">
        <f>DATE(2024,2,1)</f>
        <v>45323</v>
      </c>
      <c r="C40" s="21">
        <v>56802</v>
      </c>
      <c r="D40" s="21">
        <v>57307</v>
      </c>
      <c r="E40" s="23">
        <f t="shared" si="10"/>
        <v>-8.8121869928630015E-3</v>
      </c>
      <c r="F40" s="21">
        <f>+C40-30752</f>
        <v>26050</v>
      </c>
      <c r="G40" s="21">
        <f>+D40-31374</f>
        <v>25933</v>
      </c>
      <c r="H40" s="23">
        <f>(+F40-G40)/G40</f>
        <v>4.5116261134461886E-3</v>
      </c>
      <c r="I40" s="24">
        <f>K40/C40</f>
        <v>71.510482553431217</v>
      </c>
      <c r="J40" s="24">
        <f>K40/F40</f>
        <v>155.92853857965451</v>
      </c>
      <c r="K40" s="21">
        <v>4061938.43</v>
      </c>
      <c r="L40" s="21">
        <v>3904673.42</v>
      </c>
      <c r="M40" s="25">
        <f t="shared" si="14"/>
        <v>4.0276098173659874E-2</v>
      </c>
      <c r="N40" s="10"/>
      <c r="R40" s="2"/>
    </row>
    <row r="41" spans="1:18" ht="15.75" customHeight="1" x14ac:dyDescent="0.25">
      <c r="A41" s="19"/>
      <c r="B41" s="20">
        <f>DATE(2024,3,1)</f>
        <v>45352</v>
      </c>
      <c r="C41" s="21">
        <v>64058</v>
      </c>
      <c r="D41" s="21">
        <v>62514</v>
      </c>
      <c r="E41" s="23">
        <f t="shared" si="10"/>
        <v>2.4698467543270309E-2</v>
      </c>
      <c r="F41" s="21">
        <f>+C41-34165</f>
        <v>29893</v>
      </c>
      <c r="G41" s="21">
        <f>+D41-33809</f>
        <v>28705</v>
      </c>
      <c r="H41" s="23">
        <f>(+F41-G41)/G41</f>
        <v>4.1386518028218078E-2</v>
      </c>
      <c r="I41" s="24">
        <f>K41/C41</f>
        <v>73.359963782821808</v>
      </c>
      <c r="J41" s="24">
        <f>K41/F41</f>
        <v>157.20377881109289</v>
      </c>
      <c r="K41" s="21">
        <v>4699292.5599999996</v>
      </c>
      <c r="L41" s="21">
        <v>4507918.3899999997</v>
      </c>
      <c r="M41" s="25">
        <f t="shared" si="14"/>
        <v>4.2452891433112198E-2</v>
      </c>
      <c r="N41" s="10"/>
      <c r="R41" s="2"/>
    </row>
    <row r="42" spans="1:18" ht="15.75" customHeight="1" thickBot="1" x14ac:dyDescent="0.25">
      <c r="A42" s="38"/>
      <c r="B42" s="20"/>
      <c r="C42" s="21"/>
      <c r="D42" s="21"/>
      <c r="E42" s="23"/>
      <c r="F42" s="21"/>
      <c r="G42" s="21"/>
      <c r="H42" s="23"/>
      <c r="I42" s="24"/>
      <c r="J42" s="24"/>
      <c r="K42" s="21"/>
      <c r="L42" s="21"/>
      <c r="M42" s="25"/>
      <c r="N42" s="10"/>
      <c r="R42" s="2"/>
    </row>
    <row r="43" spans="1:18" ht="17.25" customHeight="1" thickTop="1" thickBot="1" x14ac:dyDescent="0.3">
      <c r="A43" s="39" t="s">
        <v>14</v>
      </c>
      <c r="B43" s="40"/>
      <c r="C43" s="41">
        <f>SUM(C33:C42)</f>
        <v>497284</v>
      </c>
      <c r="D43" s="41">
        <f>SUM(D33:D42)</f>
        <v>457269</v>
      </c>
      <c r="E43" s="280">
        <f>(+C43-D43)/D43</f>
        <v>8.7508665577592182E-2</v>
      </c>
      <c r="F43" s="41">
        <f>SUM(F33:F42)</f>
        <v>233208</v>
      </c>
      <c r="G43" s="41">
        <f>SUM(G33:G42)</f>
        <v>204985</v>
      </c>
      <c r="H43" s="42">
        <f>(+F43-G43)/G43</f>
        <v>0.13768324511549626</v>
      </c>
      <c r="I43" s="43">
        <f>K43/C43</f>
        <v>70.715262003201389</v>
      </c>
      <c r="J43" s="43">
        <f>K43/F43</f>
        <v>150.79057472299408</v>
      </c>
      <c r="K43" s="41">
        <f>SUM(K33:K42)</f>
        <v>35165568.350000001</v>
      </c>
      <c r="L43" s="41">
        <f>SUM(L33:L42)</f>
        <v>32522908.140000001</v>
      </c>
      <c r="M43" s="44">
        <f>(+K43-L43)/L43</f>
        <v>8.125534772672395E-2</v>
      </c>
      <c r="N43" s="10"/>
      <c r="R43" s="2"/>
    </row>
    <row r="44" spans="1:18" ht="15.75" customHeight="1" thickTop="1" x14ac:dyDescent="0.2">
      <c r="A44" s="38"/>
      <c r="B44" s="45"/>
      <c r="C44" s="21"/>
      <c r="D44" s="21"/>
      <c r="E44" s="23"/>
      <c r="F44" s="21"/>
      <c r="G44" s="21"/>
      <c r="H44" s="23"/>
      <c r="I44" s="24"/>
      <c r="J44" s="24"/>
      <c r="K44" s="21"/>
      <c r="L44" s="21"/>
      <c r="M44" s="25"/>
      <c r="N44" s="10"/>
      <c r="R44" s="2"/>
    </row>
    <row r="45" spans="1:18" ht="15.75" customHeight="1" x14ac:dyDescent="0.25">
      <c r="A45" s="177" t="s">
        <v>58</v>
      </c>
      <c r="B45" s="20">
        <f>DATE(2023,7,1)</f>
        <v>45108</v>
      </c>
      <c r="C45" s="21">
        <v>351840</v>
      </c>
      <c r="D45" s="21">
        <v>327697</v>
      </c>
      <c r="E45" s="23">
        <f t="shared" ref="E45:E53" si="15">(+C45-D45)/D45</f>
        <v>7.3674766628928551E-2</v>
      </c>
      <c r="F45" s="21">
        <f>+C45-174244</f>
        <v>177596</v>
      </c>
      <c r="G45" s="21">
        <f>+D45-165744</f>
        <v>161953</v>
      </c>
      <c r="H45" s="23">
        <f t="shared" ref="H45:H50" si="16">(+F45-G45)/G45</f>
        <v>9.658975134761319E-2</v>
      </c>
      <c r="I45" s="24">
        <f t="shared" ref="I45:I50" si="17">K45/C45</f>
        <v>63.266514836289218</v>
      </c>
      <c r="J45" s="24">
        <f t="shared" ref="J45:J50" si="18">K45/F45</f>
        <v>125.33891855672424</v>
      </c>
      <c r="K45" s="21">
        <v>22259690.579999998</v>
      </c>
      <c r="L45" s="21">
        <v>21404058.239999998</v>
      </c>
      <c r="M45" s="25">
        <f t="shared" ref="M45:M53" si="19">(+K45-L45)/L45</f>
        <v>3.9975238826485265E-2</v>
      </c>
      <c r="N45" s="10"/>
      <c r="R45" s="2"/>
    </row>
    <row r="46" spans="1:18" ht="15.75" customHeight="1" x14ac:dyDescent="0.25">
      <c r="A46" s="177"/>
      <c r="B46" s="20">
        <f>DATE(2023,8,1)</f>
        <v>45139</v>
      </c>
      <c r="C46" s="21">
        <v>330822</v>
      </c>
      <c r="D46" s="21">
        <v>302775</v>
      </c>
      <c r="E46" s="23">
        <f t="shared" si="15"/>
        <v>9.2633143423334161E-2</v>
      </c>
      <c r="F46" s="21">
        <f>+C46-166752</f>
        <v>164070</v>
      </c>
      <c r="G46" s="21">
        <f>+D46-150422</f>
        <v>152353</v>
      </c>
      <c r="H46" s="23">
        <f t="shared" si="16"/>
        <v>7.6906920113158264E-2</v>
      </c>
      <c r="I46" s="24">
        <f t="shared" si="17"/>
        <v>60.320833197308524</v>
      </c>
      <c r="J46" s="24">
        <f t="shared" si="18"/>
        <v>121.62771183031633</v>
      </c>
      <c r="K46" s="21">
        <v>19955458.68</v>
      </c>
      <c r="L46" s="21">
        <v>19341318.82</v>
      </c>
      <c r="M46" s="25">
        <f t="shared" si="19"/>
        <v>3.1752739599377508E-2</v>
      </c>
      <c r="N46" s="10"/>
      <c r="R46" s="2"/>
    </row>
    <row r="47" spans="1:18" ht="15.75" customHeight="1" x14ac:dyDescent="0.25">
      <c r="A47" s="177"/>
      <c r="B47" s="20">
        <f>DATE(2023,9,1)</f>
        <v>45170</v>
      </c>
      <c r="C47" s="21">
        <v>316962</v>
      </c>
      <c r="D47" s="21">
        <v>299586</v>
      </c>
      <c r="E47" s="23">
        <f t="shared" si="15"/>
        <v>5.8000040055276279E-2</v>
      </c>
      <c r="F47" s="21">
        <f>+C47-158185</f>
        <v>158777</v>
      </c>
      <c r="G47" s="21">
        <f>+D47-150974</f>
        <v>148612</v>
      </c>
      <c r="H47" s="23">
        <f t="shared" si="16"/>
        <v>6.8399590880951738E-2</v>
      </c>
      <c r="I47" s="24">
        <f t="shared" si="17"/>
        <v>64.654702235599217</v>
      </c>
      <c r="J47" s="24">
        <f t="shared" si="18"/>
        <v>129.06833943203361</v>
      </c>
      <c r="K47" s="21">
        <v>20493083.73</v>
      </c>
      <c r="L47" s="21">
        <v>21154344.73</v>
      </c>
      <c r="M47" s="25">
        <f t="shared" si="19"/>
        <v>-3.1258874166980637E-2</v>
      </c>
      <c r="N47" s="10"/>
      <c r="R47" s="2"/>
    </row>
    <row r="48" spans="1:18" ht="15.75" customHeight="1" x14ac:dyDescent="0.25">
      <c r="A48" s="177"/>
      <c r="B48" s="20">
        <f>DATE(2023,10,1)</f>
        <v>45200</v>
      </c>
      <c r="C48" s="21">
        <v>288802</v>
      </c>
      <c r="D48" s="21">
        <v>280901</v>
      </c>
      <c r="E48" s="23">
        <f t="shared" si="15"/>
        <v>2.812734735725398E-2</v>
      </c>
      <c r="F48" s="21">
        <f>+C48-147350</f>
        <v>141452</v>
      </c>
      <c r="G48" s="21">
        <f>+D48-143073</f>
        <v>137828</v>
      </c>
      <c r="H48" s="23">
        <f t="shared" si="16"/>
        <v>2.6293641350088517E-2</v>
      </c>
      <c r="I48" s="24">
        <f t="shared" si="17"/>
        <v>67.019315586457154</v>
      </c>
      <c r="J48" s="24">
        <f t="shared" si="18"/>
        <v>136.83307680343862</v>
      </c>
      <c r="K48" s="21">
        <v>19355312.379999999</v>
      </c>
      <c r="L48" s="21">
        <v>19256450</v>
      </c>
      <c r="M48" s="25">
        <f t="shared" si="19"/>
        <v>5.1339878326482277E-3</v>
      </c>
      <c r="N48" s="10"/>
      <c r="R48" s="2"/>
    </row>
    <row r="49" spans="1:18" ht="15.75" customHeight="1" x14ac:dyDescent="0.25">
      <c r="A49" s="177"/>
      <c r="B49" s="20">
        <f>DATE(2023,11,1)</f>
        <v>45231</v>
      </c>
      <c r="C49" s="21">
        <v>288915</v>
      </c>
      <c r="D49" s="21">
        <v>277702</v>
      </c>
      <c r="E49" s="23">
        <f t="shared" si="15"/>
        <v>4.0377815067950538E-2</v>
      </c>
      <c r="F49" s="21">
        <f>+C49-147815</f>
        <v>141100</v>
      </c>
      <c r="G49" s="21">
        <f>+D49-138977</f>
        <v>138725</v>
      </c>
      <c r="H49" s="23">
        <f t="shared" si="16"/>
        <v>1.7120201838169039E-2</v>
      </c>
      <c r="I49" s="24">
        <f t="shared" si="17"/>
        <v>68.224359309831613</v>
      </c>
      <c r="J49" s="24">
        <f t="shared" si="18"/>
        <v>139.6955405386251</v>
      </c>
      <c r="K49" s="21">
        <v>19711040.77</v>
      </c>
      <c r="L49" s="21">
        <v>17923650.210000001</v>
      </c>
      <c r="M49" s="25">
        <f t="shared" si="19"/>
        <v>9.9722463842927142E-2</v>
      </c>
      <c r="N49" s="10"/>
      <c r="R49" s="2"/>
    </row>
    <row r="50" spans="1:18" ht="15.75" customHeight="1" x14ac:dyDescent="0.25">
      <c r="A50" s="177"/>
      <c r="B50" s="20">
        <f>DATE(2023,12,1)</f>
        <v>45261</v>
      </c>
      <c r="C50" s="21">
        <v>314743</v>
      </c>
      <c r="D50" s="21">
        <v>302510</v>
      </c>
      <c r="E50" s="23">
        <f t="shared" si="15"/>
        <v>4.043833261710357E-2</v>
      </c>
      <c r="F50" s="21">
        <f>+C50-159932</f>
        <v>154811</v>
      </c>
      <c r="G50" s="21">
        <f>+D50-154252</f>
        <v>148258</v>
      </c>
      <c r="H50" s="23">
        <f t="shared" si="16"/>
        <v>4.4199975718005102E-2</v>
      </c>
      <c r="I50" s="24">
        <f t="shared" si="17"/>
        <v>67.908941453821058</v>
      </c>
      <c r="J50" s="24">
        <f t="shared" si="18"/>
        <v>138.06424582232529</v>
      </c>
      <c r="K50" s="21">
        <v>21373863.960000001</v>
      </c>
      <c r="L50" s="21">
        <v>20223315.530000001</v>
      </c>
      <c r="M50" s="25">
        <f t="shared" si="19"/>
        <v>5.689217617621771E-2</v>
      </c>
      <c r="N50" s="10"/>
      <c r="R50" s="2"/>
    </row>
    <row r="51" spans="1:18" ht="15.75" customHeight="1" x14ac:dyDescent="0.25">
      <c r="A51" s="177"/>
      <c r="B51" s="20">
        <f>DATE(2024,1,1)</f>
        <v>45292</v>
      </c>
      <c r="C51" s="21">
        <v>259823</v>
      </c>
      <c r="D51" s="21">
        <v>303832</v>
      </c>
      <c r="E51" s="23">
        <f t="shared" si="15"/>
        <v>-0.14484649411516892</v>
      </c>
      <c r="F51" s="21">
        <f>+C51-132099</f>
        <v>127724</v>
      </c>
      <c r="G51" s="21">
        <f>D51-157346</f>
        <v>146486</v>
      </c>
      <c r="H51" s="23">
        <f>(+F51-G51)/G51</f>
        <v>-0.12808049916032932</v>
      </c>
      <c r="I51" s="24">
        <f>K51/C51</f>
        <v>69.317519003321479</v>
      </c>
      <c r="J51" s="24">
        <f>K51/F51</f>
        <v>141.00940888165104</v>
      </c>
      <c r="K51" s="21">
        <v>18010285.739999998</v>
      </c>
      <c r="L51" s="21">
        <v>18911652.34</v>
      </c>
      <c r="M51" s="25">
        <f t="shared" si="19"/>
        <v>-4.7661969657380107E-2</v>
      </c>
      <c r="N51" s="10"/>
      <c r="R51" s="2"/>
    </row>
    <row r="52" spans="1:18" ht="15.75" customHeight="1" x14ac:dyDescent="0.25">
      <c r="A52" s="177"/>
      <c r="B52" s="20">
        <f>DATE(2024,2,1)</f>
        <v>45323</v>
      </c>
      <c r="C52" s="21">
        <v>307468</v>
      </c>
      <c r="D52" s="21">
        <v>310506</v>
      </c>
      <c r="E52" s="23">
        <f t="shared" si="15"/>
        <v>-9.7840299382298563E-3</v>
      </c>
      <c r="F52" s="21">
        <f>+C52-157418</f>
        <v>150050</v>
      </c>
      <c r="G52" s="21">
        <f>+D52-160719</f>
        <v>149787</v>
      </c>
      <c r="H52" s="23">
        <f>(+F52-G52)/G52</f>
        <v>1.7558266071154372E-3</v>
      </c>
      <c r="I52" s="24">
        <f>K52/C52</f>
        <v>67.201687232492489</v>
      </c>
      <c r="J52" s="24">
        <f>K52/F52</f>
        <v>137.70322139286904</v>
      </c>
      <c r="K52" s="21">
        <v>20662368.370000001</v>
      </c>
      <c r="L52" s="21">
        <v>19337969.649999999</v>
      </c>
      <c r="M52" s="25">
        <f t="shared" si="19"/>
        <v>6.8486958246932739E-2</v>
      </c>
      <c r="N52" s="10"/>
      <c r="R52" s="2"/>
    </row>
    <row r="53" spans="1:18" ht="15.75" customHeight="1" x14ac:dyDescent="0.25">
      <c r="A53" s="177"/>
      <c r="B53" s="20">
        <f>DATE(2024,3,1)</f>
        <v>45352</v>
      </c>
      <c r="C53" s="21">
        <v>325224</v>
      </c>
      <c r="D53" s="21">
        <v>350533</v>
      </c>
      <c r="E53" s="23">
        <f t="shared" si="15"/>
        <v>-7.220147603791939E-2</v>
      </c>
      <c r="F53" s="21">
        <f>+C53-169317</f>
        <v>155907</v>
      </c>
      <c r="G53" s="21">
        <f>+D53-179914</f>
        <v>170619</v>
      </c>
      <c r="H53" s="23">
        <f>(+F53-G53)/G53</f>
        <v>-8.6227207989731505E-2</v>
      </c>
      <c r="I53" s="24">
        <f>K53/C53</f>
        <v>66.520826415024715</v>
      </c>
      <c r="J53" s="24">
        <f>K53/F53</f>
        <v>138.76329638823145</v>
      </c>
      <c r="K53" s="21">
        <v>21634169.25</v>
      </c>
      <c r="L53" s="21">
        <v>22478514.140000001</v>
      </c>
      <c r="M53" s="25">
        <f t="shared" si="19"/>
        <v>-3.7562308822606215E-2</v>
      </c>
      <c r="N53" s="10"/>
      <c r="R53" s="2"/>
    </row>
    <row r="54" spans="1:18" ht="15.75" thickBot="1" x14ac:dyDescent="0.25">
      <c r="A54" s="38"/>
      <c r="B54" s="45"/>
      <c r="C54" s="21"/>
      <c r="D54" s="21"/>
      <c r="E54" s="23"/>
      <c r="F54" s="21"/>
      <c r="G54" s="21"/>
      <c r="H54" s="23"/>
      <c r="I54" s="24"/>
      <c r="J54" s="24"/>
      <c r="K54" s="21"/>
      <c r="L54" s="21"/>
      <c r="M54" s="25"/>
      <c r="N54" s="10"/>
      <c r="R54" s="2"/>
    </row>
    <row r="55" spans="1:18" ht="17.25" thickTop="1" thickBot="1" x14ac:dyDescent="0.3">
      <c r="A55" s="39" t="s">
        <v>14</v>
      </c>
      <c r="B55" s="40"/>
      <c r="C55" s="41">
        <f>SUM(C45:C54)</f>
        <v>2784599</v>
      </c>
      <c r="D55" s="41">
        <f>SUM(D45:D54)</f>
        <v>2756042</v>
      </c>
      <c r="E55" s="280">
        <f>(+C55-D55)/D55</f>
        <v>1.0361598263016311E-2</v>
      </c>
      <c r="F55" s="41">
        <f>SUM(F45:F54)</f>
        <v>1371487</v>
      </c>
      <c r="G55" s="41">
        <f>SUM(G45:G54)</f>
        <v>1354621</v>
      </c>
      <c r="H55" s="42">
        <f>(+F55-G55)/G55</f>
        <v>1.2450714997036072E-2</v>
      </c>
      <c r="I55" s="43">
        <f>K55/C55</f>
        <v>65.8821156870343</v>
      </c>
      <c r="J55" s="43">
        <f>K55/F55</f>
        <v>133.76377133724199</v>
      </c>
      <c r="K55" s="41">
        <f>SUM(K45:K54)</f>
        <v>183455273.46000001</v>
      </c>
      <c r="L55" s="41">
        <f>SUM(L45:L54)</f>
        <v>180031273.66000003</v>
      </c>
      <c r="M55" s="44">
        <f>(+K55-L55)/L55</f>
        <v>1.9018916715916889E-2</v>
      </c>
      <c r="N55" s="10"/>
      <c r="R55" s="2"/>
    </row>
    <row r="56" spans="1:18" ht="15.75" thickTop="1" x14ac:dyDescent="0.2">
      <c r="A56" s="38"/>
      <c r="B56" s="45"/>
      <c r="C56" s="21"/>
      <c r="D56" s="21"/>
      <c r="E56" s="23"/>
      <c r="F56" s="21"/>
      <c r="G56" s="21"/>
      <c r="H56" s="23"/>
      <c r="I56" s="24"/>
      <c r="J56" s="24"/>
      <c r="K56" s="21"/>
      <c r="L56" s="21"/>
      <c r="M56" s="25"/>
      <c r="N56" s="10"/>
      <c r="R56" s="2"/>
    </row>
    <row r="57" spans="1:18" ht="15.75" x14ac:dyDescent="0.25">
      <c r="A57" s="19" t="s">
        <v>60</v>
      </c>
      <c r="B57" s="20">
        <f>DATE(2023,7,1)</f>
        <v>45108</v>
      </c>
      <c r="C57" s="21">
        <v>199698</v>
      </c>
      <c r="D57" s="21">
        <v>219130</v>
      </c>
      <c r="E57" s="23">
        <f t="shared" ref="E57:E65" si="20">(+C57-D57)/D57</f>
        <v>-8.8677953726098657E-2</v>
      </c>
      <c r="F57" s="21">
        <f>+C57-94634</f>
        <v>105064</v>
      </c>
      <c r="G57" s="21">
        <f>+D57-103416</f>
        <v>115714</v>
      </c>
      <c r="H57" s="23">
        <f t="shared" ref="H57:H62" si="21">(+F57-G57)/G57</f>
        <v>-9.2037264289541454E-2</v>
      </c>
      <c r="I57" s="24">
        <f t="shared" ref="I57:I62" si="22">K57/C57</f>
        <v>76.994882722911598</v>
      </c>
      <c r="J57" s="24">
        <f t="shared" ref="J57:J62" si="23">K57/F57</f>
        <v>146.34626599025356</v>
      </c>
      <c r="K57" s="21">
        <v>15375724.09</v>
      </c>
      <c r="L57" s="21">
        <v>15073309.060000001</v>
      </c>
      <c r="M57" s="25">
        <f t="shared" ref="M57:M65" si="24">(+K57-L57)/L57</f>
        <v>2.0062948938167617E-2</v>
      </c>
      <c r="N57" s="10"/>
      <c r="R57" s="2"/>
    </row>
    <row r="58" spans="1:18" ht="15.75" x14ac:dyDescent="0.25">
      <c r="A58" s="19"/>
      <c r="B58" s="20">
        <f>DATE(2023,8,1)</f>
        <v>45139</v>
      </c>
      <c r="C58" s="21">
        <v>185862</v>
      </c>
      <c r="D58" s="21">
        <v>204381</v>
      </c>
      <c r="E58" s="23">
        <f t="shared" si="20"/>
        <v>-9.0610183921205983E-2</v>
      </c>
      <c r="F58" s="21">
        <f>+C58-90658</f>
        <v>95204</v>
      </c>
      <c r="G58" s="21">
        <f>+D58-97907</f>
        <v>106474</v>
      </c>
      <c r="H58" s="23">
        <f t="shared" si="21"/>
        <v>-0.10584743693296016</v>
      </c>
      <c r="I58" s="24">
        <f t="shared" si="22"/>
        <v>75.718013848984725</v>
      </c>
      <c r="J58" s="24">
        <f t="shared" si="23"/>
        <v>147.8204853787656</v>
      </c>
      <c r="K58" s="21">
        <v>14073101.49</v>
      </c>
      <c r="L58" s="21">
        <v>15308950.33</v>
      </c>
      <c r="M58" s="25">
        <f t="shared" si="24"/>
        <v>-8.0727209466359265E-2</v>
      </c>
      <c r="N58" s="10"/>
      <c r="R58" s="2"/>
    </row>
    <row r="59" spans="1:18" ht="15.75" x14ac:dyDescent="0.25">
      <c r="A59" s="19"/>
      <c r="B59" s="20">
        <f>DATE(2023,9,1)</f>
        <v>45170</v>
      </c>
      <c r="C59" s="21">
        <v>187631</v>
      </c>
      <c r="D59" s="21">
        <v>195879</v>
      </c>
      <c r="E59" s="23">
        <f t="shared" si="20"/>
        <v>-4.2107627668101229E-2</v>
      </c>
      <c r="F59" s="21">
        <f>+C59-91547</f>
        <v>96084</v>
      </c>
      <c r="G59" s="21">
        <f>+D59-93599</f>
        <v>102280</v>
      </c>
      <c r="H59" s="23">
        <f t="shared" si="21"/>
        <v>-6.0578803285099729E-2</v>
      </c>
      <c r="I59" s="24">
        <f t="shared" si="22"/>
        <v>73.725347463905223</v>
      </c>
      <c r="J59" s="24">
        <f t="shared" si="23"/>
        <v>143.96945037675368</v>
      </c>
      <c r="K59" s="21">
        <v>13833160.67</v>
      </c>
      <c r="L59" s="21">
        <v>13847415.310000001</v>
      </c>
      <c r="M59" s="25">
        <f t="shared" si="24"/>
        <v>-1.0294079928191736E-3</v>
      </c>
      <c r="N59" s="10"/>
      <c r="R59" s="2"/>
    </row>
    <row r="60" spans="1:18" ht="15.75" x14ac:dyDescent="0.25">
      <c r="A60" s="19"/>
      <c r="B60" s="20">
        <f>DATE(2023,10,1)</f>
        <v>45200</v>
      </c>
      <c r="C60" s="21">
        <v>183725</v>
      </c>
      <c r="D60" s="21">
        <v>197679</v>
      </c>
      <c r="E60" s="23">
        <f t="shared" si="20"/>
        <v>-7.058918752118333E-2</v>
      </c>
      <c r="F60" s="21">
        <f>+C60-90840</f>
        <v>92885</v>
      </c>
      <c r="G60" s="21">
        <f>+D60-94885</f>
        <v>102794</v>
      </c>
      <c r="H60" s="23">
        <f t="shared" si="21"/>
        <v>-9.6396676848843316E-2</v>
      </c>
      <c r="I60" s="24">
        <f t="shared" si="22"/>
        <v>72.951255517757517</v>
      </c>
      <c r="J60" s="24">
        <f t="shared" si="23"/>
        <v>144.29638176239436</v>
      </c>
      <c r="K60" s="21">
        <v>13402969.42</v>
      </c>
      <c r="L60" s="21">
        <v>11929810.6</v>
      </c>
      <c r="M60" s="25">
        <f t="shared" si="24"/>
        <v>0.12348551619084383</v>
      </c>
      <c r="N60" s="10"/>
      <c r="R60" s="2"/>
    </row>
    <row r="61" spans="1:18" ht="15.75" x14ac:dyDescent="0.25">
      <c r="A61" s="19"/>
      <c r="B61" s="20">
        <f>DATE(2023,11,1)</f>
        <v>45231</v>
      </c>
      <c r="C61" s="21">
        <v>168217</v>
      </c>
      <c r="D61" s="21">
        <v>191974</v>
      </c>
      <c r="E61" s="23">
        <f t="shared" si="20"/>
        <v>-0.12375113296592247</v>
      </c>
      <c r="F61" s="21">
        <f>+C61-79459</f>
        <v>88758</v>
      </c>
      <c r="G61" s="21">
        <f>+D61-91566</f>
        <v>100408</v>
      </c>
      <c r="H61" s="23">
        <f t="shared" si="21"/>
        <v>-0.11602661142538444</v>
      </c>
      <c r="I61" s="24">
        <f t="shared" si="22"/>
        <v>75.426880576873927</v>
      </c>
      <c r="J61" s="24">
        <f t="shared" si="23"/>
        <v>142.95143615223418</v>
      </c>
      <c r="K61" s="21">
        <v>12688083.57</v>
      </c>
      <c r="L61" s="21">
        <v>14099198.119999999</v>
      </c>
      <c r="M61" s="25">
        <f t="shared" si="24"/>
        <v>-0.10008473801061808</v>
      </c>
      <c r="N61" s="10"/>
      <c r="R61" s="2"/>
    </row>
    <row r="62" spans="1:18" ht="15.75" x14ac:dyDescent="0.25">
      <c r="A62" s="19"/>
      <c r="B62" s="20">
        <f>DATE(2023,12,1)</f>
        <v>45261</v>
      </c>
      <c r="C62" s="21">
        <v>202200</v>
      </c>
      <c r="D62" s="21">
        <v>193245</v>
      </c>
      <c r="E62" s="23">
        <f t="shared" si="20"/>
        <v>4.634013816657611E-2</v>
      </c>
      <c r="F62" s="21">
        <f>+C62-96202</f>
        <v>105998</v>
      </c>
      <c r="G62" s="21">
        <f>+D62-93799</f>
        <v>99446</v>
      </c>
      <c r="H62" s="23">
        <f t="shared" si="21"/>
        <v>6.5885002916155497E-2</v>
      </c>
      <c r="I62" s="24">
        <f t="shared" si="22"/>
        <v>77.010245301681508</v>
      </c>
      <c r="J62" s="24">
        <f t="shared" si="23"/>
        <v>146.90344723485347</v>
      </c>
      <c r="K62" s="21">
        <v>15571471.6</v>
      </c>
      <c r="L62" s="21">
        <v>14757470.5</v>
      </c>
      <c r="M62" s="25">
        <f t="shared" si="24"/>
        <v>5.5158578836393378E-2</v>
      </c>
      <c r="N62" s="10"/>
      <c r="R62" s="2"/>
    </row>
    <row r="63" spans="1:18" ht="15.75" x14ac:dyDescent="0.25">
      <c r="A63" s="19"/>
      <c r="B63" s="20">
        <f>DATE(2024,1,1)</f>
        <v>45292</v>
      </c>
      <c r="C63" s="21">
        <v>146132</v>
      </c>
      <c r="D63" s="21">
        <v>186881</v>
      </c>
      <c r="E63" s="23">
        <f t="shared" si="20"/>
        <v>-0.21804784863094698</v>
      </c>
      <c r="F63" s="21">
        <f>C63-67849</f>
        <v>78283</v>
      </c>
      <c r="G63" s="21">
        <f>D63-92185</f>
        <v>94696</v>
      </c>
      <c r="H63" s="23">
        <f>(+F63-G63)/G63</f>
        <v>-0.17332305482808144</v>
      </c>
      <c r="I63" s="24">
        <f>K63/C63</f>
        <v>77.318952385514464</v>
      </c>
      <c r="J63" s="24">
        <f>K63/F63</f>
        <v>144.33239847731949</v>
      </c>
      <c r="K63" s="21">
        <v>11298773.15</v>
      </c>
      <c r="L63" s="21">
        <v>14118368.050000001</v>
      </c>
      <c r="M63" s="25">
        <f t="shared" si="24"/>
        <v>-0.19971110612887019</v>
      </c>
      <c r="N63" s="10"/>
      <c r="R63" s="2"/>
    </row>
    <row r="64" spans="1:18" ht="15.75" x14ac:dyDescent="0.25">
      <c r="A64" s="19"/>
      <c r="B64" s="20">
        <f>DATE(2024,2,1)</f>
        <v>45323</v>
      </c>
      <c r="C64" s="21">
        <v>177020</v>
      </c>
      <c r="D64" s="21">
        <v>182698</v>
      </c>
      <c r="E64" s="23">
        <f t="shared" si="20"/>
        <v>-3.1078610603290677E-2</v>
      </c>
      <c r="F64" s="21">
        <f>+C64-81591</f>
        <v>95429</v>
      </c>
      <c r="G64" s="21">
        <f>+D64-88434</f>
        <v>94264</v>
      </c>
      <c r="H64" s="23">
        <f>(+F64-G64)/G64</f>
        <v>1.2358906899770856E-2</v>
      </c>
      <c r="I64" s="24">
        <f>K64/C64</f>
        <v>76.839070444017622</v>
      </c>
      <c r="J64" s="24">
        <f>K64/F64</f>
        <v>142.53583554265475</v>
      </c>
      <c r="K64" s="21">
        <v>13602052.25</v>
      </c>
      <c r="L64" s="21">
        <v>13691424.119999999</v>
      </c>
      <c r="M64" s="25">
        <f t="shared" si="24"/>
        <v>-6.5275802733659807E-3</v>
      </c>
      <c r="N64" s="10"/>
      <c r="R64" s="2"/>
    </row>
    <row r="65" spans="1:18" ht="15.75" x14ac:dyDescent="0.25">
      <c r="A65" s="19"/>
      <c r="B65" s="20">
        <f>DATE(2024,3,1)</f>
        <v>45352</v>
      </c>
      <c r="C65" s="21">
        <v>205988</v>
      </c>
      <c r="D65" s="21">
        <v>212491</v>
      </c>
      <c r="E65" s="23">
        <f t="shared" si="20"/>
        <v>-3.0603649095726406E-2</v>
      </c>
      <c r="F65" s="21">
        <f>+C65-99517</f>
        <v>106471</v>
      </c>
      <c r="G65" s="21">
        <f>+D65-103370</f>
        <v>109121</v>
      </c>
      <c r="H65" s="23">
        <f>(+F65-G65)/G65</f>
        <v>-2.4284968062975962E-2</v>
      </c>
      <c r="I65" s="24">
        <f>K65/C65</f>
        <v>74.615982387323541</v>
      </c>
      <c r="J65" s="24">
        <f>K65/F65</f>
        <v>144.35852936480356</v>
      </c>
      <c r="K65" s="21">
        <v>15369996.98</v>
      </c>
      <c r="L65" s="21">
        <v>16344588.82</v>
      </c>
      <c r="M65" s="25">
        <f t="shared" si="24"/>
        <v>-5.962779796622622E-2</v>
      </c>
      <c r="N65" s="10"/>
      <c r="R65" s="2"/>
    </row>
    <row r="66" spans="1:18" ht="15.75" thickBot="1" x14ac:dyDescent="0.25">
      <c r="A66" s="38"/>
      <c r="B66" s="20"/>
      <c r="C66" s="21"/>
      <c r="D66" s="21"/>
      <c r="E66" s="23"/>
      <c r="F66" s="21"/>
      <c r="G66" s="21"/>
      <c r="H66" s="23"/>
      <c r="I66" s="24"/>
      <c r="J66" s="24"/>
      <c r="K66" s="21"/>
      <c r="L66" s="21"/>
      <c r="M66" s="25"/>
      <c r="N66" s="10"/>
      <c r="R66" s="2"/>
    </row>
    <row r="67" spans="1:18" ht="17.25" thickTop="1" thickBot="1" x14ac:dyDescent="0.3">
      <c r="A67" s="39" t="s">
        <v>14</v>
      </c>
      <c r="B67" s="40"/>
      <c r="C67" s="41">
        <f>SUM(C57:C66)</f>
        <v>1656473</v>
      </c>
      <c r="D67" s="41">
        <f>SUM(D57:D66)</f>
        <v>1784358</v>
      </c>
      <c r="E67" s="281">
        <f>(+C67-D67)/D67</f>
        <v>-7.1670034824850168E-2</v>
      </c>
      <c r="F67" s="47">
        <f>SUM(F57:F66)</f>
        <v>864176</v>
      </c>
      <c r="G67" s="48">
        <f>SUM(G57:G66)</f>
        <v>925197</v>
      </c>
      <c r="H67" s="49">
        <f>(+F67-G67)/G67</f>
        <v>-6.5954602100957951E-2</v>
      </c>
      <c r="I67" s="50">
        <f>K67/C67</f>
        <v>75.591532865310825</v>
      </c>
      <c r="J67" s="51">
        <f>K67/F67</f>
        <v>144.89563841161987</v>
      </c>
      <c r="K67" s="48">
        <f>SUM(K57:K66)</f>
        <v>125215333.22000001</v>
      </c>
      <c r="L67" s="47">
        <f>SUM(L57:L66)</f>
        <v>129170534.91</v>
      </c>
      <c r="M67" s="44">
        <f>(+K67-L67)/L67</f>
        <v>-3.0619999311420232E-2</v>
      </c>
      <c r="N67" s="10"/>
      <c r="R67" s="2"/>
    </row>
    <row r="68" spans="1:18" ht="15.75" customHeight="1" thickTop="1" x14ac:dyDescent="0.25">
      <c r="A68" s="273"/>
      <c r="B68" s="45"/>
      <c r="C68" s="21"/>
      <c r="D68" s="21"/>
      <c r="E68" s="23"/>
      <c r="F68" s="21"/>
      <c r="G68" s="21"/>
      <c r="H68" s="23"/>
      <c r="I68" s="24"/>
      <c r="J68" s="24"/>
      <c r="K68" s="21"/>
      <c r="L68" s="21"/>
      <c r="M68" s="25"/>
      <c r="N68" s="10"/>
      <c r="R68" s="2"/>
    </row>
    <row r="69" spans="1:18" ht="15.75" x14ac:dyDescent="0.25">
      <c r="A69" s="274" t="s">
        <v>61</v>
      </c>
      <c r="B69" s="20">
        <f>DATE(2023,7,1)</f>
        <v>45108</v>
      </c>
      <c r="C69" s="21">
        <v>94450</v>
      </c>
      <c r="D69" s="21">
        <v>95268</v>
      </c>
      <c r="E69" s="23">
        <f t="shared" ref="E69:E77" si="25">(+C69-D69)/D69</f>
        <v>-8.5863039005752186E-3</v>
      </c>
      <c r="F69" s="21">
        <f>+C69-47449</f>
        <v>47001</v>
      </c>
      <c r="G69" s="21">
        <f>+D69-47922</f>
        <v>47346</v>
      </c>
      <c r="H69" s="23">
        <f t="shared" ref="H69:H74" si="26">(+F69-G69)/G69</f>
        <v>-7.2867824103408944E-3</v>
      </c>
      <c r="I69" s="24">
        <f t="shared" ref="I69:I74" si="27">K69/C69</f>
        <v>66.529558814187396</v>
      </c>
      <c r="J69" s="24">
        <f t="shared" ref="J69:J74" si="28">K69/F69</f>
        <v>133.69325822854833</v>
      </c>
      <c r="K69" s="21">
        <v>6283716.8300000001</v>
      </c>
      <c r="L69" s="21">
        <v>6260150.0999999996</v>
      </c>
      <c r="M69" s="25">
        <f t="shared" ref="M69:M77" si="29">(+K69-L69)/L69</f>
        <v>3.7645630893100228E-3</v>
      </c>
      <c r="N69" s="10"/>
      <c r="R69" s="2"/>
    </row>
    <row r="70" spans="1:18" ht="15.75" x14ac:dyDescent="0.25">
      <c r="A70" s="274"/>
      <c r="B70" s="20">
        <f>DATE(2023,8,1)</f>
        <v>45139</v>
      </c>
      <c r="C70" s="21">
        <v>85640</v>
      </c>
      <c r="D70" s="21">
        <v>85207</v>
      </c>
      <c r="E70" s="23">
        <f t="shared" si="25"/>
        <v>5.0817421103899916E-3</v>
      </c>
      <c r="F70" s="21">
        <f>+C70-42807</f>
        <v>42833</v>
      </c>
      <c r="G70" s="21">
        <f>+D70-42477</f>
        <v>42730</v>
      </c>
      <c r="H70" s="23">
        <f t="shared" si="26"/>
        <v>2.4104844371635853E-3</v>
      </c>
      <c r="I70" s="24">
        <f t="shared" si="27"/>
        <v>70.000778608127035</v>
      </c>
      <c r="J70" s="24">
        <f t="shared" si="28"/>
        <v>139.95906614059254</v>
      </c>
      <c r="K70" s="21">
        <v>5994866.6799999997</v>
      </c>
      <c r="L70" s="21">
        <v>5465144.5899999999</v>
      </c>
      <c r="M70" s="25">
        <f t="shared" si="29"/>
        <v>9.6927369674587122E-2</v>
      </c>
      <c r="N70" s="10"/>
      <c r="R70" s="2"/>
    </row>
    <row r="71" spans="1:18" ht="15.75" x14ac:dyDescent="0.25">
      <c r="A71" s="274"/>
      <c r="B71" s="20">
        <f>DATE(2023,9,1)</f>
        <v>45170</v>
      </c>
      <c r="C71" s="21">
        <v>85140</v>
      </c>
      <c r="D71" s="21">
        <v>84321</v>
      </c>
      <c r="E71" s="23">
        <f t="shared" si="25"/>
        <v>9.7128829117301748E-3</v>
      </c>
      <c r="F71" s="21">
        <f>+C71-42349</f>
        <v>42791</v>
      </c>
      <c r="G71" s="21">
        <f>+D71-41917</f>
        <v>42404</v>
      </c>
      <c r="H71" s="23">
        <f t="shared" si="26"/>
        <v>9.1264975002358275E-3</v>
      </c>
      <c r="I71" s="24">
        <f t="shared" si="27"/>
        <v>61.348339558374441</v>
      </c>
      <c r="J71" s="24">
        <f t="shared" si="28"/>
        <v>122.06299525601177</v>
      </c>
      <c r="K71" s="21">
        <v>5223197.63</v>
      </c>
      <c r="L71" s="21">
        <v>5380839.7999999998</v>
      </c>
      <c r="M71" s="25">
        <f t="shared" si="29"/>
        <v>-2.9296945432198136E-2</v>
      </c>
      <c r="N71" s="10"/>
      <c r="R71" s="2"/>
    </row>
    <row r="72" spans="1:18" ht="15.75" x14ac:dyDescent="0.25">
      <c r="A72" s="274"/>
      <c r="B72" s="20">
        <f>DATE(2023,10,1)</f>
        <v>45200</v>
      </c>
      <c r="C72" s="21">
        <v>78312</v>
      </c>
      <c r="D72" s="21">
        <v>85227</v>
      </c>
      <c r="E72" s="23">
        <f t="shared" si="25"/>
        <v>-8.1136259636030841E-2</v>
      </c>
      <c r="F72" s="21">
        <f>+C72-38948</f>
        <v>39364</v>
      </c>
      <c r="G72" s="21">
        <f>+D72-43095</f>
        <v>42132</v>
      </c>
      <c r="H72" s="23">
        <f t="shared" si="26"/>
        <v>-6.5698281591189595E-2</v>
      </c>
      <c r="I72" s="24">
        <f t="shared" si="27"/>
        <v>66.954319772193287</v>
      </c>
      <c r="J72" s="24">
        <f t="shared" si="28"/>
        <v>133.20106417030792</v>
      </c>
      <c r="K72" s="21">
        <v>5243326.6900000004</v>
      </c>
      <c r="L72" s="21">
        <v>5518454.2199999997</v>
      </c>
      <c r="M72" s="25">
        <f t="shared" si="29"/>
        <v>-4.9855905119749154E-2</v>
      </c>
      <c r="N72" s="10"/>
      <c r="R72" s="2"/>
    </row>
    <row r="73" spans="1:18" ht="15.75" x14ac:dyDescent="0.25">
      <c r="A73" s="274"/>
      <c r="B73" s="20">
        <f>DATE(2023,11,1)</f>
        <v>45231</v>
      </c>
      <c r="C73" s="21">
        <v>76656</v>
      </c>
      <c r="D73" s="21">
        <v>76718</v>
      </c>
      <c r="E73" s="23">
        <f t="shared" si="25"/>
        <v>-8.0815454000364971E-4</v>
      </c>
      <c r="F73" s="21">
        <f>+C73-38503</f>
        <v>38153</v>
      </c>
      <c r="G73" s="21">
        <f>+D73-38746</f>
        <v>37972</v>
      </c>
      <c r="H73" s="23">
        <f t="shared" si="26"/>
        <v>4.7666701780259141E-3</v>
      </c>
      <c r="I73" s="24">
        <f t="shared" si="27"/>
        <v>68.035706011271131</v>
      </c>
      <c r="J73" s="24">
        <f t="shared" si="28"/>
        <v>136.69554373181663</v>
      </c>
      <c r="K73" s="21">
        <v>5215345.08</v>
      </c>
      <c r="L73" s="21">
        <v>5081236.03</v>
      </c>
      <c r="M73" s="25">
        <f t="shared" si="29"/>
        <v>2.6392997532137825E-2</v>
      </c>
      <c r="N73" s="10"/>
      <c r="R73" s="2"/>
    </row>
    <row r="74" spans="1:18" ht="15.75" x14ac:dyDescent="0.25">
      <c r="A74" s="274"/>
      <c r="B74" s="20">
        <f>DATE(2023,12,1)</f>
        <v>45261</v>
      </c>
      <c r="C74" s="21">
        <v>96790</v>
      </c>
      <c r="D74" s="21">
        <v>89653</v>
      </c>
      <c r="E74" s="23">
        <f t="shared" si="25"/>
        <v>7.9606928937124247E-2</v>
      </c>
      <c r="F74" s="21">
        <f>+C74-48686</f>
        <v>48104</v>
      </c>
      <c r="G74" s="21">
        <f>+D74-45455</f>
        <v>44198</v>
      </c>
      <c r="H74" s="23">
        <f t="shared" si="26"/>
        <v>8.8375039594551785E-2</v>
      </c>
      <c r="I74" s="24">
        <f t="shared" si="27"/>
        <v>61.921447670213865</v>
      </c>
      <c r="J74" s="24">
        <f t="shared" si="28"/>
        <v>124.59206968235489</v>
      </c>
      <c r="K74" s="21">
        <v>5993376.9199999999</v>
      </c>
      <c r="L74" s="21">
        <v>5500508.3099999996</v>
      </c>
      <c r="M74" s="25">
        <f t="shared" si="29"/>
        <v>8.9604193325907439E-2</v>
      </c>
      <c r="N74" s="10"/>
      <c r="R74" s="2"/>
    </row>
    <row r="75" spans="1:18" ht="15.75" x14ac:dyDescent="0.25">
      <c r="A75" s="274"/>
      <c r="B75" s="20">
        <f>DATE(2024,1,1)</f>
        <v>45292</v>
      </c>
      <c r="C75" s="21">
        <v>74334</v>
      </c>
      <c r="D75" s="21">
        <v>84414</v>
      </c>
      <c r="E75" s="23">
        <f t="shared" si="25"/>
        <v>-0.1194114720307058</v>
      </c>
      <c r="F75" s="21">
        <f>C75-36987</f>
        <v>37347</v>
      </c>
      <c r="G75" s="21">
        <f>D75-42996</f>
        <v>41418</v>
      </c>
      <c r="H75" s="23">
        <f>(+F75-G75)/G75</f>
        <v>-9.8290598290598288E-2</v>
      </c>
      <c r="I75" s="24">
        <f>K75/C75</f>
        <v>64.335160895417971</v>
      </c>
      <c r="J75" s="24">
        <f>K75/F75</f>
        <v>128.05017404343053</v>
      </c>
      <c r="K75" s="21">
        <v>4782289.8499999996</v>
      </c>
      <c r="L75" s="21">
        <v>5295672.4000000004</v>
      </c>
      <c r="M75" s="25">
        <f t="shared" si="29"/>
        <v>-9.6943789423228052E-2</v>
      </c>
      <c r="N75" s="10"/>
      <c r="R75" s="2"/>
    </row>
    <row r="76" spans="1:18" ht="15.75" x14ac:dyDescent="0.25">
      <c r="A76" s="274"/>
      <c r="B76" s="20">
        <f>DATE(2024,2,1)</f>
        <v>45323</v>
      </c>
      <c r="C76" s="21">
        <v>85955</v>
      </c>
      <c r="D76" s="21">
        <v>89529</v>
      </c>
      <c r="E76" s="23">
        <f t="shared" si="25"/>
        <v>-3.9920025913391194E-2</v>
      </c>
      <c r="F76" s="21">
        <f>+C76-43684</f>
        <v>42271</v>
      </c>
      <c r="G76" s="21">
        <f>+D76-46008</f>
        <v>43521</v>
      </c>
      <c r="H76" s="23">
        <f>(+F76-G76)/G76</f>
        <v>-2.8721766503527032E-2</v>
      </c>
      <c r="I76" s="24">
        <f>K76/C76</f>
        <v>66.924960502588576</v>
      </c>
      <c r="J76" s="24">
        <f>K76/F76</f>
        <v>136.08703319060351</v>
      </c>
      <c r="K76" s="21">
        <v>5752534.9800000004</v>
      </c>
      <c r="L76" s="21">
        <v>6072143.3600000003</v>
      </c>
      <c r="M76" s="25">
        <f t="shared" si="29"/>
        <v>-5.2635183501332859E-2</v>
      </c>
      <c r="N76" s="10"/>
      <c r="R76" s="2"/>
    </row>
    <row r="77" spans="1:18" ht="15.75" x14ac:dyDescent="0.25">
      <c r="A77" s="274"/>
      <c r="B77" s="20">
        <f>DATE(2024,3,1)</f>
        <v>45352</v>
      </c>
      <c r="C77" s="21">
        <v>101916</v>
      </c>
      <c r="D77" s="21">
        <v>97318</v>
      </c>
      <c r="E77" s="23">
        <f t="shared" si="25"/>
        <v>4.7247169074580243E-2</v>
      </c>
      <c r="F77" s="21">
        <f>+C77-51840</f>
        <v>50076</v>
      </c>
      <c r="G77" s="21">
        <f>+D77-49664</f>
        <v>47654</v>
      </c>
      <c r="H77" s="23">
        <f>(+F77-G77)/G77</f>
        <v>5.0824694674109203E-2</v>
      </c>
      <c r="I77" s="24">
        <f>K77/C77</f>
        <v>67.257972349778242</v>
      </c>
      <c r="J77" s="24">
        <f>K77/F77</f>
        <v>136.8852046888729</v>
      </c>
      <c r="K77" s="21">
        <v>6854663.5099999998</v>
      </c>
      <c r="L77" s="21">
        <v>6538204.54</v>
      </c>
      <c r="M77" s="25">
        <f t="shared" si="29"/>
        <v>4.8401509629125143E-2</v>
      </c>
      <c r="N77" s="10"/>
      <c r="R77" s="2"/>
    </row>
    <row r="78" spans="1:18" ht="15.75" customHeight="1" thickBot="1" x14ac:dyDescent="0.3">
      <c r="A78" s="19"/>
      <c r="B78" s="20"/>
      <c r="C78" s="21"/>
      <c r="D78" s="21"/>
      <c r="E78" s="23"/>
      <c r="F78" s="21"/>
      <c r="G78" s="21"/>
      <c r="H78" s="23"/>
      <c r="I78" s="24"/>
      <c r="J78" s="24"/>
      <c r="K78" s="21"/>
      <c r="L78" s="21"/>
      <c r="M78" s="25"/>
      <c r="N78" s="10"/>
      <c r="R78" s="2"/>
    </row>
    <row r="79" spans="1:18" ht="17.45" customHeight="1" thickTop="1" thickBot="1" x14ac:dyDescent="0.3">
      <c r="A79" s="39" t="s">
        <v>14</v>
      </c>
      <c r="B79" s="52"/>
      <c r="C79" s="47">
        <f>SUM(C69:C78)</f>
        <v>779193</v>
      </c>
      <c r="D79" s="48">
        <f>SUM(D69:D78)</f>
        <v>787655</v>
      </c>
      <c r="E79" s="281">
        <f>(+C79-D79)/D79</f>
        <v>-1.0743282274599921E-2</v>
      </c>
      <c r="F79" s="48">
        <f>SUM(F69:F78)</f>
        <v>387940</v>
      </c>
      <c r="G79" s="47">
        <f>SUM(G69:G78)</f>
        <v>389375</v>
      </c>
      <c r="H79" s="46">
        <f>(+F79-G79)/G79</f>
        <v>-3.6853932584269664E-3</v>
      </c>
      <c r="I79" s="51">
        <f>K79/C79</f>
        <v>65.892940734837211</v>
      </c>
      <c r="J79" s="50">
        <f>K79/F79</f>
        <v>132.34860589266384</v>
      </c>
      <c r="K79" s="47">
        <f>SUM(K69:K78)</f>
        <v>51343318.170000009</v>
      </c>
      <c r="L79" s="48">
        <f>SUM(L69:L78)</f>
        <v>51112353.349999994</v>
      </c>
      <c r="M79" s="44">
        <f>(+K79-L79)/L79</f>
        <v>4.5187670858832648E-3</v>
      </c>
      <c r="N79" s="10"/>
      <c r="R79" s="2"/>
    </row>
    <row r="80" spans="1:18" ht="15.75" customHeight="1" thickTop="1" x14ac:dyDescent="0.25">
      <c r="A80" s="19"/>
      <c r="B80" s="45"/>
      <c r="C80" s="21"/>
      <c r="D80" s="21"/>
      <c r="E80" s="23"/>
      <c r="F80" s="21"/>
      <c r="G80" s="21"/>
      <c r="H80" s="23"/>
      <c r="I80" s="24"/>
      <c r="J80" s="24"/>
      <c r="K80" s="21"/>
      <c r="L80" s="21"/>
      <c r="M80" s="25"/>
      <c r="N80" s="10"/>
      <c r="R80" s="2"/>
    </row>
    <row r="81" spans="1:18" ht="15.75" x14ac:dyDescent="0.25">
      <c r="A81" s="19" t="s">
        <v>67</v>
      </c>
      <c r="B81" s="20">
        <f>DATE(2023,7,1)</f>
        <v>45108</v>
      </c>
      <c r="C81" s="21">
        <v>219120</v>
      </c>
      <c r="D81" s="21">
        <v>220596</v>
      </c>
      <c r="E81" s="23">
        <f t="shared" ref="E81:E89" si="30">(+C81-D81)/D81</f>
        <v>-6.6909644780503725E-3</v>
      </c>
      <c r="F81" s="21">
        <f>+C81-104679</f>
        <v>114441</v>
      </c>
      <c r="G81" s="21">
        <f>+D81-105104</f>
        <v>115492</v>
      </c>
      <c r="H81" s="23">
        <f t="shared" ref="H81:H86" si="31">(+F81-G81)/G81</f>
        <v>-9.1001974162712562E-3</v>
      </c>
      <c r="I81" s="24">
        <f t="shared" ref="I81:I86" si="32">K81/C81</f>
        <v>49.308570098576126</v>
      </c>
      <c r="J81" s="24">
        <f t="shared" ref="J81:J86" si="33">K81/F81</f>
        <v>94.411040448790217</v>
      </c>
      <c r="K81" s="21">
        <v>10804493.880000001</v>
      </c>
      <c r="L81" s="21">
        <v>10606782.82</v>
      </c>
      <c r="M81" s="25">
        <f t="shared" ref="M81:M89" si="34">(+K81-L81)/L81</f>
        <v>1.8640059229571414E-2</v>
      </c>
      <c r="N81" s="10"/>
      <c r="R81" s="2"/>
    </row>
    <row r="82" spans="1:18" ht="15.75" x14ac:dyDescent="0.25">
      <c r="A82" s="19"/>
      <c r="B82" s="20">
        <f>DATE(2023,8,1)</f>
        <v>45139</v>
      </c>
      <c r="C82" s="21">
        <v>218088</v>
      </c>
      <c r="D82" s="21">
        <v>204208</v>
      </c>
      <c r="E82" s="23">
        <f t="shared" si="30"/>
        <v>6.7969913029851919E-2</v>
      </c>
      <c r="F82" s="21">
        <f>+C82-101100</f>
        <v>116988</v>
      </c>
      <c r="G82" s="21">
        <f>+D82-95602</f>
        <v>108606</v>
      </c>
      <c r="H82" s="23">
        <f t="shared" si="31"/>
        <v>7.7178056460969008E-2</v>
      </c>
      <c r="I82" s="24">
        <f t="shared" si="32"/>
        <v>49.852029364293315</v>
      </c>
      <c r="J82" s="24">
        <f t="shared" si="33"/>
        <v>92.93371439805793</v>
      </c>
      <c r="K82" s="21">
        <v>10872129.380000001</v>
      </c>
      <c r="L82" s="21">
        <v>10300469.970000001</v>
      </c>
      <c r="M82" s="25">
        <f t="shared" si="34"/>
        <v>5.5498381303469797E-2</v>
      </c>
      <c r="N82" s="10"/>
      <c r="R82" s="2"/>
    </row>
    <row r="83" spans="1:18" ht="15.75" x14ac:dyDescent="0.25">
      <c r="A83" s="19"/>
      <c r="B83" s="20">
        <f>DATE(2023,9,1)</f>
        <v>45170</v>
      </c>
      <c r="C83" s="21">
        <v>241793</v>
      </c>
      <c r="D83" s="21">
        <v>202639</v>
      </c>
      <c r="E83" s="23">
        <f t="shared" si="30"/>
        <v>0.19322045608199803</v>
      </c>
      <c r="F83" s="21">
        <f>+C83-107184</f>
        <v>134609</v>
      </c>
      <c r="G83" s="21">
        <f>+D83-96056</f>
        <v>106583</v>
      </c>
      <c r="H83" s="23">
        <f t="shared" si="31"/>
        <v>0.26295000140735392</v>
      </c>
      <c r="I83" s="24">
        <f t="shared" si="32"/>
        <v>48.59363290086975</v>
      </c>
      <c r="J83" s="24">
        <f t="shared" si="33"/>
        <v>87.286884829394765</v>
      </c>
      <c r="K83" s="21">
        <v>11749600.279999999</v>
      </c>
      <c r="L83" s="21">
        <v>9835385.3000000007</v>
      </c>
      <c r="M83" s="25">
        <f t="shared" si="34"/>
        <v>0.19462531681397358</v>
      </c>
      <c r="N83" s="10"/>
      <c r="R83" s="2"/>
    </row>
    <row r="84" spans="1:18" ht="15.75" x14ac:dyDescent="0.25">
      <c r="A84" s="19"/>
      <c r="B84" s="20">
        <f>DATE(2023,10,1)</f>
        <v>45200</v>
      </c>
      <c r="C84" s="21">
        <v>245062</v>
      </c>
      <c r="D84" s="21">
        <v>197805</v>
      </c>
      <c r="E84" s="23">
        <f t="shared" si="30"/>
        <v>0.23890700437299361</v>
      </c>
      <c r="F84" s="21">
        <f>+C84-106359</f>
        <v>138703</v>
      </c>
      <c r="G84" s="21">
        <f>+D84-92993</f>
        <v>104812</v>
      </c>
      <c r="H84" s="23">
        <f t="shared" si="31"/>
        <v>0.32335037972751213</v>
      </c>
      <c r="I84" s="24">
        <f t="shared" si="32"/>
        <v>47.921667251552662</v>
      </c>
      <c r="J84" s="24">
        <f t="shared" si="33"/>
        <v>84.668533629409595</v>
      </c>
      <c r="K84" s="21">
        <v>11743779.619999999</v>
      </c>
      <c r="L84" s="21">
        <v>10418532.619999999</v>
      </c>
      <c r="M84" s="25">
        <f t="shared" si="34"/>
        <v>0.12720092630472563</v>
      </c>
      <c r="N84" s="10"/>
      <c r="R84" s="2"/>
    </row>
    <row r="85" spans="1:18" ht="15.75" x14ac:dyDescent="0.25">
      <c r="A85" s="19"/>
      <c r="B85" s="20">
        <f>DATE(2023,11,1)</f>
        <v>45231</v>
      </c>
      <c r="C85" s="21">
        <v>235399</v>
      </c>
      <c r="D85" s="21">
        <v>202426</v>
      </c>
      <c r="E85" s="23">
        <f t="shared" si="30"/>
        <v>0.16288915455524489</v>
      </c>
      <c r="F85" s="21">
        <f>+C85-106054</f>
        <v>129345</v>
      </c>
      <c r="G85" s="21">
        <f>+D85-94010</f>
        <v>108416</v>
      </c>
      <c r="H85" s="23">
        <f t="shared" si="31"/>
        <v>0.19304346221959859</v>
      </c>
      <c r="I85" s="24">
        <f t="shared" si="32"/>
        <v>49.233655580524974</v>
      </c>
      <c r="J85" s="24">
        <f t="shared" si="33"/>
        <v>89.60186547605241</v>
      </c>
      <c r="K85" s="21">
        <v>11589553.289999999</v>
      </c>
      <c r="L85" s="21">
        <v>10533865.85</v>
      </c>
      <c r="M85" s="25">
        <f t="shared" si="34"/>
        <v>0.10021842455872926</v>
      </c>
      <c r="N85" s="10"/>
      <c r="R85" s="2"/>
    </row>
    <row r="86" spans="1:18" ht="15.75" x14ac:dyDescent="0.25">
      <c r="A86" s="19"/>
      <c r="B86" s="20">
        <f>DATE(2023,12,1)</f>
        <v>45261</v>
      </c>
      <c r="C86" s="21">
        <v>239412</v>
      </c>
      <c r="D86" s="21">
        <v>223222</v>
      </c>
      <c r="E86" s="23">
        <f t="shared" si="30"/>
        <v>7.2528693408355813E-2</v>
      </c>
      <c r="F86" s="21">
        <f>+C86-109257</f>
        <v>130155</v>
      </c>
      <c r="G86" s="21">
        <f>+D86-104080</f>
        <v>119142</v>
      </c>
      <c r="H86" s="23">
        <f t="shared" si="31"/>
        <v>9.2435916805156865E-2</v>
      </c>
      <c r="I86" s="24">
        <f t="shared" si="32"/>
        <v>49.697628481446216</v>
      </c>
      <c r="J86" s="24">
        <f t="shared" si="33"/>
        <v>91.415686143444361</v>
      </c>
      <c r="K86" s="21">
        <v>11898208.630000001</v>
      </c>
      <c r="L86" s="21">
        <v>10662461.43</v>
      </c>
      <c r="M86" s="25">
        <f t="shared" si="34"/>
        <v>0.11589699133851883</v>
      </c>
      <c r="N86" s="10"/>
      <c r="R86" s="2"/>
    </row>
    <row r="87" spans="1:18" ht="15.75" x14ac:dyDescent="0.25">
      <c r="A87" s="19"/>
      <c r="B87" s="20">
        <f>DATE(2024,1,1)</f>
        <v>45292</v>
      </c>
      <c r="C87" s="21">
        <v>186352</v>
      </c>
      <c r="D87" s="21">
        <v>215124</v>
      </c>
      <c r="E87" s="23">
        <f t="shared" si="30"/>
        <v>-0.13374611851769211</v>
      </c>
      <c r="F87" s="21">
        <f>C87-85780</f>
        <v>100572</v>
      </c>
      <c r="G87" s="21">
        <f>D87-101475</f>
        <v>113649</v>
      </c>
      <c r="H87" s="23">
        <f>(+F87-G87)/G87</f>
        <v>-0.11506480479370694</v>
      </c>
      <c r="I87" s="24">
        <f>K87/C87</f>
        <v>50.669405587275698</v>
      </c>
      <c r="J87" s="24">
        <f>K87/F87</f>
        <v>93.886420375452417</v>
      </c>
      <c r="K87" s="21">
        <v>9442345.0700000003</v>
      </c>
      <c r="L87" s="21">
        <v>10889174.949999999</v>
      </c>
      <c r="M87" s="25">
        <f t="shared" si="34"/>
        <v>-0.1328686412555066</v>
      </c>
      <c r="N87" s="10"/>
      <c r="R87" s="2"/>
    </row>
    <row r="88" spans="1:18" ht="15.75" x14ac:dyDescent="0.25">
      <c r="A88" s="19"/>
      <c r="B88" s="20">
        <f>DATE(2024,2,1)</f>
        <v>45323</v>
      </c>
      <c r="C88" s="21">
        <v>213395</v>
      </c>
      <c r="D88" s="21">
        <v>200796</v>
      </c>
      <c r="E88" s="23">
        <f t="shared" si="30"/>
        <v>6.2745273810235258E-2</v>
      </c>
      <c r="F88" s="21">
        <f>+C88-100049</f>
        <v>113346</v>
      </c>
      <c r="G88" s="21">
        <f>+D88-95531</f>
        <v>105265</v>
      </c>
      <c r="H88" s="23">
        <f>(+F88-G88)/G88</f>
        <v>7.6768156557260242E-2</v>
      </c>
      <c r="I88" s="24">
        <f>K88/C88</f>
        <v>52.692490030225642</v>
      </c>
      <c r="J88" s="24">
        <f>K88/F88</f>
        <v>99.20344705591728</v>
      </c>
      <c r="K88" s="21">
        <v>11244313.91</v>
      </c>
      <c r="L88" s="21">
        <v>10337668.619999999</v>
      </c>
      <c r="M88" s="25">
        <f t="shared" si="34"/>
        <v>8.7703071488085774E-2</v>
      </c>
      <c r="N88" s="10"/>
      <c r="R88" s="2"/>
    </row>
    <row r="89" spans="1:18" ht="15.75" x14ac:dyDescent="0.25">
      <c r="A89" s="19"/>
      <c r="B89" s="20">
        <f>DATE(2024,3,1)</f>
        <v>45352</v>
      </c>
      <c r="C89" s="21">
        <v>243043</v>
      </c>
      <c r="D89" s="21">
        <v>225404</v>
      </c>
      <c r="E89" s="23">
        <f t="shared" si="30"/>
        <v>7.8255044276055438E-2</v>
      </c>
      <c r="F89" s="21">
        <f>+C89-112079</f>
        <v>130964</v>
      </c>
      <c r="G89" s="21">
        <f>+D89-108230</f>
        <v>117174</v>
      </c>
      <c r="H89" s="23">
        <f>(+F89-G89)/G89</f>
        <v>0.11768822435011179</v>
      </c>
      <c r="I89" s="24">
        <f>K89/C89</f>
        <v>51.609936307566976</v>
      </c>
      <c r="J89" s="24">
        <f>K89/F89</f>
        <v>95.777723267462818</v>
      </c>
      <c r="K89" s="21">
        <v>12543433.75</v>
      </c>
      <c r="L89" s="21">
        <v>11572772.859999999</v>
      </c>
      <c r="M89" s="25">
        <f t="shared" si="34"/>
        <v>8.3874530481366477E-2</v>
      </c>
      <c r="N89" s="10"/>
      <c r="R89" s="2"/>
    </row>
    <row r="90" spans="1:18" ht="15.75" customHeight="1" thickBot="1" x14ac:dyDescent="0.3">
      <c r="A90" s="19"/>
      <c r="B90" s="45"/>
      <c r="C90" s="21"/>
      <c r="D90" s="21"/>
      <c r="E90" s="23"/>
      <c r="F90" s="21"/>
      <c r="G90" s="21"/>
      <c r="H90" s="23"/>
      <c r="I90" s="24"/>
      <c r="J90" s="24"/>
      <c r="K90" s="21"/>
      <c r="L90" s="21"/>
      <c r="M90" s="25"/>
      <c r="N90" s="10"/>
      <c r="R90" s="2"/>
    </row>
    <row r="91" spans="1:18" ht="17.45" customHeight="1" thickTop="1" thickBot="1" x14ac:dyDescent="0.3">
      <c r="A91" s="39" t="s">
        <v>14</v>
      </c>
      <c r="B91" s="52"/>
      <c r="C91" s="47">
        <f>SUM(C81:C90)</f>
        <v>2041664</v>
      </c>
      <c r="D91" s="48">
        <f>SUM(D81:D90)</f>
        <v>1892220</v>
      </c>
      <c r="E91" s="281">
        <f>(+C91-D91)/D91</f>
        <v>7.8978131506907231E-2</v>
      </c>
      <c r="F91" s="48">
        <f>SUM(F81:F90)</f>
        <v>1109123</v>
      </c>
      <c r="G91" s="47">
        <f>SUM(G81:G90)</f>
        <v>999139</v>
      </c>
      <c r="H91" s="53">
        <f>(+F91-G91)/G91</f>
        <v>0.11007877782770965</v>
      </c>
      <c r="I91" s="51">
        <f>K91/C91</f>
        <v>49.904322067685968</v>
      </c>
      <c r="J91" s="50">
        <f>K91/F91</f>
        <v>91.863443288075359</v>
      </c>
      <c r="K91" s="47">
        <f>SUM(K81:K90)</f>
        <v>101887857.81</v>
      </c>
      <c r="L91" s="48">
        <f>SUM(L81:L90)</f>
        <v>95157114.420000002</v>
      </c>
      <c r="M91" s="44">
        <f>(+K91-L91)/L91</f>
        <v>7.073294972241552E-2</v>
      </c>
      <c r="N91" s="10"/>
      <c r="R91" s="2"/>
    </row>
    <row r="92" spans="1:18" ht="15.75" customHeight="1" thickTop="1" x14ac:dyDescent="0.25">
      <c r="A92" s="19"/>
      <c r="B92" s="45"/>
      <c r="C92" s="21"/>
      <c r="D92" s="21"/>
      <c r="E92" s="23"/>
      <c r="F92" s="21"/>
      <c r="G92" s="21"/>
      <c r="H92" s="23"/>
      <c r="I92" s="24"/>
      <c r="J92" s="24"/>
      <c r="K92" s="21"/>
      <c r="L92" s="21"/>
      <c r="M92" s="25"/>
      <c r="N92" s="10"/>
      <c r="R92" s="2"/>
    </row>
    <row r="93" spans="1:18" ht="15.75" customHeight="1" x14ac:dyDescent="0.25">
      <c r="A93" s="19" t="s">
        <v>69</v>
      </c>
      <c r="B93" s="20">
        <f>DATE(2023,7,1)</f>
        <v>45108</v>
      </c>
      <c r="C93" s="21">
        <v>227955</v>
      </c>
      <c r="D93" s="21">
        <v>226404</v>
      </c>
      <c r="E93" s="23">
        <f t="shared" ref="E93:E101" si="35">(+C93-D93)/D93</f>
        <v>6.8505856786982566E-3</v>
      </c>
      <c r="F93" s="21">
        <f>+C93-105186</f>
        <v>122769</v>
      </c>
      <c r="G93" s="21">
        <f>+D93-105902</f>
        <v>120502</v>
      </c>
      <c r="H93" s="23">
        <f t="shared" ref="H93:H98" si="36">(+F93-G93)/G93</f>
        <v>1.8812965759904401E-2</v>
      </c>
      <c r="I93" s="24">
        <f t="shared" ref="I93:I98" si="37">K93/C93</f>
        <v>61.567241209887918</v>
      </c>
      <c r="J93" s="24">
        <f t="shared" ref="J93:J98" si="38">K93/F93</f>
        <v>114.31681018823971</v>
      </c>
      <c r="K93" s="21">
        <v>14034560.470000001</v>
      </c>
      <c r="L93" s="21">
        <v>13168404.74</v>
      </c>
      <c r="M93" s="25">
        <f t="shared" ref="M93:M101" si="39">(+K93-L93)/L93</f>
        <v>6.5775296788151458E-2</v>
      </c>
      <c r="N93" s="10"/>
      <c r="R93" s="2"/>
    </row>
    <row r="94" spans="1:18" ht="15.75" customHeight="1" x14ac:dyDescent="0.25">
      <c r="A94" s="19"/>
      <c r="B94" s="20">
        <f>DATE(2023,8,1)</f>
        <v>45139</v>
      </c>
      <c r="C94" s="21">
        <v>213943</v>
      </c>
      <c r="D94" s="21">
        <v>232585</v>
      </c>
      <c r="E94" s="23">
        <f t="shared" si="35"/>
        <v>-8.0151342519938953E-2</v>
      </c>
      <c r="F94" s="21">
        <f>+C94-98836</f>
        <v>115107</v>
      </c>
      <c r="G94" s="21">
        <f>+D94-107552</f>
        <v>125033</v>
      </c>
      <c r="H94" s="23">
        <f t="shared" si="36"/>
        <v>-7.9387041820959264E-2</v>
      </c>
      <c r="I94" s="24">
        <f t="shared" si="37"/>
        <v>61.074573881828343</v>
      </c>
      <c r="J94" s="24">
        <f t="shared" si="38"/>
        <v>113.51592483515338</v>
      </c>
      <c r="K94" s="21">
        <v>13066477.560000001</v>
      </c>
      <c r="L94" s="21">
        <v>13927721.449999999</v>
      </c>
      <c r="M94" s="25">
        <f t="shared" si="39"/>
        <v>-6.1836668193848664E-2</v>
      </c>
      <c r="N94" s="10"/>
      <c r="R94" s="2"/>
    </row>
    <row r="95" spans="1:18" ht="15.75" customHeight="1" x14ac:dyDescent="0.25">
      <c r="A95" s="19"/>
      <c r="B95" s="20">
        <f>DATE(2023,9,1)</f>
        <v>45170</v>
      </c>
      <c r="C95" s="21">
        <v>210806</v>
      </c>
      <c r="D95" s="21">
        <v>229799</v>
      </c>
      <c r="E95" s="23">
        <f t="shared" si="35"/>
        <v>-8.2650490211010494E-2</v>
      </c>
      <c r="F95" s="21">
        <f>+C95-94978</f>
        <v>115828</v>
      </c>
      <c r="G95" s="21">
        <f>+D95-107359</f>
        <v>122440</v>
      </c>
      <c r="H95" s="23">
        <f t="shared" si="36"/>
        <v>-5.4001960143743873E-2</v>
      </c>
      <c r="I95" s="24">
        <f t="shared" si="37"/>
        <v>64.684465907042494</v>
      </c>
      <c r="J95" s="24">
        <f t="shared" si="38"/>
        <v>117.72519183617086</v>
      </c>
      <c r="K95" s="21">
        <v>13635873.52</v>
      </c>
      <c r="L95" s="21">
        <v>13521948.51</v>
      </c>
      <c r="M95" s="25">
        <f t="shared" si="39"/>
        <v>8.4251918217073413E-3</v>
      </c>
      <c r="N95" s="10"/>
      <c r="R95" s="2"/>
    </row>
    <row r="96" spans="1:18" ht="15.75" customHeight="1" x14ac:dyDescent="0.25">
      <c r="A96" s="19"/>
      <c r="B96" s="20">
        <f>DATE(2023,10,1)</f>
        <v>45200</v>
      </c>
      <c r="C96" s="21">
        <v>192200</v>
      </c>
      <c r="D96" s="21">
        <v>212700</v>
      </c>
      <c r="E96" s="23">
        <f t="shared" si="35"/>
        <v>-9.6379877762106256E-2</v>
      </c>
      <c r="F96" s="21">
        <f>+C96-87717</f>
        <v>104483</v>
      </c>
      <c r="G96" s="21">
        <f>+D96-99072</f>
        <v>113628</v>
      </c>
      <c r="H96" s="23">
        <f t="shared" si="36"/>
        <v>-8.0481923469567354E-2</v>
      </c>
      <c r="I96" s="24">
        <f t="shared" si="37"/>
        <v>60.226780332986472</v>
      </c>
      <c r="J96" s="24">
        <f t="shared" si="38"/>
        <v>110.78919230879664</v>
      </c>
      <c r="K96" s="21">
        <v>11575587.18</v>
      </c>
      <c r="L96" s="21">
        <v>12950831.189999999</v>
      </c>
      <c r="M96" s="25">
        <f t="shared" si="39"/>
        <v>-0.10618963291420988</v>
      </c>
      <c r="N96" s="10"/>
      <c r="R96" s="2"/>
    </row>
    <row r="97" spans="1:18" ht="15.75" customHeight="1" x14ac:dyDescent="0.25">
      <c r="A97" s="19"/>
      <c r="B97" s="20">
        <f>DATE(2023,11,1)</f>
        <v>45231</v>
      </c>
      <c r="C97" s="21">
        <v>197061</v>
      </c>
      <c r="D97" s="21">
        <v>191508</v>
      </c>
      <c r="E97" s="23">
        <f t="shared" si="35"/>
        <v>2.899617770537001E-2</v>
      </c>
      <c r="F97" s="21">
        <f>+C97-91318</f>
        <v>105743</v>
      </c>
      <c r="G97" s="21">
        <f>+D97-91306</f>
        <v>100202</v>
      </c>
      <c r="H97" s="23">
        <f t="shared" si="36"/>
        <v>5.5298297439172868E-2</v>
      </c>
      <c r="I97" s="24">
        <f t="shared" si="37"/>
        <v>61.029115654543517</v>
      </c>
      <c r="J97" s="24">
        <f t="shared" si="38"/>
        <v>113.73290487313581</v>
      </c>
      <c r="K97" s="21">
        <v>12026458.560000001</v>
      </c>
      <c r="L97" s="21">
        <v>11870439.130000001</v>
      </c>
      <c r="M97" s="25">
        <f t="shared" si="39"/>
        <v>1.3143526392860556E-2</v>
      </c>
      <c r="N97" s="10"/>
      <c r="R97" s="2"/>
    </row>
    <row r="98" spans="1:18" ht="15.75" customHeight="1" x14ac:dyDescent="0.25">
      <c r="A98" s="19"/>
      <c r="B98" s="20">
        <f>DATE(2023,12,1)</f>
        <v>45261</v>
      </c>
      <c r="C98" s="21">
        <v>222895</v>
      </c>
      <c r="D98" s="21">
        <v>214147</v>
      </c>
      <c r="E98" s="23">
        <f t="shared" si="35"/>
        <v>4.0850443853988151E-2</v>
      </c>
      <c r="F98" s="21">
        <f>+C98-106183</f>
        <v>116712</v>
      </c>
      <c r="G98" s="21">
        <f>+D98-102215</f>
        <v>111932</v>
      </c>
      <c r="H98" s="23">
        <f t="shared" si="36"/>
        <v>4.2704499160204412E-2</v>
      </c>
      <c r="I98" s="24">
        <f t="shared" si="37"/>
        <v>62.715877296484898</v>
      </c>
      <c r="J98" s="24">
        <f t="shared" si="38"/>
        <v>119.7739347282199</v>
      </c>
      <c r="K98" s="21">
        <v>13979055.470000001</v>
      </c>
      <c r="L98" s="21">
        <v>13055866.52</v>
      </c>
      <c r="M98" s="25">
        <f t="shared" si="39"/>
        <v>7.0710660880745679E-2</v>
      </c>
      <c r="N98" s="10"/>
      <c r="R98" s="2"/>
    </row>
    <row r="99" spans="1:18" ht="15.75" customHeight="1" x14ac:dyDescent="0.25">
      <c r="A99" s="19"/>
      <c r="B99" s="20">
        <f>DATE(2024,1,1)</f>
        <v>45292</v>
      </c>
      <c r="C99" s="21">
        <v>172021</v>
      </c>
      <c r="D99" s="21">
        <v>203689</v>
      </c>
      <c r="E99" s="23">
        <f t="shared" si="35"/>
        <v>-0.1554723131833334</v>
      </c>
      <c r="F99" s="21">
        <f>C99-81877</f>
        <v>90144</v>
      </c>
      <c r="G99" s="21">
        <f>D99-97201</f>
        <v>106488</v>
      </c>
      <c r="H99" s="23">
        <f>(+F99-G99)/G99</f>
        <v>-0.15348208248816769</v>
      </c>
      <c r="I99" s="24">
        <f>K99/C99</f>
        <v>63.421267926590353</v>
      </c>
      <c r="J99" s="24">
        <f>K99/F99</f>
        <v>121.0262461173234</v>
      </c>
      <c r="K99" s="21">
        <v>10909789.93</v>
      </c>
      <c r="L99" s="21">
        <v>11950275.130000001</v>
      </c>
      <c r="M99" s="25">
        <f t="shared" si="39"/>
        <v>-8.7067886611912768E-2</v>
      </c>
      <c r="N99" s="10"/>
      <c r="R99" s="2"/>
    </row>
    <row r="100" spans="1:18" ht="15.75" customHeight="1" x14ac:dyDescent="0.25">
      <c r="A100" s="19"/>
      <c r="B100" s="20">
        <f>DATE(2024,2,1)</f>
        <v>45323</v>
      </c>
      <c r="C100" s="21">
        <v>185169</v>
      </c>
      <c r="D100" s="21">
        <v>207928</v>
      </c>
      <c r="E100" s="23">
        <f t="shared" si="35"/>
        <v>-0.10945615790081183</v>
      </c>
      <c r="F100" s="21">
        <f>+C100-87277</f>
        <v>97892</v>
      </c>
      <c r="G100" s="21">
        <f>+D100-99235</f>
        <v>108693</v>
      </c>
      <c r="H100" s="23">
        <f>(+F100-G100)/G100</f>
        <v>-9.9371624667641892E-2</v>
      </c>
      <c r="I100" s="24">
        <f>K100/C100</f>
        <v>66.494736105935658</v>
      </c>
      <c r="J100" s="24">
        <f>K100/F100</f>
        <v>125.77906049523965</v>
      </c>
      <c r="K100" s="21">
        <v>12312763.789999999</v>
      </c>
      <c r="L100" s="21">
        <v>12580250.810000001</v>
      </c>
      <c r="M100" s="25">
        <f t="shared" si="39"/>
        <v>-2.1262455259427486E-2</v>
      </c>
      <c r="N100" s="10"/>
      <c r="R100" s="2"/>
    </row>
    <row r="101" spans="1:18" ht="15.75" customHeight="1" x14ac:dyDescent="0.25">
      <c r="A101" s="19"/>
      <c r="B101" s="20">
        <f>DATE(2024,3,1)</f>
        <v>45352</v>
      </c>
      <c r="C101" s="21">
        <v>211514</v>
      </c>
      <c r="D101" s="21">
        <v>231900</v>
      </c>
      <c r="E101" s="23">
        <f t="shared" si="35"/>
        <v>-8.790858128503666E-2</v>
      </c>
      <c r="F101" s="21">
        <f>+C101-100418</f>
        <v>111096</v>
      </c>
      <c r="G101" s="21">
        <f>+D101-108329</f>
        <v>123571</v>
      </c>
      <c r="H101" s="23">
        <f>(+F101-G101)/G101</f>
        <v>-0.10095410735528562</v>
      </c>
      <c r="I101" s="24">
        <f>K101/C101</f>
        <v>65.639265627807148</v>
      </c>
      <c r="J101" s="24">
        <f>K101/F101</f>
        <v>124.969608536761</v>
      </c>
      <c r="K101" s="21">
        <v>13883623.630000001</v>
      </c>
      <c r="L101" s="21">
        <v>14256806.66</v>
      </c>
      <c r="M101" s="25">
        <f t="shared" si="39"/>
        <v>-2.6175779674913493E-2</v>
      </c>
      <c r="N101" s="10"/>
      <c r="R101" s="2"/>
    </row>
    <row r="102" spans="1:18" ht="15.75" customHeight="1" thickBot="1" x14ac:dyDescent="0.3">
      <c r="A102" s="19"/>
      <c r="B102" s="45"/>
      <c r="C102" s="21"/>
      <c r="D102" s="21"/>
      <c r="E102" s="23"/>
      <c r="F102" s="21"/>
      <c r="G102" s="21"/>
      <c r="H102" s="23"/>
      <c r="I102" s="24"/>
      <c r="J102" s="24"/>
      <c r="K102" s="21"/>
      <c r="L102" s="21"/>
      <c r="M102" s="25"/>
      <c r="N102" s="10"/>
      <c r="R102" s="2"/>
    </row>
    <row r="103" spans="1:18" ht="17.25" thickTop="1" thickBot="1" x14ac:dyDescent="0.3">
      <c r="A103" s="39" t="s">
        <v>14</v>
      </c>
      <c r="B103" s="40"/>
      <c r="C103" s="41">
        <f>SUM(C93:C102)</f>
        <v>1833564</v>
      </c>
      <c r="D103" s="41">
        <f>SUM(D93:D102)</f>
        <v>1950660</v>
      </c>
      <c r="E103" s="280">
        <f>(+C103-D103)/D103</f>
        <v>-6.0028913290886159E-2</v>
      </c>
      <c r="F103" s="41">
        <f>SUM(F93:F102)</f>
        <v>979774</v>
      </c>
      <c r="G103" s="41">
        <f>SUM(G93:G102)</f>
        <v>1032489</v>
      </c>
      <c r="H103" s="42">
        <f>(+F103-G103)/G103</f>
        <v>-5.1056234013146871E-2</v>
      </c>
      <c r="I103" s="43">
        <f>K103/C103</f>
        <v>62.950728804666753</v>
      </c>
      <c r="J103" s="43">
        <f>K103/F103</f>
        <v>117.80695355255394</v>
      </c>
      <c r="K103" s="41">
        <f>SUM(K93:K102)</f>
        <v>115424190.10999998</v>
      </c>
      <c r="L103" s="41">
        <f>SUM(L93:L102)</f>
        <v>117282544.13999999</v>
      </c>
      <c r="M103" s="44">
        <f>(+K103-L103)/L103</f>
        <v>-1.5845103324000943E-2</v>
      </c>
      <c r="N103" s="10"/>
      <c r="R103" s="2"/>
    </row>
    <row r="104" spans="1:18" ht="15.75" customHeight="1" thickTop="1" x14ac:dyDescent="0.2">
      <c r="A104" s="54"/>
      <c r="B104" s="55"/>
      <c r="C104" s="55"/>
      <c r="D104" s="55"/>
      <c r="E104" s="56"/>
      <c r="F104" s="55"/>
      <c r="G104" s="55"/>
      <c r="H104" s="56"/>
      <c r="I104" s="55"/>
      <c r="J104" s="55"/>
      <c r="K104" s="196"/>
      <c r="L104" s="196"/>
      <c r="M104" s="57"/>
      <c r="N104" s="10"/>
      <c r="R104" s="2"/>
    </row>
    <row r="105" spans="1:18" ht="15.75" customHeight="1" x14ac:dyDescent="0.25">
      <c r="A105" s="19" t="s">
        <v>16</v>
      </c>
      <c r="B105" s="20">
        <f>DATE(2023,7,1)</f>
        <v>45108</v>
      </c>
      <c r="C105" s="21">
        <v>262088</v>
      </c>
      <c r="D105" s="21">
        <v>271337</v>
      </c>
      <c r="E105" s="23">
        <f t="shared" ref="E105:E113" si="40">(+C105-D105)/D105</f>
        <v>-3.4086762955291762E-2</v>
      </c>
      <c r="F105" s="21">
        <f>+C105-132418</f>
        <v>129670</v>
      </c>
      <c r="G105" s="21">
        <f>+D105-134570</f>
        <v>136767</v>
      </c>
      <c r="H105" s="23">
        <f t="shared" ref="H105:H110" si="41">(+F105-G105)/G105</f>
        <v>-5.1891172578180406E-2</v>
      </c>
      <c r="I105" s="24">
        <f t="shared" ref="I105:I110" si="42">K105/C105</f>
        <v>67.305416539482934</v>
      </c>
      <c r="J105" s="24">
        <f t="shared" ref="J105:J110" si="43">K105/F105</f>
        <v>136.03718678183083</v>
      </c>
      <c r="K105" s="21">
        <v>17639942.010000002</v>
      </c>
      <c r="L105" s="21">
        <v>18204043.98</v>
      </c>
      <c r="M105" s="25">
        <f t="shared" ref="M105:M113" si="44">(+K105-L105)/L105</f>
        <v>-3.0987728365178272E-2</v>
      </c>
      <c r="N105" s="10"/>
      <c r="R105" s="2"/>
    </row>
    <row r="106" spans="1:18" ht="15.75" customHeight="1" x14ac:dyDescent="0.25">
      <c r="A106" s="19"/>
      <c r="B106" s="20">
        <f>DATE(2023,8,1)</f>
        <v>45139</v>
      </c>
      <c r="C106" s="21">
        <v>239223</v>
      </c>
      <c r="D106" s="21">
        <v>244622</v>
      </c>
      <c r="E106" s="23">
        <f t="shared" si="40"/>
        <v>-2.2070786764886233E-2</v>
      </c>
      <c r="F106" s="21">
        <f>+C106-117748</f>
        <v>121475</v>
      </c>
      <c r="G106" s="21">
        <f>+D106-120033</f>
        <v>124589</v>
      </c>
      <c r="H106" s="23">
        <f t="shared" si="41"/>
        <v>-2.4994180866689676E-2</v>
      </c>
      <c r="I106" s="24">
        <f t="shared" si="42"/>
        <v>68.308296568473764</v>
      </c>
      <c r="J106" s="24">
        <f t="shared" si="43"/>
        <v>134.52081193661249</v>
      </c>
      <c r="K106" s="21">
        <v>16340915.630000001</v>
      </c>
      <c r="L106" s="21">
        <v>16440004.18</v>
      </c>
      <c r="M106" s="25">
        <f t="shared" si="44"/>
        <v>-6.0272825307760283E-3</v>
      </c>
      <c r="N106" s="10"/>
      <c r="R106" s="2"/>
    </row>
    <row r="107" spans="1:18" ht="15.75" customHeight="1" x14ac:dyDescent="0.25">
      <c r="A107" s="19"/>
      <c r="B107" s="20">
        <f>DATE(2023,9,1)</f>
        <v>45170</v>
      </c>
      <c r="C107" s="21">
        <v>248313</v>
      </c>
      <c r="D107" s="21">
        <v>238237</v>
      </c>
      <c r="E107" s="23">
        <f t="shared" si="40"/>
        <v>4.2294018141598493E-2</v>
      </c>
      <c r="F107" s="21">
        <f>+C107-122761</f>
        <v>125552</v>
      </c>
      <c r="G107" s="21">
        <f>+D107-117564</f>
        <v>120673</v>
      </c>
      <c r="H107" s="23">
        <f t="shared" si="41"/>
        <v>4.0431579557978999E-2</v>
      </c>
      <c r="I107" s="24">
        <f t="shared" si="42"/>
        <v>67.885279143661435</v>
      </c>
      <c r="J107" s="24">
        <f t="shared" si="43"/>
        <v>134.26147986491654</v>
      </c>
      <c r="K107" s="21">
        <v>16856797.32</v>
      </c>
      <c r="L107" s="21">
        <v>16961699.789999999</v>
      </c>
      <c r="M107" s="25">
        <f t="shared" si="44"/>
        <v>-6.1846672974276724E-3</v>
      </c>
      <c r="N107" s="10"/>
      <c r="R107" s="2"/>
    </row>
    <row r="108" spans="1:18" ht="15.75" customHeight="1" x14ac:dyDescent="0.25">
      <c r="A108" s="19"/>
      <c r="B108" s="20">
        <f>DATE(2023,10,1)</f>
        <v>45200</v>
      </c>
      <c r="C108" s="21">
        <v>227962</v>
      </c>
      <c r="D108" s="21">
        <v>243168</v>
      </c>
      <c r="E108" s="23">
        <f t="shared" si="40"/>
        <v>-6.2532899065666531E-2</v>
      </c>
      <c r="F108" s="21">
        <f>+C108-111422</f>
        <v>116540</v>
      </c>
      <c r="G108" s="21">
        <f>+D108-122237</f>
        <v>120931</v>
      </c>
      <c r="H108" s="23">
        <f t="shared" si="41"/>
        <v>-3.6309961879088075E-2</v>
      </c>
      <c r="I108" s="24">
        <f t="shared" si="42"/>
        <v>69.891412647721992</v>
      </c>
      <c r="J108" s="24">
        <f t="shared" si="43"/>
        <v>136.71345640981639</v>
      </c>
      <c r="K108" s="21">
        <v>15932586.210000001</v>
      </c>
      <c r="L108" s="21">
        <v>16273788.960000001</v>
      </c>
      <c r="M108" s="25">
        <f t="shared" si="44"/>
        <v>-2.0966398841637673E-2</v>
      </c>
      <c r="N108" s="10"/>
      <c r="R108" s="2"/>
    </row>
    <row r="109" spans="1:18" ht="15.75" customHeight="1" x14ac:dyDescent="0.25">
      <c r="A109" s="19"/>
      <c r="B109" s="20">
        <f>DATE(2023,11,1)</f>
        <v>45231</v>
      </c>
      <c r="C109" s="21">
        <v>224275</v>
      </c>
      <c r="D109" s="21">
        <v>218400</v>
      </c>
      <c r="E109" s="23">
        <f t="shared" si="40"/>
        <v>2.6900183150183152E-2</v>
      </c>
      <c r="F109" s="21">
        <f>+C109-113252</f>
        <v>111023</v>
      </c>
      <c r="G109" s="21">
        <f>+D109-108404</f>
        <v>109996</v>
      </c>
      <c r="H109" s="23">
        <f t="shared" si="41"/>
        <v>9.3367031528419214E-3</v>
      </c>
      <c r="I109" s="24">
        <f t="shared" si="42"/>
        <v>65.56001431278564</v>
      </c>
      <c r="J109" s="24">
        <f t="shared" si="43"/>
        <v>132.43627185357991</v>
      </c>
      <c r="K109" s="21">
        <v>14703472.210000001</v>
      </c>
      <c r="L109" s="21">
        <v>15198397.5</v>
      </c>
      <c r="M109" s="25">
        <f t="shared" si="44"/>
        <v>-3.2564307519921037E-2</v>
      </c>
      <c r="N109" s="10"/>
      <c r="R109" s="2"/>
    </row>
    <row r="110" spans="1:18" ht="15.75" customHeight="1" x14ac:dyDescent="0.25">
      <c r="A110" s="19"/>
      <c r="B110" s="20">
        <f>DATE(2023,12,1)</f>
        <v>45261</v>
      </c>
      <c r="C110" s="21">
        <v>270162</v>
      </c>
      <c r="D110" s="21">
        <v>250765</v>
      </c>
      <c r="E110" s="23">
        <f t="shared" si="40"/>
        <v>7.7351305006679555E-2</v>
      </c>
      <c r="F110" s="21">
        <f>+C110-137072</f>
        <v>133090</v>
      </c>
      <c r="G110" s="21">
        <f>+D110-124228</f>
        <v>126537</v>
      </c>
      <c r="H110" s="23">
        <f t="shared" si="41"/>
        <v>5.1787224290128581E-2</v>
      </c>
      <c r="I110" s="24">
        <f t="shared" si="42"/>
        <v>68.95012388862979</v>
      </c>
      <c r="J110" s="24">
        <f t="shared" si="43"/>
        <v>139.96320812983697</v>
      </c>
      <c r="K110" s="21">
        <v>18627703.370000001</v>
      </c>
      <c r="L110" s="21">
        <v>16605420.529999999</v>
      </c>
      <c r="M110" s="25">
        <f t="shared" si="44"/>
        <v>0.12178450020861964</v>
      </c>
      <c r="N110" s="10"/>
      <c r="R110" s="2"/>
    </row>
    <row r="111" spans="1:18" ht="15.75" customHeight="1" x14ac:dyDescent="0.25">
      <c r="A111" s="19"/>
      <c r="B111" s="20">
        <f>DATE(2024,1,1)</f>
        <v>45292</v>
      </c>
      <c r="C111" s="21">
        <v>198314</v>
      </c>
      <c r="D111" s="21">
        <v>242722</v>
      </c>
      <c r="E111" s="23">
        <f t="shared" si="40"/>
        <v>-0.18295828149075896</v>
      </c>
      <c r="F111" s="21">
        <f>C111-99827</f>
        <v>98487</v>
      </c>
      <c r="G111" s="21">
        <f>D111-123375</f>
        <v>119347</v>
      </c>
      <c r="H111" s="23">
        <f>(+F111-G111)/G111</f>
        <v>-0.17478445205995963</v>
      </c>
      <c r="I111" s="24">
        <f>K111/C111</f>
        <v>71.012547122240491</v>
      </c>
      <c r="J111" s="24">
        <f>K111/F111</f>
        <v>142.99128077817377</v>
      </c>
      <c r="K111" s="21">
        <v>14082782.27</v>
      </c>
      <c r="L111" s="21">
        <v>15648852.220000001</v>
      </c>
      <c r="M111" s="25">
        <f t="shared" si="44"/>
        <v>-0.10007570702204516</v>
      </c>
      <c r="N111" s="10"/>
      <c r="R111" s="2"/>
    </row>
    <row r="112" spans="1:18" ht="15.75" customHeight="1" x14ac:dyDescent="0.25">
      <c r="A112" s="19"/>
      <c r="B112" s="20">
        <f>DATE(2024,2,1)</f>
        <v>45323</v>
      </c>
      <c r="C112" s="21">
        <v>246721</v>
      </c>
      <c r="D112" s="21">
        <v>238918</v>
      </c>
      <c r="E112" s="23">
        <f t="shared" si="40"/>
        <v>3.2659740999003845E-2</v>
      </c>
      <c r="F112" s="21">
        <f>+C112-126091</f>
        <v>120630</v>
      </c>
      <c r="G112" s="21">
        <f>+D112-118809</f>
        <v>120109</v>
      </c>
      <c r="H112" s="23">
        <f>(+F112-G112)/G112</f>
        <v>4.3377265650367579E-3</v>
      </c>
      <c r="I112" s="24">
        <f>K112/C112</f>
        <v>68.40149699458091</v>
      </c>
      <c r="J112" s="24">
        <f>K112/F112</f>
        <v>139.89957506424602</v>
      </c>
      <c r="K112" s="21">
        <v>16876085.739999998</v>
      </c>
      <c r="L112" s="21">
        <v>15854862.57</v>
      </c>
      <c r="M112" s="25">
        <f t="shared" si="44"/>
        <v>6.4410723555076391E-2</v>
      </c>
      <c r="N112" s="10"/>
      <c r="R112" s="2"/>
    </row>
    <row r="113" spans="1:18" ht="15.75" customHeight="1" x14ac:dyDescent="0.25">
      <c r="A113" s="19"/>
      <c r="B113" s="20">
        <f>DATE(2024,3,1)</f>
        <v>45352</v>
      </c>
      <c r="C113" s="21">
        <v>273432</v>
      </c>
      <c r="D113" s="21">
        <v>275849</v>
      </c>
      <c r="E113" s="23">
        <f t="shared" si="40"/>
        <v>-8.7620401016498158E-3</v>
      </c>
      <c r="F113" s="21">
        <f>+C113-138760</f>
        <v>134672</v>
      </c>
      <c r="G113" s="21">
        <f>+D113-138730</f>
        <v>137119</v>
      </c>
      <c r="H113" s="23">
        <f>(+F113-G113)/G113</f>
        <v>-1.7845812761178248E-2</v>
      </c>
      <c r="I113" s="24">
        <f>K113/C113</f>
        <v>68.875254030252492</v>
      </c>
      <c r="J113" s="24">
        <f>K113/F113</f>
        <v>139.84123247594155</v>
      </c>
      <c r="K113" s="21">
        <v>18832698.460000001</v>
      </c>
      <c r="L113" s="21">
        <v>18290534.370000001</v>
      </c>
      <c r="M113" s="25">
        <f t="shared" si="44"/>
        <v>2.9641785145941575E-2</v>
      </c>
      <c r="N113" s="10"/>
      <c r="R113" s="2"/>
    </row>
    <row r="114" spans="1:18" ht="15.75" customHeight="1" thickBot="1" x14ac:dyDescent="0.3">
      <c r="A114" s="19"/>
      <c r="B114" s="45"/>
      <c r="C114" s="21"/>
      <c r="D114" s="21"/>
      <c r="E114" s="23"/>
      <c r="F114" s="21"/>
      <c r="G114" s="21"/>
      <c r="H114" s="23"/>
      <c r="I114" s="24"/>
      <c r="J114" s="24"/>
      <c r="K114" s="21"/>
      <c r="L114" s="21"/>
      <c r="M114" s="25"/>
      <c r="N114" s="10"/>
      <c r="R114" s="2"/>
    </row>
    <row r="115" spans="1:18" ht="17.25" thickTop="1" thickBot="1" x14ac:dyDescent="0.3">
      <c r="A115" s="39" t="s">
        <v>14</v>
      </c>
      <c r="B115" s="40"/>
      <c r="C115" s="41">
        <f>SUM(C105:C114)</f>
        <v>2190490</v>
      </c>
      <c r="D115" s="41">
        <f>SUM(D105:D114)</f>
        <v>2224018</v>
      </c>
      <c r="E115" s="280">
        <f>(+C115-D115)/D115</f>
        <v>-1.5075417555073745E-2</v>
      </c>
      <c r="F115" s="41">
        <f>SUM(F105:F114)</f>
        <v>1091139</v>
      </c>
      <c r="G115" s="41">
        <f>SUM(G105:G114)</f>
        <v>1116068</v>
      </c>
      <c r="H115" s="42">
        <f>(+F115-G115)/G115</f>
        <v>-2.233645261758244E-2</v>
      </c>
      <c r="I115" s="43">
        <f>K115/C115</f>
        <v>68.428973982990101</v>
      </c>
      <c r="J115" s="43">
        <f>K115/F115</f>
        <v>137.37294993580102</v>
      </c>
      <c r="K115" s="41">
        <f>SUM(K105:K114)</f>
        <v>149892983.22</v>
      </c>
      <c r="L115" s="41">
        <f>SUM(L105:L114)</f>
        <v>149477604.09999999</v>
      </c>
      <c r="M115" s="44">
        <f>(+K115-L115)/L115</f>
        <v>2.7788719420610837E-3</v>
      </c>
      <c r="N115" s="10"/>
      <c r="R115" s="2"/>
    </row>
    <row r="116" spans="1:18" ht="15.75" customHeight="1" thickTop="1" x14ac:dyDescent="0.2">
      <c r="A116" s="54"/>
      <c r="B116" s="55"/>
      <c r="C116" s="55"/>
      <c r="D116" s="55"/>
      <c r="E116" s="56"/>
      <c r="F116" s="55"/>
      <c r="G116" s="55"/>
      <c r="H116" s="56"/>
      <c r="I116" s="55"/>
      <c r="J116" s="55"/>
      <c r="K116" s="196"/>
      <c r="L116" s="196"/>
      <c r="M116" s="57"/>
      <c r="N116" s="10"/>
      <c r="R116" s="2"/>
    </row>
    <row r="117" spans="1:18" ht="15.75" customHeight="1" x14ac:dyDescent="0.25">
      <c r="A117" s="19" t="s">
        <v>53</v>
      </c>
      <c r="B117" s="20">
        <f>DATE(2023,7,1)</f>
        <v>45108</v>
      </c>
      <c r="C117" s="21">
        <v>372664</v>
      </c>
      <c r="D117" s="21">
        <v>358906</v>
      </c>
      <c r="E117" s="23">
        <f t="shared" ref="E117:E125" si="45">(+C117-D117)/D117</f>
        <v>3.8333156871158465E-2</v>
      </c>
      <c r="F117" s="21">
        <f>+C117-175639</f>
        <v>197025</v>
      </c>
      <c r="G117" s="21">
        <f>+D117-172463</f>
        <v>186443</v>
      </c>
      <c r="H117" s="23">
        <f t="shared" ref="H117:H122" si="46">(+F117-G117)/G117</f>
        <v>5.6757293113713039E-2</v>
      </c>
      <c r="I117" s="24">
        <f t="shared" ref="I117:I122" si="47">K117/C117</f>
        <v>59.665630729021316</v>
      </c>
      <c r="J117" s="24">
        <f t="shared" ref="J117:J122" si="48">K117/F117</f>
        <v>112.85487938078924</v>
      </c>
      <c r="K117" s="21">
        <v>22235232.609999999</v>
      </c>
      <c r="L117" s="21">
        <v>22397002.989999998</v>
      </c>
      <c r="M117" s="25">
        <f t="shared" ref="M117:M125" si="49">(+K117-L117)/L117</f>
        <v>-7.2228583472631388E-3</v>
      </c>
      <c r="N117" s="10"/>
      <c r="R117" s="2"/>
    </row>
    <row r="118" spans="1:18" ht="15.75" customHeight="1" x14ac:dyDescent="0.25">
      <c r="A118" s="19"/>
      <c r="B118" s="20">
        <f>DATE(2023,8,1)</f>
        <v>45139</v>
      </c>
      <c r="C118" s="21">
        <v>342645</v>
      </c>
      <c r="D118" s="21">
        <v>332390</v>
      </c>
      <c r="E118" s="23">
        <f t="shared" si="45"/>
        <v>3.0852312043081923E-2</v>
      </c>
      <c r="F118" s="21">
        <f>+C118-159996</f>
        <v>182649</v>
      </c>
      <c r="G118" s="21">
        <f>+D118-159690</f>
        <v>172700</v>
      </c>
      <c r="H118" s="23">
        <f t="shared" si="46"/>
        <v>5.7608569774174868E-2</v>
      </c>
      <c r="I118" s="24">
        <f t="shared" si="47"/>
        <v>60.158932422769915</v>
      </c>
      <c r="J118" s="24">
        <f t="shared" si="48"/>
        <v>112.85666715941504</v>
      </c>
      <c r="K118" s="21">
        <v>20613157.399999999</v>
      </c>
      <c r="L118" s="21">
        <v>20719744.75</v>
      </c>
      <c r="M118" s="25">
        <f t="shared" si="49"/>
        <v>-5.1442404955303073E-3</v>
      </c>
      <c r="N118" s="10"/>
      <c r="R118" s="2"/>
    </row>
    <row r="119" spans="1:18" ht="15.75" customHeight="1" x14ac:dyDescent="0.25">
      <c r="A119" s="19"/>
      <c r="B119" s="20">
        <f>DATE(2023,9,1)</f>
        <v>45170</v>
      </c>
      <c r="C119" s="21">
        <v>340628</v>
      </c>
      <c r="D119" s="21">
        <v>333101</v>
      </c>
      <c r="E119" s="23">
        <f t="shared" si="45"/>
        <v>2.259674993470449E-2</v>
      </c>
      <c r="F119" s="21">
        <f>+C119-161145</f>
        <v>179483</v>
      </c>
      <c r="G119" s="21">
        <f>+D119-160339</f>
        <v>172762</v>
      </c>
      <c r="H119" s="23">
        <f t="shared" si="46"/>
        <v>3.8903231034602519E-2</v>
      </c>
      <c r="I119" s="24">
        <f t="shared" si="47"/>
        <v>63.235720052373857</v>
      </c>
      <c r="J119" s="24">
        <f t="shared" si="48"/>
        <v>120.01056841037871</v>
      </c>
      <c r="K119" s="21">
        <v>21539856.850000001</v>
      </c>
      <c r="L119" s="21">
        <v>20315248.210000001</v>
      </c>
      <c r="M119" s="25">
        <f t="shared" si="49"/>
        <v>6.0280269644807878E-2</v>
      </c>
      <c r="N119" s="10"/>
      <c r="R119" s="2"/>
    </row>
    <row r="120" spans="1:18" ht="15.75" customHeight="1" x14ac:dyDescent="0.25">
      <c r="A120" s="19"/>
      <c r="B120" s="20">
        <f>DATE(2023,10,1)</f>
        <v>45200</v>
      </c>
      <c r="C120" s="21">
        <v>328436</v>
      </c>
      <c r="D120" s="21">
        <v>337264</v>
      </c>
      <c r="E120" s="23">
        <f t="shared" si="45"/>
        <v>-2.6175340386166326E-2</v>
      </c>
      <c r="F120" s="21">
        <f>+C120-154947</f>
        <v>173489</v>
      </c>
      <c r="G120" s="21">
        <f>+D120-160233</f>
        <v>177031</v>
      </c>
      <c r="H120" s="23">
        <f t="shared" si="46"/>
        <v>-2.0007795244900612E-2</v>
      </c>
      <c r="I120" s="24">
        <f t="shared" si="47"/>
        <v>59.368265659062949</v>
      </c>
      <c r="J120" s="24">
        <f t="shared" si="48"/>
        <v>112.39142366374813</v>
      </c>
      <c r="K120" s="21">
        <v>19498675.699999999</v>
      </c>
      <c r="L120" s="21">
        <v>21004131.789999999</v>
      </c>
      <c r="M120" s="25">
        <f t="shared" si="49"/>
        <v>-7.167428318635588E-2</v>
      </c>
      <c r="N120" s="10"/>
      <c r="R120" s="2"/>
    </row>
    <row r="121" spans="1:18" ht="15.75" customHeight="1" x14ac:dyDescent="0.25">
      <c r="A121" s="19"/>
      <c r="B121" s="20">
        <f>DATE(2023,11,1)</f>
        <v>45231</v>
      </c>
      <c r="C121" s="21">
        <v>339918</v>
      </c>
      <c r="D121" s="21">
        <v>335976</v>
      </c>
      <c r="E121" s="23">
        <f t="shared" si="45"/>
        <v>1.1732980927209086E-2</v>
      </c>
      <c r="F121" s="21">
        <f>+C121-166606</f>
        <v>173312</v>
      </c>
      <c r="G121" s="21">
        <f>+D121-165580</f>
        <v>170396</v>
      </c>
      <c r="H121" s="23">
        <f t="shared" si="46"/>
        <v>1.711307777177868E-2</v>
      </c>
      <c r="I121" s="24">
        <f t="shared" si="47"/>
        <v>59.428447684441537</v>
      </c>
      <c r="J121" s="24">
        <f t="shared" si="48"/>
        <v>116.55741714364844</v>
      </c>
      <c r="K121" s="21">
        <v>20200799.079999998</v>
      </c>
      <c r="L121" s="21">
        <v>20877358.670000002</v>
      </c>
      <c r="M121" s="25">
        <f t="shared" si="49"/>
        <v>-3.2406378636977429E-2</v>
      </c>
      <c r="N121" s="10"/>
      <c r="R121" s="2"/>
    </row>
    <row r="122" spans="1:18" ht="15.75" customHeight="1" x14ac:dyDescent="0.25">
      <c r="A122" s="19"/>
      <c r="B122" s="20">
        <f>DATE(2023,12,1)</f>
        <v>45261</v>
      </c>
      <c r="C122" s="21">
        <v>360595</v>
      </c>
      <c r="D122" s="21">
        <v>365348</v>
      </c>
      <c r="E122" s="23">
        <f t="shared" si="45"/>
        <v>-1.3009514216582545E-2</v>
      </c>
      <c r="F122" s="21">
        <f>+C122-173565</f>
        <v>187030</v>
      </c>
      <c r="G122" s="21">
        <f>+D122-180304</f>
        <v>185044</v>
      </c>
      <c r="H122" s="23">
        <f t="shared" si="46"/>
        <v>1.0732582520913945E-2</v>
      </c>
      <c r="I122" s="24">
        <f t="shared" si="47"/>
        <v>59.736622249337898</v>
      </c>
      <c r="J122" s="24">
        <f t="shared" si="48"/>
        <v>115.17257819601134</v>
      </c>
      <c r="K122" s="21">
        <v>21540727.300000001</v>
      </c>
      <c r="L122" s="21">
        <v>20814881.129999999</v>
      </c>
      <c r="M122" s="25">
        <f t="shared" si="49"/>
        <v>3.4871502050225822E-2</v>
      </c>
      <c r="N122" s="10"/>
      <c r="R122" s="2"/>
    </row>
    <row r="123" spans="1:18" ht="15.75" customHeight="1" x14ac:dyDescent="0.25">
      <c r="A123" s="19"/>
      <c r="B123" s="20">
        <f>DATE(2024,1,1)</f>
        <v>45292</v>
      </c>
      <c r="C123" s="21">
        <v>304972</v>
      </c>
      <c r="D123" s="21">
        <v>342355</v>
      </c>
      <c r="E123" s="23">
        <f t="shared" si="45"/>
        <v>-0.10919367323392386</v>
      </c>
      <c r="F123" s="21">
        <f>+C123-150800</f>
        <v>154172</v>
      </c>
      <c r="G123" s="21">
        <f>D123-168925</f>
        <v>173430</v>
      </c>
      <c r="H123" s="23">
        <f>(+F123-G123)/G123</f>
        <v>-0.11104191892982759</v>
      </c>
      <c r="I123" s="24">
        <f>K123/C123</f>
        <v>58.334785324554382</v>
      </c>
      <c r="J123" s="24">
        <f>K123/F123</f>
        <v>115.39369113717146</v>
      </c>
      <c r="K123" s="21">
        <v>17790476.149999999</v>
      </c>
      <c r="L123" s="21">
        <v>20669849.199999999</v>
      </c>
      <c r="M123" s="25">
        <f t="shared" si="49"/>
        <v>-0.13930305064828441</v>
      </c>
      <c r="N123" s="10"/>
      <c r="R123" s="2"/>
    </row>
    <row r="124" spans="1:18" ht="15.75" customHeight="1" x14ac:dyDescent="0.25">
      <c r="A124" s="19"/>
      <c r="B124" s="20">
        <f>DATE(2024,2,1)</f>
        <v>45323</v>
      </c>
      <c r="C124" s="21">
        <v>335192</v>
      </c>
      <c r="D124" s="21">
        <v>337128</v>
      </c>
      <c r="E124" s="23">
        <f t="shared" si="45"/>
        <v>-5.7426259462281387E-3</v>
      </c>
      <c r="F124" s="21">
        <f>+C124-154964</f>
        <v>180228</v>
      </c>
      <c r="G124" s="21">
        <f>+D124-165968</f>
        <v>171160</v>
      </c>
      <c r="H124" s="23">
        <f>(+F124-G124)/G124</f>
        <v>5.2979668146763262E-2</v>
      </c>
      <c r="I124" s="24">
        <f>K124/C124</f>
        <v>60.766679037685861</v>
      </c>
      <c r="J124" s="24">
        <f>K124/F124</f>
        <v>113.0152067381317</v>
      </c>
      <c r="K124" s="21">
        <v>20368504.68</v>
      </c>
      <c r="L124" s="21">
        <v>20740163.050000001</v>
      </c>
      <c r="M124" s="25">
        <f t="shared" si="49"/>
        <v>-1.7919741956898504E-2</v>
      </c>
      <c r="N124" s="10"/>
      <c r="R124" s="2"/>
    </row>
    <row r="125" spans="1:18" ht="15.75" customHeight="1" x14ac:dyDescent="0.25">
      <c r="A125" s="19"/>
      <c r="B125" s="20">
        <f>DATE(2024,3,1)</f>
        <v>45352</v>
      </c>
      <c r="C125" s="21">
        <v>357667</v>
      </c>
      <c r="D125" s="21">
        <v>378599</v>
      </c>
      <c r="E125" s="23">
        <f t="shared" si="45"/>
        <v>-5.5288048832669925E-2</v>
      </c>
      <c r="F125" s="21">
        <f>+C125-170682</f>
        <v>186985</v>
      </c>
      <c r="G125" s="21">
        <f>+D125-184066</f>
        <v>194533</v>
      </c>
      <c r="H125" s="23">
        <f>(+F125-G125)/G125</f>
        <v>-3.8800614805714201E-2</v>
      </c>
      <c r="I125" s="24">
        <f>K125/C125</f>
        <v>64.086478679889396</v>
      </c>
      <c r="J125" s="24">
        <f>K125/F125</f>
        <v>122.58533342246704</v>
      </c>
      <c r="K125" s="21">
        <v>22921618.57</v>
      </c>
      <c r="L125" s="21">
        <v>23723992.280000001</v>
      </c>
      <c r="M125" s="25">
        <f t="shared" si="49"/>
        <v>-3.3821192509678258E-2</v>
      </c>
      <c r="N125" s="10"/>
      <c r="R125" s="2"/>
    </row>
    <row r="126" spans="1:18" ht="15.75" customHeight="1" thickBot="1" x14ac:dyDescent="0.3">
      <c r="A126" s="19"/>
      <c r="B126" s="45"/>
      <c r="C126" s="21"/>
      <c r="D126" s="21"/>
      <c r="E126" s="23"/>
      <c r="F126" s="21"/>
      <c r="G126" s="21"/>
      <c r="H126" s="23"/>
      <c r="I126" s="24"/>
      <c r="J126" s="24"/>
      <c r="K126" s="21"/>
      <c r="L126" s="21"/>
      <c r="M126" s="25"/>
      <c r="N126" s="10"/>
      <c r="R126" s="2"/>
    </row>
    <row r="127" spans="1:18" ht="17.25" thickTop="1" thickBot="1" x14ac:dyDescent="0.3">
      <c r="A127" s="39" t="s">
        <v>14</v>
      </c>
      <c r="B127" s="40"/>
      <c r="C127" s="41">
        <f>SUM(C117:C126)</f>
        <v>3082717</v>
      </c>
      <c r="D127" s="41">
        <f>SUM(D117:D126)</f>
        <v>3121067</v>
      </c>
      <c r="E127" s="280">
        <f>(+C127-D127)/D127</f>
        <v>-1.2287464511335387E-2</v>
      </c>
      <c r="F127" s="41">
        <f>SUM(F117:F126)</f>
        <v>1614373</v>
      </c>
      <c r="G127" s="41">
        <f>SUM(G117:G126)</f>
        <v>1603499</v>
      </c>
      <c r="H127" s="42">
        <f>(+F127-G127)/G127</f>
        <v>6.781419882394688E-3</v>
      </c>
      <c r="I127" s="43">
        <f>K127/C127</f>
        <v>60.566392678925766</v>
      </c>
      <c r="J127" s="43">
        <f>K127/F127</f>
        <v>115.65421890727856</v>
      </c>
      <c r="K127" s="41">
        <f>SUM(K117:K126)</f>
        <v>186709048.34</v>
      </c>
      <c r="L127" s="41">
        <f>SUM(L117:L126)</f>
        <v>191262372.06999999</v>
      </c>
      <c r="M127" s="44">
        <f>(+K127-L127)/L127</f>
        <v>-2.380668858552858E-2</v>
      </c>
      <c r="N127" s="10"/>
      <c r="R127" s="2"/>
    </row>
    <row r="128" spans="1:18" ht="15.75" customHeight="1" thickTop="1" x14ac:dyDescent="0.2">
      <c r="A128" s="58"/>
      <c r="B128" s="59"/>
      <c r="C128" s="59"/>
      <c r="D128" s="59"/>
      <c r="E128" s="60"/>
      <c r="F128" s="59"/>
      <c r="G128" s="59"/>
      <c r="H128" s="60"/>
      <c r="I128" s="59"/>
      <c r="J128" s="59"/>
      <c r="K128" s="197"/>
      <c r="L128" s="197"/>
      <c r="M128" s="61"/>
      <c r="N128" s="10"/>
      <c r="R128" s="2"/>
    </row>
    <row r="129" spans="1:18" ht="15" customHeight="1" x14ac:dyDescent="0.25">
      <c r="A129" s="19" t="s">
        <v>54</v>
      </c>
      <c r="B129" s="20">
        <f>DATE(2023,7,1)</f>
        <v>45108</v>
      </c>
      <c r="C129" s="21">
        <v>43122</v>
      </c>
      <c r="D129" s="21">
        <v>45743</v>
      </c>
      <c r="E129" s="23">
        <f t="shared" ref="E129:E137" si="50">(+C129-D129)/D129</f>
        <v>-5.729838445226592E-2</v>
      </c>
      <c r="F129" s="21">
        <f>+C129-21874</f>
        <v>21248</v>
      </c>
      <c r="G129" s="21">
        <f>+D129-23748</f>
        <v>21995</v>
      </c>
      <c r="H129" s="23">
        <f t="shared" ref="H129:H134" si="51">(+F129-G129)/G129</f>
        <v>-3.3962264150943396E-2</v>
      </c>
      <c r="I129" s="24">
        <f t="shared" ref="I129:I134" si="52">K129/C129</f>
        <v>73.706668985668571</v>
      </c>
      <c r="J129" s="24">
        <f t="shared" ref="J129:J134" si="53">K129/F129</f>
        <v>149.58485410391566</v>
      </c>
      <c r="K129" s="21">
        <v>3178378.98</v>
      </c>
      <c r="L129" s="21">
        <v>3253812.68</v>
      </c>
      <c r="M129" s="25">
        <f t="shared" ref="M129:M137" si="54">(+K129-L129)/L129</f>
        <v>-2.3183172302346608E-2</v>
      </c>
      <c r="N129" s="10"/>
      <c r="R129" s="2"/>
    </row>
    <row r="130" spans="1:18" ht="15" customHeight="1" x14ac:dyDescent="0.25">
      <c r="A130" s="19"/>
      <c r="B130" s="20">
        <f>DATE(2023,8,1)</f>
        <v>45139</v>
      </c>
      <c r="C130" s="21">
        <v>38794</v>
      </c>
      <c r="D130" s="21">
        <v>40978</v>
      </c>
      <c r="E130" s="23">
        <f t="shared" si="50"/>
        <v>-5.329689101469081E-2</v>
      </c>
      <c r="F130" s="21">
        <f>+C130-19691</f>
        <v>19103</v>
      </c>
      <c r="G130" s="21">
        <f>+D130-21136</f>
        <v>19842</v>
      </c>
      <c r="H130" s="23">
        <f t="shared" si="51"/>
        <v>-3.7244229412357624E-2</v>
      </c>
      <c r="I130" s="24">
        <f t="shared" si="52"/>
        <v>74.058326803113886</v>
      </c>
      <c r="J130" s="24">
        <f t="shared" si="53"/>
        <v>150.39620635502277</v>
      </c>
      <c r="K130" s="21">
        <v>2873018.73</v>
      </c>
      <c r="L130" s="21">
        <v>2953942.06</v>
      </c>
      <c r="M130" s="25">
        <f t="shared" si="54"/>
        <v>-2.7395029542319482E-2</v>
      </c>
      <c r="N130" s="10"/>
      <c r="R130" s="2"/>
    </row>
    <row r="131" spans="1:18" ht="15" customHeight="1" x14ac:dyDescent="0.25">
      <c r="A131" s="19"/>
      <c r="B131" s="20">
        <f>DATE(2023,9,1)</f>
        <v>45170</v>
      </c>
      <c r="C131" s="21">
        <v>39024</v>
      </c>
      <c r="D131" s="21">
        <v>41696</v>
      </c>
      <c r="E131" s="23">
        <f t="shared" si="50"/>
        <v>-6.4082885648503451E-2</v>
      </c>
      <c r="F131" s="21">
        <f>+C131-19292</f>
        <v>19732</v>
      </c>
      <c r="G131" s="21">
        <f>+D131-21639</f>
        <v>20057</v>
      </c>
      <c r="H131" s="23">
        <f t="shared" si="51"/>
        <v>-1.6203819115520764E-2</v>
      </c>
      <c r="I131" s="24">
        <f t="shared" si="52"/>
        <v>73.702168152931534</v>
      </c>
      <c r="J131" s="24">
        <f t="shared" si="53"/>
        <v>145.76086610581797</v>
      </c>
      <c r="K131" s="21">
        <v>2876153.41</v>
      </c>
      <c r="L131" s="21">
        <v>3101049.85</v>
      </c>
      <c r="M131" s="25">
        <f t="shared" si="54"/>
        <v>-7.2522678085939166E-2</v>
      </c>
      <c r="N131" s="10"/>
      <c r="R131" s="2"/>
    </row>
    <row r="132" spans="1:18" ht="15" customHeight="1" x14ac:dyDescent="0.25">
      <c r="A132" s="19"/>
      <c r="B132" s="20">
        <f>DATE(2023,10,1)</f>
        <v>45200</v>
      </c>
      <c r="C132" s="21">
        <v>39576</v>
      </c>
      <c r="D132" s="21">
        <v>40713</v>
      </c>
      <c r="E132" s="23">
        <f t="shared" si="50"/>
        <v>-2.7927197700980032E-2</v>
      </c>
      <c r="F132" s="21">
        <f>+C132-20256</f>
        <v>19320</v>
      </c>
      <c r="G132" s="21">
        <f>+D132-21150</f>
        <v>19563</v>
      </c>
      <c r="H132" s="23">
        <f t="shared" si="51"/>
        <v>-1.2421407759546081E-2</v>
      </c>
      <c r="I132" s="24">
        <f t="shared" si="52"/>
        <v>78.079089094400643</v>
      </c>
      <c r="J132" s="24">
        <f t="shared" si="53"/>
        <v>159.94089182194617</v>
      </c>
      <c r="K132" s="21">
        <v>3090058.03</v>
      </c>
      <c r="L132" s="21">
        <v>3050192.47</v>
      </c>
      <c r="M132" s="25">
        <f t="shared" si="54"/>
        <v>1.306985063798272E-2</v>
      </c>
      <c r="N132" s="10"/>
      <c r="R132" s="2"/>
    </row>
    <row r="133" spans="1:18" ht="15" customHeight="1" x14ac:dyDescent="0.25">
      <c r="A133" s="19"/>
      <c r="B133" s="20">
        <f>DATE(2023,11,1)</f>
        <v>45231</v>
      </c>
      <c r="C133" s="21">
        <v>38920</v>
      </c>
      <c r="D133" s="21">
        <v>37233</v>
      </c>
      <c r="E133" s="23">
        <f t="shared" si="50"/>
        <v>4.5309268659522464E-2</v>
      </c>
      <c r="F133" s="21">
        <f>+C133-20391</f>
        <v>18529</v>
      </c>
      <c r="G133" s="21">
        <f>+D133-19170</f>
        <v>18063</v>
      </c>
      <c r="H133" s="23">
        <f t="shared" si="51"/>
        <v>2.5798593810551957E-2</v>
      </c>
      <c r="I133" s="24">
        <f t="shared" si="52"/>
        <v>70.912000000000006</v>
      </c>
      <c r="J133" s="24">
        <f t="shared" si="53"/>
        <v>148.95002644503211</v>
      </c>
      <c r="K133" s="21">
        <v>2759895.04</v>
      </c>
      <c r="L133" s="21">
        <v>2799014.1</v>
      </c>
      <c r="M133" s="25">
        <f t="shared" si="54"/>
        <v>-1.3976013911469775E-2</v>
      </c>
      <c r="N133" s="10"/>
      <c r="R133" s="2"/>
    </row>
    <row r="134" spans="1:18" ht="15" customHeight="1" x14ac:dyDescent="0.25">
      <c r="A134" s="19"/>
      <c r="B134" s="20">
        <f>DATE(2023,12,1)</f>
        <v>45261</v>
      </c>
      <c r="C134" s="21">
        <v>39936</v>
      </c>
      <c r="D134" s="21">
        <v>38888</v>
      </c>
      <c r="E134" s="23">
        <f t="shared" si="50"/>
        <v>2.6949187409997941E-2</v>
      </c>
      <c r="F134" s="21">
        <f>+C134-21159</f>
        <v>18777</v>
      </c>
      <c r="G134" s="21">
        <f>+D134-20548</f>
        <v>18340</v>
      </c>
      <c r="H134" s="23">
        <f t="shared" si="51"/>
        <v>2.3827699018538713E-2</v>
      </c>
      <c r="I134" s="24">
        <f t="shared" si="52"/>
        <v>80.196872746394234</v>
      </c>
      <c r="J134" s="24">
        <f t="shared" si="53"/>
        <v>170.56730627895831</v>
      </c>
      <c r="K134" s="21">
        <v>3202742.31</v>
      </c>
      <c r="L134" s="21">
        <v>3097813.72</v>
      </c>
      <c r="M134" s="25">
        <f t="shared" si="54"/>
        <v>3.3871820414043435E-2</v>
      </c>
      <c r="N134" s="10"/>
      <c r="R134" s="2"/>
    </row>
    <row r="135" spans="1:18" ht="15" customHeight="1" x14ac:dyDescent="0.25">
      <c r="A135" s="19"/>
      <c r="B135" s="20">
        <f>DATE(2024,1,1)</f>
        <v>45292</v>
      </c>
      <c r="C135" s="21">
        <v>28423</v>
      </c>
      <c r="D135" s="21">
        <v>39674</v>
      </c>
      <c r="E135" s="23">
        <f t="shared" si="50"/>
        <v>-0.28358622775621312</v>
      </c>
      <c r="F135" s="21">
        <f>C135-15073</f>
        <v>13350</v>
      </c>
      <c r="G135" s="21">
        <f>D135-21146</f>
        <v>18528</v>
      </c>
      <c r="H135" s="23">
        <f>(+F135-G135)/G135</f>
        <v>-0.27946891191709844</v>
      </c>
      <c r="I135" s="24">
        <f>K135/C135</f>
        <v>77.909313935896989</v>
      </c>
      <c r="J135" s="24">
        <f>K135/F135</f>
        <v>165.87388988764047</v>
      </c>
      <c r="K135" s="21">
        <v>2214416.4300000002</v>
      </c>
      <c r="L135" s="21">
        <v>2888248.11</v>
      </c>
      <c r="M135" s="25">
        <f t="shared" si="54"/>
        <v>-0.23330117577745069</v>
      </c>
      <c r="N135" s="10"/>
      <c r="R135" s="2"/>
    </row>
    <row r="136" spans="1:18" ht="15" customHeight="1" x14ac:dyDescent="0.25">
      <c r="A136" s="19"/>
      <c r="B136" s="20">
        <f>DATE(2024,2,1)</f>
        <v>45323</v>
      </c>
      <c r="C136" s="21">
        <v>39444</v>
      </c>
      <c r="D136" s="21">
        <v>44258</v>
      </c>
      <c r="E136" s="23">
        <f t="shared" si="50"/>
        <v>-0.10877129558497899</v>
      </c>
      <c r="F136" s="21">
        <f>+C136-20602</f>
        <v>18842</v>
      </c>
      <c r="G136" s="21">
        <f>+D136-23416</f>
        <v>20842</v>
      </c>
      <c r="H136" s="23">
        <f>(+F136-G136)/G136</f>
        <v>-9.5960080606467713E-2</v>
      </c>
      <c r="I136" s="24">
        <f>K136/C136</f>
        <v>78.978928607646282</v>
      </c>
      <c r="J136" s="24">
        <f>K136/F136</f>
        <v>165.33514807345293</v>
      </c>
      <c r="K136" s="21">
        <v>3115244.86</v>
      </c>
      <c r="L136" s="21">
        <v>3112659.92</v>
      </c>
      <c r="M136" s="25">
        <f t="shared" si="54"/>
        <v>8.3046014226955582E-4</v>
      </c>
      <c r="N136" s="10"/>
      <c r="R136" s="2"/>
    </row>
    <row r="137" spans="1:18" ht="15" customHeight="1" x14ac:dyDescent="0.25">
      <c r="A137" s="19"/>
      <c r="B137" s="20">
        <f>DATE(2024,3,1)</f>
        <v>45352</v>
      </c>
      <c r="C137" s="21">
        <v>45448</v>
      </c>
      <c r="D137" s="21">
        <v>46782</v>
      </c>
      <c r="E137" s="23">
        <f t="shared" si="50"/>
        <v>-2.8515240904621434E-2</v>
      </c>
      <c r="F137" s="21">
        <f>+C137-23329</f>
        <v>22119</v>
      </c>
      <c r="G137" s="21">
        <f>+D137-24795</f>
        <v>21987</v>
      </c>
      <c r="H137" s="23">
        <f>(+F137-G137)/G137</f>
        <v>6.0035475508254874E-3</v>
      </c>
      <c r="I137" s="24">
        <f>K137/C137</f>
        <v>76.269291718007395</v>
      </c>
      <c r="J137" s="24">
        <f>K137/F137</f>
        <v>156.71082643880825</v>
      </c>
      <c r="K137" s="21">
        <v>3466286.77</v>
      </c>
      <c r="L137" s="21">
        <v>3356794.26</v>
      </c>
      <c r="M137" s="25">
        <f t="shared" si="54"/>
        <v>3.2618177201006134E-2</v>
      </c>
      <c r="N137" s="10"/>
      <c r="R137" s="2"/>
    </row>
    <row r="138" spans="1:18" ht="15.75" thickBot="1" x14ac:dyDescent="0.25">
      <c r="A138" s="38"/>
      <c r="B138" s="20"/>
      <c r="C138" s="21"/>
      <c r="D138" s="21"/>
      <c r="E138" s="23"/>
      <c r="F138" s="21"/>
      <c r="G138" s="21"/>
      <c r="H138" s="23"/>
      <c r="I138" s="24"/>
      <c r="J138" s="24"/>
      <c r="K138" s="21"/>
      <c r="L138" s="21"/>
      <c r="M138" s="25"/>
      <c r="N138" s="10"/>
      <c r="R138" s="2"/>
    </row>
    <row r="139" spans="1:18" ht="17.25" thickTop="1" thickBot="1" x14ac:dyDescent="0.3">
      <c r="A139" s="62" t="s">
        <v>14</v>
      </c>
      <c r="B139" s="52"/>
      <c r="C139" s="48">
        <f>SUM(C129:C138)</f>
        <v>352687</v>
      </c>
      <c r="D139" s="48">
        <f>SUM(D129:D138)</f>
        <v>375965</v>
      </c>
      <c r="E139" s="280">
        <f>(+C139-D139)/D139</f>
        <v>-6.1915337863896906E-2</v>
      </c>
      <c r="F139" s="48">
        <f>SUM(F129:F138)</f>
        <v>171020</v>
      </c>
      <c r="G139" s="48">
        <f>SUM(G129:G138)</f>
        <v>179217</v>
      </c>
      <c r="H139" s="42">
        <f>(+F139-G139)/G139</f>
        <v>-4.5737848529994365E-2</v>
      </c>
      <c r="I139" s="50">
        <f>K139/C139</f>
        <v>75.920560043324528</v>
      </c>
      <c r="J139" s="50">
        <f>K139/F139</f>
        <v>156.5676210969477</v>
      </c>
      <c r="K139" s="48">
        <f>SUM(K129:K138)</f>
        <v>26776194.559999999</v>
      </c>
      <c r="L139" s="48">
        <f>SUM(L129:L138)</f>
        <v>27613527.169999994</v>
      </c>
      <c r="M139" s="44">
        <f>(+K139-L139)/L139</f>
        <v>-3.0323276155379893E-2</v>
      </c>
      <c r="N139" s="10"/>
      <c r="R139" s="2"/>
    </row>
    <row r="140" spans="1:18" ht="15.75" customHeight="1" thickTop="1" x14ac:dyDescent="0.25">
      <c r="A140" s="19"/>
      <c r="B140" s="45"/>
      <c r="C140" s="21"/>
      <c r="D140" s="21"/>
      <c r="E140" s="23"/>
      <c r="F140" s="21"/>
      <c r="G140" s="21"/>
      <c r="H140" s="23"/>
      <c r="I140" s="24"/>
      <c r="J140" s="24"/>
      <c r="K140" s="21"/>
      <c r="L140" s="21"/>
      <c r="M140" s="25"/>
      <c r="N140" s="10"/>
      <c r="R140" s="2"/>
    </row>
    <row r="141" spans="1:18" ht="15.75" x14ac:dyDescent="0.25">
      <c r="A141" s="19" t="s">
        <v>17</v>
      </c>
      <c r="B141" s="20">
        <f>DATE(2023,7,1)</f>
        <v>45108</v>
      </c>
      <c r="C141" s="21">
        <v>341358</v>
      </c>
      <c r="D141" s="21">
        <v>376535</v>
      </c>
      <c r="E141" s="23">
        <f t="shared" ref="E141:E149" si="55">(+C141-D141)/D141</f>
        <v>-9.3422922171909645E-2</v>
      </c>
      <c r="F141" s="21">
        <f>+C141-174275</f>
        <v>167083</v>
      </c>
      <c r="G141" s="21">
        <f>+D141-192471</f>
        <v>184064</v>
      </c>
      <c r="H141" s="23">
        <f t="shared" ref="H141:H146" si="56">(+F141-G141)/G141</f>
        <v>-9.2255954450625871E-2</v>
      </c>
      <c r="I141" s="24">
        <f t="shared" ref="I141:I146" si="57">K141/C141</f>
        <v>75.201336397565015</v>
      </c>
      <c r="J141" s="24">
        <f t="shared" ref="J141:J146" si="58">K141/F141</f>
        <v>153.63967483226898</v>
      </c>
      <c r="K141" s="21">
        <v>25670577.789999999</v>
      </c>
      <c r="L141" s="21">
        <v>26699268.829999998</v>
      </c>
      <c r="M141" s="25">
        <f t="shared" ref="M141:M149" si="59">(+K141-L141)/L141</f>
        <v>-3.8528809404852871E-2</v>
      </c>
      <c r="N141" s="10"/>
      <c r="R141" s="2"/>
    </row>
    <row r="142" spans="1:18" ht="15.75" x14ac:dyDescent="0.25">
      <c r="A142" s="19"/>
      <c r="B142" s="20">
        <f>DATE(2023,8,1)</f>
        <v>45139</v>
      </c>
      <c r="C142" s="21">
        <v>326253</v>
      </c>
      <c r="D142" s="21">
        <v>348725</v>
      </c>
      <c r="E142" s="23">
        <f t="shared" si="55"/>
        <v>-6.4440461681840991E-2</v>
      </c>
      <c r="F142" s="21">
        <f>+C142-166627</f>
        <v>159626</v>
      </c>
      <c r="G142" s="21">
        <f>+D142-177430</f>
        <v>171295</v>
      </c>
      <c r="H142" s="23">
        <f t="shared" si="56"/>
        <v>-6.8122245249423508E-2</v>
      </c>
      <c r="I142" s="24">
        <f t="shared" si="57"/>
        <v>71.558283510036688</v>
      </c>
      <c r="J142" s="24">
        <f t="shared" si="58"/>
        <v>146.25502530916017</v>
      </c>
      <c r="K142" s="21">
        <v>23346104.670000002</v>
      </c>
      <c r="L142" s="21">
        <v>26620249.559999999</v>
      </c>
      <c r="M142" s="25">
        <f t="shared" si="59"/>
        <v>-0.12299452274556351</v>
      </c>
      <c r="N142" s="10"/>
      <c r="R142" s="2"/>
    </row>
    <row r="143" spans="1:18" ht="15.75" x14ac:dyDescent="0.25">
      <c r="A143" s="19"/>
      <c r="B143" s="20">
        <f>DATE(2023,9,1)</f>
        <v>45170</v>
      </c>
      <c r="C143" s="21">
        <v>330805</v>
      </c>
      <c r="D143" s="21">
        <v>351773</v>
      </c>
      <c r="E143" s="23">
        <f t="shared" si="55"/>
        <v>-5.9606621315450588E-2</v>
      </c>
      <c r="F143" s="21">
        <f>+C143-169998</f>
        <v>160807</v>
      </c>
      <c r="G143" s="21">
        <f>+D143-180127</f>
        <v>171646</v>
      </c>
      <c r="H143" s="23">
        <f t="shared" si="56"/>
        <v>-6.3147408037472472E-2</v>
      </c>
      <c r="I143" s="24">
        <f t="shared" si="57"/>
        <v>74.375674521243639</v>
      </c>
      <c r="J143" s="24">
        <f t="shared" si="58"/>
        <v>153.00232583158694</v>
      </c>
      <c r="K143" s="21">
        <v>24603845.010000002</v>
      </c>
      <c r="L143" s="21">
        <v>24480724.719999999</v>
      </c>
      <c r="M143" s="25">
        <f t="shared" si="59"/>
        <v>5.0292747215697148E-3</v>
      </c>
      <c r="N143" s="10"/>
      <c r="R143" s="2"/>
    </row>
    <row r="144" spans="1:18" ht="15.75" x14ac:dyDescent="0.25">
      <c r="A144" s="19"/>
      <c r="B144" s="20">
        <f>DATE(2023,10,1)</f>
        <v>45200</v>
      </c>
      <c r="C144" s="21">
        <v>304204</v>
      </c>
      <c r="D144" s="21">
        <v>353411</v>
      </c>
      <c r="E144" s="23">
        <f t="shared" si="55"/>
        <v>-0.13923448902269595</v>
      </c>
      <c r="F144" s="21">
        <f>+C144-155651</f>
        <v>148553</v>
      </c>
      <c r="G144" s="21">
        <f>+D144-182814</f>
        <v>170597</v>
      </c>
      <c r="H144" s="23">
        <f t="shared" si="56"/>
        <v>-0.12921680920532014</v>
      </c>
      <c r="I144" s="24">
        <f t="shared" si="57"/>
        <v>77.748252258352935</v>
      </c>
      <c r="J144" s="24">
        <f t="shared" si="58"/>
        <v>159.2113880567878</v>
      </c>
      <c r="K144" s="21">
        <v>23651329.329999998</v>
      </c>
      <c r="L144" s="21">
        <v>24469878.329999998</v>
      </c>
      <c r="M144" s="25">
        <f t="shared" si="59"/>
        <v>-3.3451290151960474E-2</v>
      </c>
      <c r="N144" s="10"/>
      <c r="R144" s="2"/>
    </row>
    <row r="145" spans="1:18" ht="15.75" x14ac:dyDescent="0.25">
      <c r="A145" s="19"/>
      <c r="B145" s="20">
        <f>DATE(2023,11,1)</f>
        <v>45231</v>
      </c>
      <c r="C145" s="21">
        <v>307303</v>
      </c>
      <c r="D145" s="21">
        <v>324947</v>
      </c>
      <c r="E145" s="23">
        <f t="shared" si="55"/>
        <v>-5.429808553394861E-2</v>
      </c>
      <c r="F145" s="21">
        <f>+C145-157952</f>
        <v>149351</v>
      </c>
      <c r="G145" s="21">
        <f>+D145-166237</f>
        <v>158710</v>
      </c>
      <c r="H145" s="23">
        <f t="shared" si="56"/>
        <v>-5.8969189087014054E-2</v>
      </c>
      <c r="I145" s="24">
        <f t="shared" si="57"/>
        <v>71.832083871618565</v>
      </c>
      <c r="J145" s="24">
        <f t="shared" si="58"/>
        <v>147.80091777088873</v>
      </c>
      <c r="K145" s="21">
        <v>22074214.870000001</v>
      </c>
      <c r="L145" s="21">
        <v>24161266.16</v>
      </c>
      <c r="M145" s="25">
        <f t="shared" si="59"/>
        <v>-8.6380046317903691E-2</v>
      </c>
      <c r="N145" s="10"/>
      <c r="R145" s="2"/>
    </row>
    <row r="146" spans="1:18" ht="15.75" x14ac:dyDescent="0.25">
      <c r="A146" s="19"/>
      <c r="B146" s="20">
        <f>DATE(2023,12,1)</f>
        <v>45261</v>
      </c>
      <c r="C146" s="21">
        <v>374031</v>
      </c>
      <c r="D146" s="21">
        <v>362717</v>
      </c>
      <c r="E146" s="23">
        <f t="shared" si="55"/>
        <v>3.1192362089452658E-2</v>
      </c>
      <c r="F146" s="21">
        <f>+C146-193719</f>
        <v>180312</v>
      </c>
      <c r="G146" s="21">
        <f>+D146-186399</f>
        <v>176318</v>
      </c>
      <c r="H146" s="23">
        <f t="shared" si="56"/>
        <v>2.2652253315033066E-2</v>
      </c>
      <c r="I146" s="24">
        <f t="shared" si="57"/>
        <v>71.185935577532348</v>
      </c>
      <c r="J146" s="24">
        <f t="shared" si="58"/>
        <v>147.6648624051644</v>
      </c>
      <c r="K146" s="21">
        <v>26625746.670000002</v>
      </c>
      <c r="L146" s="21">
        <v>25274658.52</v>
      </c>
      <c r="M146" s="25">
        <f t="shared" si="59"/>
        <v>5.345623755632059E-2</v>
      </c>
      <c r="N146" s="10"/>
      <c r="R146" s="2"/>
    </row>
    <row r="147" spans="1:18" ht="15.75" x14ac:dyDescent="0.25">
      <c r="A147" s="19"/>
      <c r="B147" s="20">
        <f>DATE(2024,1,1)</f>
        <v>45292</v>
      </c>
      <c r="C147" s="21">
        <v>295457</v>
      </c>
      <c r="D147" s="21">
        <v>343820</v>
      </c>
      <c r="E147" s="23">
        <f t="shared" si="55"/>
        <v>-0.14066371938805189</v>
      </c>
      <c r="F147" s="21">
        <f>C147-151848</f>
        <v>143609</v>
      </c>
      <c r="G147" s="21">
        <f>D147-178333</f>
        <v>165487</v>
      </c>
      <c r="H147" s="23">
        <f>(+F147-G147)/G147</f>
        <v>-0.13220373805797433</v>
      </c>
      <c r="I147" s="24">
        <f>K147/C147</f>
        <v>72.961188023976419</v>
      </c>
      <c r="J147" s="24">
        <f>K147/F147</f>
        <v>150.10823646150311</v>
      </c>
      <c r="K147" s="21">
        <v>21556893.73</v>
      </c>
      <c r="L147" s="21">
        <v>24367687.640000001</v>
      </c>
      <c r="M147" s="25">
        <f t="shared" si="59"/>
        <v>-0.11534922605401553</v>
      </c>
      <c r="N147" s="10"/>
      <c r="R147" s="2"/>
    </row>
    <row r="148" spans="1:18" ht="15.75" x14ac:dyDescent="0.25">
      <c r="A148" s="19"/>
      <c r="B148" s="20">
        <f>DATE(2024,2,1)</f>
        <v>45323</v>
      </c>
      <c r="C148" s="21">
        <v>318500</v>
      </c>
      <c r="D148" s="21">
        <v>340975</v>
      </c>
      <c r="E148" s="23">
        <f t="shared" si="55"/>
        <v>-6.5913923308160427E-2</v>
      </c>
      <c r="F148" s="21">
        <f>+C148-164134</f>
        <v>154366</v>
      </c>
      <c r="G148" s="21">
        <f>+D148-179064</f>
        <v>161911</v>
      </c>
      <c r="H148" s="23">
        <f>(+F148-G148)/G148</f>
        <v>-4.6599675130164102E-2</v>
      </c>
      <c r="I148" s="24">
        <f>K148/C148</f>
        <v>75.15344825745683</v>
      </c>
      <c r="J148" s="24">
        <f>K148/F148</f>
        <v>155.0624701683013</v>
      </c>
      <c r="K148" s="21">
        <v>23936373.27</v>
      </c>
      <c r="L148" s="21">
        <v>25410016.34</v>
      </c>
      <c r="M148" s="25">
        <f t="shared" si="59"/>
        <v>-5.7994573883064268E-2</v>
      </c>
      <c r="N148" s="10"/>
      <c r="R148" s="2"/>
    </row>
    <row r="149" spans="1:18" ht="15.75" x14ac:dyDescent="0.25">
      <c r="A149" s="19"/>
      <c r="B149" s="20">
        <f>DATE(2024,3,1)</f>
        <v>45352</v>
      </c>
      <c r="C149" s="21">
        <v>351963</v>
      </c>
      <c r="D149" s="21">
        <v>357838</v>
      </c>
      <c r="E149" s="23">
        <f t="shared" si="55"/>
        <v>-1.6418043919315443E-2</v>
      </c>
      <c r="F149" s="21">
        <f>+C149-182755</f>
        <v>169208</v>
      </c>
      <c r="G149" s="21">
        <f>+D149-185528</f>
        <v>172310</v>
      </c>
      <c r="H149" s="23">
        <f>(+F149-G149)/G149</f>
        <v>-1.8002437467355348E-2</v>
      </c>
      <c r="I149" s="24">
        <f>K149/C149</f>
        <v>75.023616743805448</v>
      </c>
      <c r="J149" s="24">
        <f>K149/F149</f>
        <v>156.05371625455061</v>
      </c>
      <c r="K149" s="21">
        <v>26405537.219999999</v>
      </c>
      <c r="L149" s="21">
        <v>26828364.350000001</v>
      </c>
      <c r="M149" s="25">
        <f t="shared" si="59"/>
        <v>-1.576045130757301E-2</v>
      </c>
      <c r="N149" s="10"/>
      <c r="R149" s="2"/>
    </row>
    <row r="150" spans="1:18" ht="15.75" thickBot="1" x14ac:dyDescent="0.25">
      <c r="A150" s="38"/>
      <c r="B150" s="45"/>
      <c r="C150" s="21"/>
      <c r="D150" s="21"/>
      <c r="E150" s="23"/>
      <c r="F150" s="21"/>
      <c r="G150" s="21"/>
      <c r="H150" s="23"/>
      <c r="I150" s="24"/>
      <c r="J150" s="24"/>
      <c r="K150" s="21"/>
      <c r="L150" s="21"/>
      <c r="M150" s="25"/>
      <c r="N150" s="10"/>
      <c r="R150" s="2"/>
    </row>
    <row r="151" spans="1:18" ht="17.25" thickTop="1" thickBot="1" x14ac:dyDescent="0.3">
      <c r="A151" s="39" t="s">
        <v>14</v>
      </c>
      <c r="B151" s="40"/>
      <c r="C151" s="41">
        <f>SUM(C141:C150)</f>
        <v>2949874</v>
      </c>
      <c r="D151" s="41">
        <f>SUM(D141:D150)</f>
        <v>3160741</v>
      </c>
      <c r="E151" s="280">
        <f>(+C151-D151)/D151</f>
        <v>-6.6714419182084206E-2</v>
      </c>
      <c r="F151" s="41">
        <f>SUM(F141:F150)</f>
        <v>1432915</v>
      </c>
      <c r="G151" s="41">
        <f>SUM(G141:G150)</f>
        <v>1532338</v>
      </c>
      <c r="H151" s="42">
        <f>(+F151-G151)/G151</f>
        <v>-6.488320461934638E-2</v>
      </c>
      <c r="I151" s="43">
        <f>K151/C151</f>
        <v>73.857602921345119</v>
      </c>
      <c r="J151" s="43">
        <f>K151/F151</f>
        <v>152.04713647355217</v>
      </c>
      <c r="K151" s="41">
        <f>SUM(K141:K150)</f>
        <v>217870622.56</v>
      </c>
      <c r="L151" s="41">
        <f>SUM(L141:L150)</f>
        <v>228312114.44999999</v>
      </c>
      <c r="M151" s="44">
        <f>(+K151-L151)/L151</f>
        <v>-4.5733411541272626E-2</v>
      </c>
      <c r="N151" s="10"/>
      <c r="R151" s="2"/>
    </row>
    <row r="152" spans="1:18" ht="15.75" customHeight="1" thickTop="1" x14ac:dyDescent="0.25">
      <c r="A152" s="19"/>
      <c r="B152" s="45"/>
      <c r="C152" s="21"/>
      <c r="D152" s="21"/>
      <c r="E152" s="23"/>
      <c r="F152" s="21"/>
      <c r="G152" s="21"/>
      <c r="H152" s="23"/>
      <c r="I152" s="24"/>
      <c r="J152" s="24"/>
      <c r="K152" s="21"/>
      <c r="L152" s="21"/>
      <c r="M152" s="25"/>
      <c r="N152" s="10"/>
      <c r="R152" s="2"/>
    </row>
    <row r="153" spans="1:18" ht="15.75" x14ac:dyDescent="0.25">
      <c r="A153" s="19" t="s">
        <v>56</v>
      </c>
      <c r="B153" s="20">
        <f>DATE(2023,7,1)</f>
        <v>45108</v>
      </c>
      <c r="C153" s="21">
        <v>66323</v>
      </c>
      <c r="D153" s="21">
        <v>68778</v>
      </c>
      <c r="E153" s="23">
        <f t="shared" ref="E153:E161" si="60">(+C153-D153)/D153</f>
        <v>-3.5694553490941874E-2</v>
      </c>
      <c r="F153" s="21">
        <f>+C153-28441</f>
        <v>37882</v>
      </c>
      <c r="G153" s="21">
        <f>+D153-29763</f>
        <v>39015</v>
      </c>
      <c r="H153" s="23">
        <f t="shared" ref="H153:H158" si="61">(+F153-G153)/G153</f>
        <v>-2.9040112777136997E-2</v>
      </c>
      <c r="I153" s="24">
        <f t="shared" ref="I153:I158" si="62">K153/C153</f>
        <v>58.975659575109688</v>
      </c>
      <c r="J153" s="24">
        <f t="shared" ref="J153:J158" si="63">K153/F153</f>
        <v>103.25333060556464</v>
      </c>
      <c r="K153" s="21">
        <v>3911442.67</v>
      </c>
      <c r="L153" s="21">
        <v>4137931.7</v>
      </c>
      <c r="M153" s="25">
        <f t="shared" ref="M153:M161" si="64">(+K153-L153)/L153</f>
        <v>-5.4734840113479941E-2</v>
      </c>
      <c r="N153" s="10"/>
      <c r="R153" s="2"/>
    </row>
    <row r="154" spans="1:18" ht="15.75" x14ac:dyDescent="0.25">
      <c r="A154" s="19"/>
      <c r="B154" s="20">
        <f>DATE(2023,8,1)</f>
        <v>45139</v>
      </c>
      <c r="C154" s="21">
        <v>63894</v>
      </c>
      <c r="D154" s="21">
        <v>61732</v>
      </c>
      <c r="E154" s="23">
        <f t="shared" si="60"/>
        <v>3.5022354694485842E-2</v>
      </c>
      <c r="F154" s="21">
        <f>+C154-27335</f>
        <v>36559</v>
      </c>
      <c r="G154" s="21">
        <f>+D154-26815</f>
        <v>34917</v>
      </c>
      <c r="H154" s="23">
        <f t="shared" si="61"/>
        <v>4.7025804049603347E-2</v>
      </c>
      <c r="I154" s="24">
        <f t="shared" si="62"/>
        <v>60.44767067330266</v>
      </c>
      <c r="J154" s="24">
        <f t="shared" si="63"/>
        <v>105.64412237752674</v>
      </c>
      <c r="K154" s="21">
        <v>3862243.47</v>
      </c>
      <c r="L154" s="21">
        <v>3659627.99</v>
      </c>
      <c r="M154" s="25">
        <f t="shared" si="64"/>
        <v>5.5365048183490355E-2</v>
      </c>
      <c r="N154" s="10"/>
      <c r="R154" s="2"/>
    </row>
    <row r="155" spans="1:18" ht="15.75" x14ac:dyDescent="0.25">
      <c r="A155" s="19"/>
      <c r="B155" s="20">
        <f>DATE(2023,9,1)</f>
        <v>45170</v>
      </c>
      <c r="C155" s="21">
        <v>61378</v>
      </c>
      <c r="D155" s="21">
        <v>62788</v>
      </c>
      <c r="E155" s="23">
        <f t="shared" si="60"/>
        <v>-2.245652035420781E-2</v>
      </c>
      <c r="F155" s="21">
        <f>+C155-26751</f>
        <v>34627</v>
      </c>
      <c r="G155" s="21">
        <f>+D155-27365</f>
        <v>35423</v>
      </c>
      <c r="H155" s="23">
        <f t="shared" si="61"/>
        <v>-2.2471275724811564E-2</v>
      </c>
      <c r="I155" s="24">
        <f t="shared" si="62"/>
        <v>60.955323568705403</v>
      </c>
      <c r="J155" s="24">
        <f t="shared" si="63"/>
        <v>108.04620238542178</v>
      </c>
      <c r="K155" s="21">
        <v>3741315.85</v>
      </c>
      <c r="L155" s="21">
        <v>3960660.61</v>
      </c>
      <c r="M155" s="25">
        <f t="shared" si="64"/>
        <v>-5.5380852236162639E-2</v>
      </c>
      <c r="N155" s="10"/>
      <c r="R155" s="2"/>
    </row>
    <row r="156" spans="1:18" ht="15.75" x14ac:dyDescent="0.25">
      <c r="A156" s="19"/>
      <c r="B156" s="20">
        <f>DATE(2023,10,1)</f>
        <v>45200</v>
      </c>
      <c r="C156" s="21">
        <v>57497</v>
      </c>
      <c r="D156" s="21">
        <v>62422</v>
      </c>
      <c r="E156" s="23">
        <f t="shared" si="60"/>
        <v>-7.889846528467527E-2</v>
      </c>
      <c r="F156" s="21">
        <f>+C156-24805</f>
        <v>32692</v>
      </c>
      <c r="G156" s="21">
        <f>+D156-27630</f>
        <v>34792</v>
      </c>
      <c r="H156" s="23">
        <f t="shared" si="61"/>
        <v>-6.0358703150149462E-2</v>
      </c>
      <c r="I156" s="24">
        <f t="shared" si="62"/>
        <v>61.609674591717827</v>
      </c>
      <c r="J156" s="24">
        <f t="shared" si="63"/>
        <v>108.35591153799095</v>
      </c>
      <c r="K156" s="21">
        <v>3542371.46</v>
      </c>
      <c r="L156" s="21">
        <v>3840534.87</v>
      </c>
      <c r="M156" s="25">
        <f t="shared" si="64"/>
        <v>-7.7635907521391712E-2</v>
      </c>
      <c r="N156" s="10"/>
      <c r="R156" s="2"/>
    </row>
    <row r="157" spans="1:18" ht="15.75" x14ac:dyDescent="0.25">
      <c r="A157" s="19"/>
      <c r="B157" s="20">
        <f>DATE(2023,11,1)</f>
        <v>45231</v>
      </c>
      <c r="C157" s="21">
        <v>57953</v>
      </c>
      <c r="D157" s="21">
        <v>58006</v>
      </c>
      <c r="E157" s="23">
        <f t="shared" si="60"/>
        <v>-9.1369858290521672E-4</v>
      </c>
      <c r="F157" s="21">
        <f>+C157-25146</f>
        <v>32807</v>
      </c>
      <c r="G157" s="21">
        <f>+D157-26107</f>
        <v>31899</v>
      </c>
      <c r="H157" s="23">
        <f t="shared" si="61"/>
        <v>2.8464842158061381E-2</v>
      </c>
      <c r="I157" s="24">
        <f t="shared" si="62"/>
        <v>62.883518023225719</v>
      </c>
      <c r="J157" s="24">
        <f t="shared" si="63"/>
        <v>111.08265065382388</v>
      </c>
      <c r="K157" s="21">
        <v>3644288.52</v>
      </c>
      <c r="L157" s="21">
        <v>3573473.44</v>
      </c>
      <c r="M157" s="25">
        <f t="shared" si="64"/>
        <v>1.9816875986071434E-2</v>
      </c>
      <c r="N157" s="10"/>
      <c r="R157" s="2"/>
    </row>
    <row r="158" spans="1:18" ht="15.75" x14ac:dyDescent="0.25">
      <c r="A158" s="19"/>
      <c r="B158" s="20">
        <f>DATE(2023,12,1)</f>
        <v>45261</v>
      </c>
      <c r="C158" s="21">
        <v>70244</v>
      </c>
      <c r="D158" s="21">
        <v>64256</v>
      </c>
      <c r="E158" s="23">
        <f t="shared" si="60"/>
        <v>9.3189741035856574E-2</v>
      </c>
      <c r="F158" s="21">
        <f>+C158-32047</f>
        <v>38197</v>
      </c>
      <c r="G158" s="21">
        <f>+D158-29013</f>
        <v>35243</v>
      </c>
      <c r="H158" s="23">
        <f t="shared" si="61"/>
        <v>8.381806316147887E-2</v>
      </c>
      <c r="I158" s="24">
        <f t="shared" si="62"/>
        <v>65.062498718751783</v>
      </c>
      <c r="J158" s="24">
        <f t="shared" si="63"/>
        <v>119.64945309841087</v>
      </c>
      <c r="K158" s="21">
        <v>4570250.16</v>
      </c>
      <c r="L158" s="21">
        <v>3934523.29</v>
      </c>
      <c r="M158" s="25">
        <f t="shared" si="64"/>
        <v>0.16157659343782918</v>
      </c>
      <c r="N158" s="10"/>
      <c r="R158" s="2"/>
    </row>
    <row r="159" spans="1:18" ht="15.75" x14ac:dyDescent="0.25">
      <c r="A159" s="19"/>
      <c r="B159" s="20">
        <f>DATE(2024,1,1)</f>
        <v>45292</v>
      </c>
      <c r="C159" s="21">
        <v>52821</v>
      </c>
      <c r="D159" s="21">
        <v>59434</v>
      </c>
      <c r="E159" s="23">
        <f t="shared" si="60"/>
        <v>-0.11126627856109297</v>
      </c>
      <c r="F159" s="21">
        <f>C159-23841</f>
        <v>28980</v>
      </c>
      <c r="G159" s="21">
        <f>D159-26887</f>
        <v>32547</v>
      </c>
      <c r="H159" s="23">
        <f>(+F159-G159)/G159</f>
        <v>-0.10959535441054476</v>
      </c>
      <c r="I159" s="24">
        <f>K159/C159</f>
        <v>63.002633990269018</v>
      </c>
      <c r="J159" s="24">
        <f>K159/F159</f>
        <v>114.83306176673568</v>
      </c>
      <c r="K159" s="21">
        <v>3327862.13</v>
      </c>
      <c r="L159" s="21">
        <v>3650361.77</v>
      </c>
      <c r="M159" s="25">
        <f t="shared" si="64"/>
        <v>-8.8347309203821764E-2</v>
      </c>
      <c r="N159" s="10"/>
      <c r="R159" s="2"/>
    </row>
    <row r="160" spans="1:18" ht="15.75" x14ac:dyDescent="0.25">
      <c r="A160" s="19"/>
      <c r="B160" s="20">
        <f>DATE(2024,2,1)</f>
        <v>45323</v>
      </c>
      <c r="C160" s="21">
        <v>65228</v>
      </c>
      <c r="D160" s="21">
        <v>65887</v>
      </c>
      <c r="E160" s="23">
        <f t="shared" si="60"/>
        <v>-1.0001973075113451E-2</v>
      </c>
      <c r="F160" s="21">
        <f>+C160-29615</f>
        <v>35613</v>
      </c>
      <c r="G160" s="21">
        <f>+D160-30047</f>
        <v>35840</v>
      </c>
      <c r="H160" s="23">
        <f>(+F160-G160)/G160</f>
        <v>-6.3337053571428572E-3</v>
      </c>
      <c r="I160" s="24">
        <f>K160/C160</f>
        <v>65.790728061568657</v>
      </c>
      <c r="J160" s="24">
        <f>K160/F160</f>
        <v>120.50087355740882</v>
      </c>
      <c r="K160" s="21">
        <v>4291397.6100000003</v>
      </c>
      <c r="L160" s="21">
        <v>4139675.33</v>
      </c>
      <c r="M160" s="25">
        <f t="shared" si="64"/>
        <v>3.6650767972183043E-2</v>
      </c>
      <c r="N160" s="10"/>
      <c r="R160" s="2"/>
    </row>
    <row r="161" spans="1:18" ht="15.75" x14ac:dyDescent="0.25">
      <c r="A161" s="19"/>
      <c r="B161" s="20">
        <f>DATE(2024,3,1)</f>
        <v>45352</v>
      </c>
      <c r="C161" s="21">
        <v>69209</v>
      </c>
      <c r="D161" s="21">
        <v>75208</v>
      </c>
      <c r="E161" s="23">
        <f t="shared" si="60"/>
        <v>-7.9765450483991071E-2</v>
      </c>
      <c r="F161" s="21">
        <f>+C161-31881</f>
        <v>37328</v>
      </c>
      <c r="G161" s="21">
        <f>+D161-34160</f>
        <v>41048</v>
      </c>
      <c r="H161" s="23">
        <f>(+F161-G161)/G161</f>
        <v>-9.0625609043071528E-2</v>
      </c>
      <c r="I161" s="24">
        <f>K161/C161</f>
        <v>64.325137771099136</v>
      </c>
      <c r="J161" s="24">
        <f>K161/F161</f>
        <v>119.26378214744963</v>
      </c>
      <c r="K161" s="21">
        <v>4451878.46</v>
      </c>
      <c r="L161" s="21">
        <v>4595749.3899999997</v>
      </c>
      <c r="M161" s="25">
        <f t="shared" si="64"/>
        <v>-3.1305216579705558E-2</v>
      </c>
      <c r="N161" s="10"/>
      <c r="R161" s="2"/>
    </row>
    <row r="162" spans="1:18" ht="15.75" thickBot="1" x14ac:dyDescent="0.25">
      <c r="A162" s="38"/>
      <c r="B162" s="45"/>
      <c r="C162" s="21"/>
      <c r="D162" s="21"/>
      <c r="E162" s="23"/>
      <c r="F162" s="21"/>
      <c r="G162" s="21"/>
      <c r="H162" s="23"/>
      <c r="I162" s="24"/>
      <c r="J162" s="24"/>
      <c r="K162" s="21"/>
      <c r="L162" s="21"/>
      <c r="M162" s="25"/>
      <c r="N162" s="10"/>
      <c r="R162" s="2"/>
    </row>
    <row r="163" spans="1:18" ht="17.25" thickTop="1" thickBot="1" x14ac:dyDescent="0.3">
      <c r="A163" s="26" t="s">
        <v>14</v>
      </c>
      <c r="B163" s="27"/>
      <c r="C163" s="28">
        <f>SUM(C153:C162)</f>
        <v>564547</v>
      </c>
      <c r="D163" s="28">
        <f>SUM(D153:D162)</f>
        <v>578511</v>
      </c>
      <c r="E163" s="280">
        <f>(+C163-D163)/D163</f>
        <v>-2.4137829704188856E-2</v>
      </c>
      <c r="F163" s="28">
        <f>SUM(F153:F162)</f>
        <v>314685</v>
      </c>
      <c r="G163" s="28">
        <f>SUM(G153:G162)</f>
        <v>320724</v>
      </c>
      <c r="H163" s="42">
        <f>(+F163-G163)/G163</f>
        <v>-1.8829273768099675E-2</v>
      </c>
      <c r="I163" s="43">
        <f>K163/C163</f>
        <v>62.60426559701849</v>
      </c>
      <c r="J163" s="43">
        <f>K163/F163</f>
        <v>112.3124722500278</v>
      </c>
      <c r="K163" s="28">
        <f>SUM(K153:K162)</f>
        <v>35343050.329999998</v>
      </c>
      <c r="L163" s="28">
        <f>SUM(L153:L162)</f>
        <v>35492538.390000001</v>
      </c>
      <c r="M163" s="44">
        <f>(+K163-L163)/L163</f>
        <v>-4.2118165333060696E-3</v>
      </c>
      <c r="N163" s="10"/>
      <c r="R163" s="2"/>
    </row>
    <row r="164" spans="1:18" ht="16.5" thickTop="1" thickBot="1" x14ac:dyDescent="0.25">
      <c r="A164" s="63"/>
      <c r="B164" s="34"/>
      <c r="C164" s="35"/>
      <c r="D164" s="35"/>
      <c r="E164" s="29"/>
      <c r="F164" s="35"/>
      <c r="G164" s="35"/>
      <c r="H164" s="29"/>
      <c r="I164" s="36"/>
      <c r="J164" s="36"/>
      <c r="K164" s="35"/>
      <c r="L164" s="35"/>
      <c r="M164" s="37"/>
      <c r="N164" s="10"/>
      <c r="R164" s="2"/>
    </row>
    <row r="165" spans="1:18" ht="17.25" thickTop="1" thickBot="1" x14ac:dyDescent="0.3">
      <c r="A165" s="64" t="s">
        <v>18</v>
      </c>
      <c r="B165" s="65"/>
      <c r="C165" s="28">
        <f>C163+C151+C67+C91+C103+C43+C19+C115+C127+C55+C139+C31+C79</f>
        <v>21297298</v>
      </c>
      <c r="D165" s="28">
        <f>D163+D151+D67+D91+D103+D43+D19+D115+D127+D55+D139+D31+D79</f>
        <v>21812267</v>
      </c>
      <c r="E165" s="279">
        <f>(+C165-D165)/D165</f>
        <v>-2.3609146174489795E-2</v>
      </c>
      <c r="F165" s="28">
        <f>F163+F151+F67+F91+F103+F43+F19+F115+F127+F55+F139+F31+F79</f>
        <v>10900957</v>
      </c>
      <c r="G165" s="28">
        <f>G163+G151+G67+G91+G103+G43+G19+G115+G127+G55+G139+G31+G79</f>
        <v>11079083</v>
      </c>
      <c r="H165" s="30">
        <f>(+F165-G165)/G165</f>
        <v>-1.6077684407635542E-2</v>
      </c>
      <c r="I165" s="31">
        <f>K165/C165</f>
        <v>66.570580437011316</v>
      </c>
      <c r="J165" s="31">
        <f>K165/F165</f>
        <v>130.05954335935829</v>
      </c>
      <c r="K165" s="28">
        <f>K163+K151+K67+K91+K103+K43+K19+K115+K127+K55+K139+K31+K79</f>
        <v>1417773489.6000001</v>
      </c>
      <c r="L165" s="28">
        <f>L163+L151+L67+L91+L103+L43+L19+L115+L127+L55+L139+L31+L79</f>
        <v>1437308990.9200001</v>
      </c>
      <c r="M165" s="32">
        <f>(+K165-L165)/L165</f>
        <v>-1.3591719973514915E-2</v>
      </c>
      <c r="N165" s="10"/>
      <c r="R165" s="2"/>
    </row>
    <row r="166" spans="1:18" ht="17.25" thickTop="1" thickBot="1" x14ac:dyDescent="0.3">
      <c r="A166" s="64"/>
      <c r="B166" s="65"/>
      <c r="C166" s="28"/>
      <c r="D166" s="28"/>
      <c r="E166" s="29"/>
      <c r="F166" s="28"/>
      <c r="G166" s="28"/>
      <c r="H166" s="30"/>
      <c r="I166" s="31"/>
      <c r="J166" s="31"/>
      <c r="K166" s="28"/>
      <c r="L166" s="28"/>
      <c r="M166" s="32"/>
      <c r="N166" s="10"/>
      <c r="R166" s="2"/>
    </row>
    <row r="167" spans="1:18" ht="17.25" thickTop="1" thickBot="1" x14ac:dyDescent="0.3">
      <c r="A167" s="64" t="s">
        <v>19</v>
      </c>
      <c r="B167" s="65"/>
      <c r="C167" s="28">
        <f>+C17+C29+C41+C53+C65+C77+C89+C101+C113+C125+C137+C149+C161</f>
        <v>2566580</v>
      </c>
      <c r="D167" s="28">
        <f>+D17+D29+D41+D53+D65+D77+D89+D101+D113+D125+D137+D149+D161</f>
        <v>2641443</v>
      </c>
      <c r="E167" s="279">
        <f>(+C167-D167)/D167</f>
        <v>-2.8341705651039981E-2</v>
      </c>
      <c r="F167" s="28">
        <f>+F17+F29+F41+F53+F65+F77+F89+F101+F113+F125+F137+F149+F161</f>
        <v>1297666</v>
      </c>
      <c r="G167" s="28">
        <f>+G17+G29+G41+G53+G65+G77+G89+G101+G113+G125+G137+G149+G161</f>
        <v>1331976</v>
      </c>
      <c r="H167" s="30">
        <f>(+F167-G167)/G167</f>
        <v>-2.5758722379382211E-2</v>
      </c>
      <c r="I167" s="291">
        <f>K167/C167</f>
        <v>68.342265524550186</v>
      </c>
      <c r="J167" s="31">
        <f>K167/F167</f>
        <v>135.17029177769936</v>
      </c>
      <c r="K167" s="28">
        <f>+K17+K29+K41+K53+K65+K77+K89+K101+K113+K125+K137+K149+K161</f>
        <v>175405891.85000002</v>
      </c>
      <c r="L167" s="28">
        <f>+L17+L29+L41+L53+L65+L77+L89+L101+L113+L125+L137+L149+L161</f>
        <v>176759791.75999999</v>
      </c>
      <c r="M167" s="32">
        <f>(+K167-L167)/L167</f>
        <v>-7.6595468715999508E-3</v>
      </c>
      <c r="N167" s="10"/>
      <c r="R167" s="2"/>
    </row>
    <row r="168" spans="1:18" ht="15.75" thickTop="1" x14ac:dyDescent="0.2">
      <c r="A168" s="66"/>
      <c r="B168" s="67"/>
      <c r="C168" s="68"/>
      <c r="D168" s="67"/>
      <c r="E168" s="67"/>
      <c r="F168" s="67"/>
      <c r="G168" s="67"/>
      <c r="H168" s="67"/>
      <c r="I168" s="67"/>
      <c r="J168" s="67"/>
      <c r="K168" s="68"/>
      <c r="L168" s="68"/>
      <c r="M168" s="67"/>
      <c r="R168" s="2"/>
    </row>
    <row r="169" spans="1:18" ht="18.75" x14ac:dyDescent="0.3">
      <c r="A169" s="264" t="s">
        <v>20</v>
      </c>
      <c r="B169" s="70"/>
      <c r="C169" s="71"/>
      <c r="D169" s="71"/>
      <c r="E169" s="71"/>
      <c r="F169" s="71"/>
      <c r="G169" s="71"/>
      <c r="H169" s="71"/>
      <c r="I169" s="71"/>
      <c r="J169" s="71"/>
      <c r="K169" s="198"/>
      <c r="L169" s="198"/>
      <c r="M169" s="71"/>
      <c r="N169" s="2"/>
      <c r="O169" s="2"/>
      <c r="P169" s="2"/>
      <c r="Q169" s="2"/>
      <c r="R169" s="2"/>
    </row>
    <row r="170" spans="1:18" ht="18" x14ac:dyDescent="0.25">
      <c r="A170" s="69"/>
      <c r="B170" s="70"/>
      <c r="C170" s="71"/>
      <c r="D170" s="71"/>
      <c r="E170" s="71"/>
      <c r="F170" s="71"/>
      <c r="G170" s="71"/>
      <c r="H170" s="71"/>
      <c r="I170" s="71"/>
      <c r="J170" s="71"/>
      <c r="K170" s="198"/>
      <c r="L170" s="198"/>
      <c r="M170" s="71"/>
      <c r="N170" s="2"/>
      <c r="O170" s="2"/>
      <c r="P170" s="2"/>
      <c r="Q170" s="2"/>
      <c r="R170" s="2"/>
    </row>
    <row r="171" spans="1:18" ht="15.75" x14ac:dyDescent="0.25">
      <c r="A171" s="72"/>
      <c r="B171" s="73"/>
      <c r="C171" s="74"/>
      <c r="D171" s="74"/>
      <c r="E171" s="74"/>
      <c r="F171" s="74"/>
      <c r="G171" s="74"/>
      <c r="H171" s="74"/>
      <c r="I171" s="74"/>
      <c r="J171" s="74"/>
      <c r="K171" s="192"/>
      <c r="L171" s="192"/>
      <c r="M171" s="75"/>
      <c r="N171" s="2"/>
      <c r="O171" s="2"/>
      <c r="P171" s="2"/>
      <c r="Q171" s="2"/>
      <c r="R171" s="2"/>
    </row>
    <row r="172" spans="1:18" x14ac:dyDescent="0.2">
      <c r="A172" s="2"/>
      <c r="B172" s="73"/>
      <c r="C172" s="74"/>
      <c r="D172" s="74"/>
      <c r="E172" s="74"/>
      <c r="F172" s="74"/>
      <c r="G172" s="74"/>
      <c r="H172" s="74"/>
      <c r="I172" s="74"/>
      <c r="J172" s="74"/>
      <c r="K172" s="192"/>
      <c r="L172" s="192"/>
      <c r="M172" s="75"/>
      <c r="N172" s="2"/>
      <c r="O172" s="2"/>
      <c r="P172" s="2"/>
      <c r="Q172" s="2"/>
      <c r="R172" s="2"/>
    </row>
    <row r="173" spans="1:18" x14ac:dyDescent="0.2">
      <c r="A173" s="2"/>
      <c r="B173" s="73"/>
      <c r="C173" s="74"/>
      <c r="D173" s="74"/>
      <c r="E173" s="74"/>
      <c r="F173" s="74"/>
      <c r="G173" s="74"/>
      <c r="H173" s="74"/>
      <c r="I173" s="74"/>
      <c r="J173" s="74"/>
      <c r="K173" s="192"/>
      <c r="L173" s="192"/>
      <c r="M173" s="75"/>
      <c r="N173" s="2"/>
      <c r="O173" s="2"/>
      <c r="P173" s="2"/>
      <c r="Q173" s="2"/>
      <c r="R173" s="2"/>
    </row>
    <row r="174" spans="1:18" x14ac:dyDescent="0.2">
      <c r="A174" s="2"/>
      <c r="B174" s="73"/>
      <c r="C174" s="74"/>
      <c r="D174" s="74"/>
      <c r="E174" s="74"/>
      <c r="F174" s="74"/>
      <c r="G174" s="74"/>
      <c r="H174" s="74"/>
      <c r="I174" s="74"/>
      <c r="J174" s="74"/>
      <c r="K174" s="192"/>
      <c r="L174" s="192"/>
      <c r="M174" s="75"/>
      <c r="N174" s="2"/>
      <c r="O174" s="2"/>
      <c r="P174" s="2"/>
      <c r="Q174" s="2"/>
      <c r="R174" s="2"/>
    </row>
    <row r="175" spans="1:18" x14ac:dyDescent="0.2">
      <c r="A175" s="2"/>
      <c r="B175" s="73"/>
      <c r="C175" s="74"/>
      <c r="D175" s="74"/>
      <c r="E175" s="74"/>
      <c r="F175" s="74"/>
      <c r="G175" s="74"/>
      <c r="H175" s="74"/>
      <c r="I175" s="74"/>
      <c r="J175" s="74"/>
      <c r="K175" s="192"/>
      <c r="L175" s="192"/>
      <c r="M175" s="75"/>
      <c r="N175" s="2"/>
      <c r="O175" s="2"/>
      <c r="P175" s="2"/>
      <c r="Q175" s="2"/>
      <c r="R175" s="2"/>
    </row>
    <row r="176" spans="1:18" x14ac:dyDescent="0.2">
      <c r="A176" s="2"/>
      <c r="B176" s="73"/>
      <c r="C176" s="74"/>
      <c r="D176" s="74"/>
      <c r="E176" s="74"/>
      <c r="F176" s="74"/>
      <c r="G176" s="74"/>
      <c r="H176" s="74"/>
      <c r="I176" s="74"/>
      <c r="J176" s="74"/>
      <c r="K176" s="192"/>
      <c r="L176" s="192"/>
      <c r="M176" s="75"/>
      <c r="N176" s="2"/>
      <c r="O176" s="2"/>
      <c r="P176" s="2"/>
      <c r="Q176" s="2"/>
      <c r="R176" s="2"/>
    </row>
    <row r="177" spans="1:18" x14ac:dyDescent="0.2">
      <c r="A177" s="2"/>
      <c r="B177" s="73"/>
      <c r="C177" s="74"/>
      <c r="D177" s="74"/>
      <c r="E177" s="74"/>
      <c r="F177" s="74"/>
      <c r="G177" s="74"/>
      <c r="H177" s="74"/>
      <c r="I177" s="74"/>
      <c r="J177" s="74"/>
      <c r="K177" s="192"/>
      <c r="L177" s="192"/>
      <c r="M177" s="75"/>
      <c r="N177" s="2"/>
      <c r="O177" s="2"/>
      <c r="P177" s="2"/>
      <c r="Q177" s="2"/>
      <c r="R177" s="2"/>
    </row>
    <row r="178" spans="1:18" x14ac:dyDescent="0.2">
      <c r="A178" s="2"/>
      <c r="B178" s="73"/>
      <c r="C178" s="74"/>
      <c r="D178" s="74"/>
      <c r="E178" s="74"/>
      <c r="F178" s="74"/>
      <c r="G178" s="74"/>
      <c r="H178" s="74"/>
      <c r="I178" s="74"/>
      <c r="J178" s="74"/>
      <c r="K178" s="192"/>
      <c r="L178" s="192"/>
      <c r="M178" s="75"/>
      <c r="N178" s="2"/>
      <c r="O178" s="2"/>
      <c r="P178" s="2"/>
      <c r="Q178" s="2"/>
      <c r="R178" s="2"/>
    </row>
    <row r="179" spans="1:18" x14ac:dyDescent="0.2">
      <c r="A179" s="2"/>
      <c r="B179" s="73"/>
      <c r="C179" s="74"/>
      <c r="D179" s="74"/>
      <c r="E179" s="74"/>
      <c r="F179" s="74"/>
      <c r="G179" s="74"/>
      <c r="H179" s="74"/>
      <c r="I179" s="74"/>
      <c r="J179" s="74"/>
      <c r="K179" s="192"/>
      <c r="L179" s="192"/>
      <c r="M179" s="75"/>
      <c r="N179" s="2"/>
      <c r="O179" s="2"/>
      <c r="P179" s="2"/>
      <c r="Q179" s="2"/>
      <c r="R179" s="2"/>
    </row>
    <row r="180" spans="1:18" x14ac:dyDescent="0.2">
      <c r="A180" s="2"/>
      <c r="B180" s="73"/>
      <c r="C180" s="74"/>
      <c r="D180" s="74"/>
      <c r="E180" s="74"/>
      <c r="F180" s="74"/>
      <c r="G180" s="74"/>
      <c r="H180" s="74"/>
      <c r="I180" s="74"/>
      <c r="J180" s="74"/>
      <c r="K180" s="192"/>
      <c r="L180" s="192"/>
      <c r="M180" s="74"/>
      <c r="N180" s="2"/>
      <c r="O180" s="2"/>
      <c r="P180" s="2"/>
      <c r="Q180" s="2"/>
      <c r="R180" s="2"/>
    </row>
    <row r="181" spans="1:18" x14ac:dyDescent="0.2">
      <c r="A181" s="2"/>
      <c r="B181" s="73"/>
      <c r="C181" s="74"/>
      <c r="D181" s="74"/>
      <c r="E181" s="74"/>
      <c r="F181" s="74"/>
      <c r="G181" s="74"/>
      <c r="H181" s="74"/>
      <c r="I181" s="74"/>
      <c r="J181" s="74"/>
      <c r="K181" s="192"/>
      <c r="L181" s="192"/>
      <c r="M181" s="74"/>
      <c r="N181" s="2"/>
      <c r="O181" s="2"/>
      <c r="P181" s="2"/>
      <c r="Q181" s="2"/>
      <c r="R181" s="2"/>
    </row>
    <row r="182" spans="1:18" x14ac:dyDescent="0.2">
      <c r="A182" s="2"/>
      <c r="B182" s="70"/>
      <c r="C182" s="74"/>
      <c r="D182" s="74"/>
      <c r="E182" s="74"/>
      <c r="F182" s="74"/>
      <c r="G182" s="74"/>
      <c r="H182" s="74"/>
      <c r="I182" s="74"/>
      <c r="J182" s="74"/>
      <c r="K182" s="192"/>
      <c r="L182" s="192"/>
      <c r="M182" s="74"/>
      <c r="N182" s="2"/>
      <c r="O182" s="2"/>
      <c r="P182" s="2"/>
      <c r="Q182" s="2"/>
      <c r="R182" s="2"/>
    </row>
    <row r="183" spans="1:18" ht="15.75" x14ac:dyDescent="0.25">
      <c r="A183" s="76"/>
      <c r="B183" s="70"/>
      <c r="C183" s="74"/>
      <c r="D183" s="74"/>
      <c r="E183" s="74"/>
      <c r="F183" s="74"/>
      <c r="G183" s="74"/>
      <c r="H183" s="74"/>
      <c r="I183" s="74"/>
      <c r="J183" s="74"/>
      <c r="K183" s="192"/>
      <c r="L183" s="192"/>
      <c r="M183" s="75"/>
      <c r="N183" s="2"/>
      <c r="O183" s="2"/>
      <c r="P183" s="2"/>
      <c r="Q183" s="2"/>
      <c r="R183" s="2"/>
    </row>
    <row r="184" spans="1:18" ht="15.75" x14ac:dyDescent="0.25">
      <c r="A184" s="76"/>
      <c r="B184" s="70"/>
      <c r="C184" s="74"/>
      <c r="D184" s="74"/>
      <c r="E184" s="74"/>
      <c r="F184" s="74"/>
      <c r="G184" s="74"/>
      <c r="H184" s="74"/>
      <c r="I184" s="74"/>
      <c r="J184" s="74"/>
      <c r="K184" s="192"/>
      <c r="L184" s="192"/>
      <c r="M184" s="75"/>
      <c r="N184" s="2"/>
      <c r="O184" s="2"/>
      <c r="P184" s="2"/>
      <c r="Q184" s="2"/>
      <c r="R184" s="2"/>
    </row>
    <row r="185" spans="1:18" ht="15.75" x14ac:dyDescent="0.25">
      <c r="A185" s="76"/>
      <c r="B185" s="70"/>
      <c r="C185" s="74"/>
      <c r="D185" s="74"/>
      <c r="E185" s="74"/>
      <c r="F185" s="74"/>
      <c r="G185" s="74"/>
      <c r="H185" s="74"/>
      <c r="I185" s="74"/>
      <c r="J185" s="74"/>
      <c r="K185" s="192"/>
      <c r="L185" s="192"/>
      <c r="M185" s="75"/>
      <c r="N185" s="2"/>
      <c r="O185" s="2"/>
      <c r="P185" s="2"/>
      <c r="Q185" s="2"/>
      <c r="R185" s="2"/>
    </row>
    <row r="186" spans="1:18" x14ac:dyDescent="0.2">
      <c r="A186" s="2"/>
      <c r="B186" s="70"/>
      <c r="C186" s="74"/>
      <c r="D186" s="74"/>
      <c r="E186" s="74"/>
      <c r="F186" s="74"/>
      <c r="G186" s="74"/>
      <c r="H186" s="74"/>
      <c r="I186" s="74"/>
      <c r="J186" s="74"/>
      <c r="K186" s="192"/>
      <c r="L186" s="192"/>
      <c r="M186" s="75"/>
      <c r="N186" s="2"/>
      <c r="O186" s="2"/>
      <c r="P186" s="2"/>
      <c r="Q186" s="2"/>
      <c r="R186" s="2"/>
    </row>
    <row r="187" spans="1:18" ht="15.75" x14ac:dyDescent="0.25">
      <c r="A187" s="76"/>
      <c r="B187" s="73"/>
      <c r="C187" s="74"/>
      <c r="D187" s="74"/>
      <c r="E187" s="74"/>
      <c r="F187" s="74"/>
      <c r="G187" s="74"/>
      <c r="H187" s="74"/>
      <c r="I187" s="74"/>
      <c r="J187" s="74"/>
      <c r="K187" s="192"/>
      <c r="L187" s="192"/>
      <c r="M187" s="75"/>
      <c r="N187" s="2"/>
      <c r="O187" s="2"/>
      <c r="P187" s="2"/>
      <c r="Q187" s="2"/>
      <c r="R187" s="2"/>
    </row>
    <row r="188" spans="1:18" x14ac:dyDescent="0.2">
      <c r="A188" s="2"/>
      <c r="B188" s="73"/>
      <c r="C188" s="74"/>
      <c r="D188" s="74"/>
      <c r="E188" s="74"/>
      <c r="F188" s="74"/>
      <c r="G188" s="74"/>
      <c r="H188" s="74"/>
      <c r="I188" s="74"/>
      <c r="J188" s="74"/>
      <c r="K188" s="192"/>
      <c r="L188" s="192"/>
      <c r="M188" s="75"/>
      <c r="N188" s="2"/>
      <c r="O188" s="2"/>
      <c r="P188" s="2"/>
      <c r="Q188" s="2"/>
      <c r="R188" s="2"/>
    </row>
    <row r="189" spans="1:18" x14ac:dyDescent="0.2">
      <c r="A189" s="2"/>
      <c r="B189" s="73"/>
      <c r="C189" s="74"/>
      <c r="D189" s="74"/>
      <c r="E189" s="74"/>
      <c r="F189" s="74"/>
      <c r="G189" s="74"/>
      <c r="H189" s="74"/>
      <c r="I189" s="74"/>
      <c r="J189" s="74"/>
      <c r="K189" s="192"/>
      <c r="L189" s="192"/>
      <c r="M189" s="75"/>
      <c r="N189" s="2"/>
      <c r="O189" s="2"/>
      <c r="P189" s="2"/>
      <c r="Q189" s="2"/>
      <c r="R189" s="2"/>
    </row>
    <row r="190" spans="1:18" x14ac:dyDescent="0.2">
      <c r="A190" s="2"/>
      <c r="B190" s="77"/>
      <c r="C190" s="74"/>
      <c r="D190" s="74"/>
      <c r="E190" s="74"/>
      <c r="F190" s="74"/>
      <c r="G190" s="74"/>
      <c r="H190" s="74"/>
      <c r="I190" s="74"/>
      <c r="J190" s="74"/>
      <c r="K190" s="192"/>
      <c r="L190" s="192"/>
      <c r="M190" s="75"/>
      <c r="N190" s="2"/>
      <c r="O190" s="2"/>
      <c r="P190" s="2"/>
      <c r="Q190" s="2"/>
      <c r="R190" s="2"/>
    </row>
    <row r="191" spans="1:18" x14ac:dyDescent="0.2">
      <c r="A191" s="2"/>
      <c r="B191" s="77"/>
      <c r="C191" s="74"/>
      <c r="D191" s="74"/>
      <c r="E191" s="74"/>
      <c r="F191" s="74"/>
      <c r="G191" s="74"/>
      <c r="H191" s="74"/>
      <c r="I191" s="74"/>
      <c r="J191" s="74"/>
      <c r="K191" s="192"/>
      <c r="L191" s="192"/>
      <c r="M191" s="75"/>
      <c r="N191" s="2"/>
      <c r="O191" s="2"/>
      <c r="P191" s="2"/>
      <c r="Q191" s="2"/>
      <c r="R191" s="2"/>
    </row>
    <row r="192" spans="1:18" x14ac:dyDescent="0.2">
      <c r="A192" s="2"/>
      <c r="B192" s="77"/>
      <c r="C192" s="74"/>
      <c r="D192" s="74"/>
      <c r="E192" s="74"/>
      <c r="F192" s="74"/>
      <c r="G192" s="74"/>
      <c r="H192" s="74"/>
      <c r="I192" s="74"/>
      <c r="J192" s="74"/>
      <c r="K192" s="192"/>
      <c r="L192" s="192"/>
      <c r="M192" s="75"/>
      <c r="N192" s="2"/>
      <c r="O192" s="2"/>
      <c r="P192" s="2"/>
      <c r="Q192" s="2"/>
      <c r="R192" s="2"/>
    </row>
    <row r="193" spans="1:18" x14ac:dyDescent="0.2">
      <c r="A193" s="2"/>
      <c r="B193" s="77"/>
      <c r="C193" s="74"/>
      <c r="D193" s="74"/>
      <c r="E193" s="74"/>
      <c r="F193" s="74"/>
      <c r="G193" s="74"/>
      <c r="H193" s="74"/>
      <c r="I193" s="74"/>
      <c r="J193" s="74"/>
      <c r="K193" s="192"/>
      <c r="L193" s="192"/>
      <c r="M193" s="75"/>
      <c r="N193" s="2"/>
      <c r="O193" s="2"/>
      <c r="P193" s="2"/>
      <c r="Q193" s="2"/>
      <c r="R193" s="2"/>
    </row>
    <row r="194" spans="1:18" x14ac:dyDescent="0.2">
      <c r="A194" s="2"/>
      <c r="B194" s="77"/>
      <c r="C194" s="74"/>
      <c r="D194" s="74"/>
      <c r="E194" s="74"/>
      <c r="F194" s="74"/>
      <c r="G194" s="74"/>
      <c r="H194" s="74"/>
      <c r="I194" s="74"/>
      <c r="J194" s="74"/>
      <c r="K194" s="192"/>
      <c r="L194" s="192"/>
      <c r="M194" s="75"/>
      <c r="N194" s="2"/>
      <c r="O194" s="2"/>
      <c r="P194" s="2"/>
      <c r="Q194" s="2"/>
      <c r="R194" s="2"/>
    </row>
    <row r="195" spans="1:18" x14ac:dyDescent="0.2">
      <c r="A195" s="2"/>
      <c r="B195" s="77"/>
      <c r="C195" s="74"/>
      <c r="D195" s="74"/>
      <c r="E195" s="74"/>
      <c r="F195" s="74"/>
      <c r="G195" s="74"/>
      <c r="H195" s="74"/>
      <c r="I195" s="74"/>
      <c r="J195" s="74"/>
      <c r="K195" s="192"/>
      <c r="L195" s="192"/>
      <c r="M195" s="75"/>
      <c r="N195" s="2"/>
      <c r="O195" s="2"/>
      <c r="P195" s="2"/>
      <c r="Q195" s="2"/>
      <c r="R195" s="2"/>
    </row>
    <row r="196" spans="1:18" x14ac:dyDescent="0.2">
      <c r="A196" s="2"/>
      <c r="B196" s="77"/>
      <c r="C196" s="74"/>
      <c r="D196" s="74"/>
      <c r="E196" s="74"/>
      <c r="F196" s="74"/>
      <c r="G196" s="74"/>
      <c r="H196" s="74"/>
      <c r="I196" s="74"/>
      <c r="J196" s="74"/>
      <c r="K196" s="192"/>
      <c r="L196" s="192"/>
      <c r="M196" s="75"/>
      <c r="N196" s="2"/>
      <c r="O196" s="2"/>
      <c r="P196" s="2"/>
      <c r="Q196" s="2"/>
      <c r="R196" s="2"/>
    </row>
    <row r="197" spans="1:18" x14ac:dyDescent="0.2">
      <c r="A197" s="2"/>
      <c r="B197" s="77"/>
      <c r="C197" s="74"/>
      <c r="D197" s="74"/>
      <c r="E197" s="74"/>
      <c r="F197" s="74"/>
      <c r="G197" s="74"/>
      <c r="H197" s="74"/>
      <c r="I197" s="74"/>
      <c r="J197" s="74"/>
      <c r="K197" s="192"/>
      <c r="L197" s="192"/>
      <c r="M197" s="75"/>
      <c r="N197" s="2"/>
      <c r="O197" s="2"/>
      <c r="P197" s="2"/>
      <c r="Q197" s="2"/>
      <c r="R197" s="2"/>
    </row>
    <row r="198" spans="1:18" x14ac:dyDescent="0.2">
      <c r="A198" s="2"/>
      <c r="B198" s="77"/>
      <c r="C198" s="74"/>
      <c r="D198" s="74"/>
      <c r="E198" s="74"/>
      <c r="F198" s="74"/>
      <c r="G198" s="74"/>
      <c r="H198" s="74"/>
      <c r="I198" s="74"/>
      <c r="J198" s="74"/>
      <c r="K198" s="192"/>
      <c r="L198" s="192"/>
      <c r="M198" s="75"/>
      <c r="N198" s="2"/>
      <c r="O198" s="2"/>
      <c r="P198" s="2"/>
      <c r="Q198" s="2"/>
      <c r="R198" s="2"/>
    </row>
    <row r="199" spans="1:18" x14ac:dyDescent="0.2">
      <c r="A199" s="2"/>
      <c r="B199" s="2"/>
      <c r="C199" s="74"/>
      <c r="D199" s="74"/>
      <c r="E199" s="74"/>
      <c r="F199" s="74"/>
      <c r="G199" s="74"/>
      <c r="H199" s="74"/>
      <c r="I199" s="74"/>
      <c r="J199" s="74"/>
      <c r="K199" s="192"/>
      <c r="L199" s="192"/>
      <c r="M199" s="75"/>
      <c r="N199" s="2"/>
      <c r="O199" s="2"/>
      <c r="P199" s="2"/>
      <c r="Q199" s="2"/>
      <c r="R199" s="2"/>
    </row>
    <row r="200" spans="1:18" ht="15.75" x14ac:dyDescent="0.25">
      <c r="A200" s="76"/>
      <c r="B200" s="2"/>
      <c r="C200" s="74"/>
      <c r="D200" s="74"/>
      <c r="E200" s="74"/>
      <c r="F200" s="74"/>
      <c r="G200" s="74"/>
      <c r="H200" s="74"/>
      <c r="I200" s="74"/>
      <c r="J200" s="74"/>
      <c r="K200" s="192"/>
      <c r="L200" s="192"/>
      <c r="M200" s="75"/>
      <c r="N200" s="2"/>
      <c r="O200" s="2"/>
      <c r="P200" s="2"/>
      <c r="Q200" s="2"/>
      <c r="R200" s="2"/>
    </row>
    <row r="201" spans="1:18" x14ac:dyDescent="0.2">
      <c r="A201" s="2"/>
      <c r="B201" s="2"/>
      <c r="C201" s="74"/>
      <c r="D201" s="74"/>
      <c r="E201" s="74"/>
      <c r="F201" s="74"/>
      <c r="G201" s="74"/>
      <c r="H201" s="74"/>
      <c r="I201" s="74"/>
      <c r="J201" s="74"/>
      <c r="K201" s="192"/>
      <c r="L201" s="192"/>
      <c r="M201" s="75"/>
      <c r="N201" s="2"/>
      <c r="O201" s="2"/>
      <c r="P201" s="2"/>
      <c r="Q201" s="2"/>
      <c r="R201" s="2"/>
    </row>
    <row r="202" spans="1:18" x14ac:dyDescent="0.2">
      <c r="A202" s="2"/>
      <c r="B202" s="2"/>
      <c r="C202" s="74"/>
      <c r="D202" s="74"/>
      <c r="E202" s="74"/>
      <c r="F202" s="74"/>
      <c r="G202" s="74"/>
      <c r="H202" s="74"/>
      <c r="I202" s="74"/>
      <c r="J202" s="74"/>
      <c r="K202" s="192"/>
      <c r="L202" s="192"/>
      <c r="M202" s="75"/>
      <c r="N202" s="2"/>
      <c r="O202" s="2"/>
      <c r="P202" s="2"/>
      <c r="Q202" s="2"/>
      <c r="R202" s="2"/>
    </row>
    <row r="203" spans="1:18" ht="15.75" x14ac:dyDescent="0.25">
      <c r="A203" s="76"/>
      <c r="B203" s="2"/>
      <c r="C203" s="74"/>
      <c r="D203" s="74"/>
      <c r="E203" s="74"/>
      <c r="F203" s="74"/>
      <c r="G203" s="74"/>
      <c r="H203" s="74"/>
      <c r="I203" s="74"/>
      <c r="J203" s="74"/>
      <c r="K203" s="192"/>
      <c r="L203" s="192"/>
      <c r="M203" s="75"/>
      <c r="N203" s="2"/>
      <c r="O203" s="2"/>
      <c r="P203" s="2"/>
      <c r="Q203" s="2"/>
      <c r="R203" s="2"/>
    </row>
    <row r="204" spans="1:18" ht="15.75" x14ac:dyDescent="0.25">
      <c r="A204" s="76"/>
      <c r="B204" s="2"/>
      <c r="C204" s="74"/>
      <c r="D204" s="74"/>
      <c r="E204" s="74"/>
      <c r="F204" s="74"/>
      <c r="G204" s="74"/>
      <c r="H204" s="74"/>
      <c r="I204" s="74"/>
      <c r="J204" s="74"/>
      <c r="K204" s="192"/>
      <c r="L204" s="192"/>
      <c r="M204" s="75"/>
      <c r="N204" s="2"/>
      <c r="O204" s="2"/>
      <c r="P204" s="2"/>
      <c r="Q204" s="2"/>
      <c r="R204" s="2"/>
    </row>
    <row r="205" spans="1:18" ht="15.75" x14ac:dyDescent="0.25">
      <c r="A205" s="76"/>
      <c r="B205" s="77"/>
      <c r="C205" s="74"/>
      <c r="D205" s="74"/>
      <c r="E205" s="74"/>
      <c r="F205" s="74"/>
      <c r="G205" s="74"/>
      <c r="H205" s="74"/>
      <c r="I205" s="74"/>
      <c r="J205" s="74"/>
      <c r="K205" s="192"/>
      <c r="L205" s="192"/>
      <c r="M205" s="75"/>
      <c r="N205" s="2"/>
      <c r="O205" s="2"/>
      <c r="P205" s="2"/>
      <c r="Q205" s="2"/>
      <c r="R205" s="2"/>
    </row>
    <row r="206" spans="1:18" x14ac:dyDescent="0.2">
      <c r="A206" s="2"/>
      <c r="B206" s="77"/>
      <c r="C206" s="74"/>
      <c r="D206" s="74"/>
      <c r="E206" s="74"/>
      <c r="F206" s="74"/>
      <c r="G206" s="74"/>
      <c r="H206" s="74"/>
      <c r="I206" s="74"/>
      <c r="J206" s="74"/>
      <c r="K206" s="192"/>
      <c r="L206" s="192"/>
      <c r="M206" s="75"/>
      <c r="N206" s="2"/>
      <c r="O206" s="2"/>
      <c r="P206" s="2"/>
      <c r="Q206" s="2"/>
      <c r="R206" s="2"/>
    </row>
    <row r="207" spans="1:18" x14ac:dyDescent="0.2">
      <c r="A207" s="2"/>
      <c r="B207" s="77"/>
      <c r="C207" s="74"/>
      <c r="D207" s="74"/>
      <c r="E207" s="74"/>
      <c r="F207" s="74"/>
      <c r="G207" s="74"/>
      <c r="H207" s="74"/>
      <c r="I207" s="74"/>
      <c r="J207" s="74"/>
      <c r="K207" s="192"/>
      <c r="L207" s="192"/>
      <c r="M207" s="75"/>
      <c r="N207" s="2"/>
      <c r="O207" s="2"/>
      <c r="P207" s="2"/>
      <c r="Q207" s="2"/>
      <c r="R207" s="2"/>
    </row>
    <row r="208" spans="1:18" x14ac:dyDescent="0.2">
      <c r="A208" s="2"/>
      <c r="B208" s="77"/>
      <c r="C208" s="74"/>
      <c r="D208" s="74"/>
      <c r="E208" s="74"/>
      <c r="F208" s="74"/>
      <c r="G208" s="74"/>
      <c r="H208" s="74"/>
      <c r="I208" s="74"/>
      <c r="J208" s="74"/>
      <c r="K208" s="192"/>
      <c r="L208" s="192"/>
      <c r="M208" s="75"/>
      <c r="N208" s="2"/>
      <c r="O208" s="2"/>
      <c r="P208" s="2"/>
      <c r="Q208" s="2"/>
      <c r="R208" s="2"/>
    </row>
    <row r="209" spans="1:18" x14ac:dyDescent="0.2">
      <c r="A209" s="2"/>
      <c r="B209" s="77"/>
      <c r="C209" s="74"/>
      <c r="D209" s="74"/>
      <c r="E209" s="74"/>
      <c r="F209" s="74"/>
      <c r="G209" s="74"/>
      <c r="H209" s="74"/>
      <c r="I209" s="74"/>
      <c r="J209" s="74"/>
      <c r="K209" s="192"/>
      <c r="L209" s="192"/>
      <c r="M209" s="75"/>
      <c r="N209" s="2"/>
      <c r="O209" s="2"/>
      <c r="P209" s="2"/>
      <c r="Q209" s="2"/>
      <c r="R209" s="2"/>
    </row>
    <row r="210" spans="1:18" x14ac:dyDescent="0.2">
      <c r="A210" s="2"/>
      <c r="B210" s="77"/>
      <c r="C210" s="74"/>
      <c r="D210" s="74"/>
      <c r="E210" s="74"/>
      <c r="F210" s="74"/>
      <c r="G210" s="74"/>
      <c r="H210" s="74"/>
      <c r="I210" s="74"/>
      <c r="J210" s="74"/>
      <c r="K210" s="192"/>
      <c r="L210" s="192"/>
      <c r="M210" s="75"/>
      <c r="N210" s="2"/>
      <c r="O210" s="2"/>
      <c r="P210" s="2"/>
      <c r="Q210" s="2"/>
      <c r="R210" s="2"/>
    </row>
    <row r="211" spans="1:18" x14ac:dyDescent="0.2">
      <c r="A211" s="2"/>
      <c r="B211" s="77"/>
      <c r="C211" s="74"/>
      <c r="D211" s="74"/>
      <c r="E211" s="74"/>
      <c r="F211" s="74"/>
      <c r="G211" s="74"/>
      <c r="H211" s="74"/>
      <c r="I211" s="74"/>
      <c r="J211" s="74"/>
      <c r="K211" s="192"/>
      <c r="L211" s="192"/>
      <c r="M211" s="75"/>
      <c r="N211" s="2"/>
      <c r="O211" s="2"/>
      <c r="P211" s="2"/>
      <c r="Q211" s="2"/>
      <c r="R211" s="2"/>
    </row>
    <row r="212" spans="1:18" x14ac:dyDescent="0.2">
      <c r="A212" s="2"/>
      <c r="B212" s="77"/>
      <c r="C212" s="74"/>
      <c r="D212" s="74"/>
      <c r="E212" s="74"/>
      <c r="F212" s="74"/>
      <c r="G212" s="74"/>
      <c r="H212" s="74"/>
      <c r="I212" s="74"/>
      <c r="J212" s="74"/>
      <c r="K212" s="192"/>
      <c r="L212" s="192"/>
      <c r="M212" s="75"/>
      <c r="N212" s="2"/>
      <c r="O212" s="2"/>
      <c r="P212" s="2"/>
      <c r="Q212" s="2"/>
      <c r="R212" s="2"/>
    </row>
    <row r="213" spans="1:18" x14ac:dyDescent="0.2">
      <c r="A213" s="2"/>
      <c r="B213" s="77"/>
      <c r="C213" s="74"/>
      <c r="D213" s="74"/>
      <c r="E213" s="74"/>
      <c r="F213" s="74"/>
      <c r="G213" s="74"/>
      <c r="H213" s="74"/>
      <c r="I213" s="74"/>
      <c r="J213" s="74"/>
      <c r="K213" s="192"/>
      <c r="L213" s="192"/>
      <c r="M213" s="75"/>
      <c r="N213" s="2"/>
      <c r="O213" s="2"/>
      <c r="P213" s="2"/>
      <c r="Q213" s="2"/>
      <c r="R213" s="2"/>
    </row>
    <row r="214" spans="1:18" x14ac:dyDescent="0.2">
      <c r="A214" s="2"/>
      <c r="B214" s="77"/>
      <c r="C214" s="74"/>
      <c r="D214" s="74"/>
      <c r="E214" s="74"/>
      <c r="F214" s="74"/>
      <c r="G214" s="74"/>
      <c r="H214" s="74"/>
      <c r="I214" s="74"/>
      <c r="J214" s="74"/>
      <c r="K214" s="192"/>
      <c r="L214" s="192"/>
      <c r="M214" s="75"/>
      <c r="N214" s="2"/>
      <c r="O214" s="2"/>
      <c r="P214" s="2"/>
      <c r="Q214" s="2"/>
      <c r="R214" s="2"/>
    </row>
    <row r="215" spans="1:18" x14ac:dyDescent="0.2">
      <c r="A215" s="2"/>
      <c r="B215" s="77"/>
      <c r="C215" s="74"/>
      <c r="D215" s="74"/>
      <c r="E215" s="74"/>
      <c r="F215" s="74"/>
      <c r="G215" s="74"/>
      <c r="H215" s="74"/>
      <c r="I215" s="74"/>
      <c r="J215" s="74"/>
      <c r="K215" s="192"/>
      <c r="L215" s="192"/>
      <c r="M215" s="75"/>
      <c r="N215" s="2"/>
      <c r="O215" s="2"/>
      <c r="P215" s="2"/>
      <c r="Q215" s="2"/>
      <c r="R215" s="2"/>
    </row>
    <row r="216" spans="1:18" x14ac:dyDescent="0.2">
      <c r="A216" s="2"/>
      <c r="B216" s="77"/>
      <c r="C216" s="74"/>
      <c r="D216" s="74"/>
      <c r="E216" s="74"/>
      <c r="F216" s="74"/>
      <c r="G216" s="74"/>
      <c r="H216" s="74"/>
      <c r="I216" s="74"/>
      <c r="J216" s="74"/>
      <c r="K216" s="192"/>
      <c r="L216" s="192"/>
      <c r="M216" s="75"/>
      <c r="N216" s="2"/>
      <c r="O216" s="2"/>
      <c r="P216" s="2"/>
      <c r="Q216" s="2"/>
      <c r="R216" s="2"/>
    </row>
    <row r="217" spans="1:18" x14ac:dyDescent="0.2">
      <c r="A217" s="2"/>
      <c r="B217" s="2"/>
      <c r="C217" s="74"/>
      <c r="D217" s="74"/>
      <c r="E217" s="74"/>
      <c r="F217" s="74"/>
      <c r="G217" s="74"/>
      <c r="H217" s="74"/>
      <c r="I217" s="74"/>
      <c r="J217" s="74"/>
      <c r="K217" s="192"/>
      <c r="L217" s="192"/>
      <c r="M217" s="75"/>
      <c r="N217" s="2"/>
      <c r="O217" s="2"/>
      <c r="P217" s="2"/>
      <c r="Q217" s="2"/>
      <c r="R217" s="2"/>
    </row>
    <row r="218" spans="1:18" ht="15.75" x14ac:dyDescent="0.25">
      <c r="A218" s="76"/>
      <c r="B218" s="2"/>
      <c r="C218" s="74"/>
      <c r="D218" s="74"/>
      <c r="E218" s="74"/>
      <c r="F218" s="74"/>
      <c r="G218" s="74"/>
      <c r="H218" s="74"/>
      <c r="I218" s="74"/>
      <c r="J218" s="74"/>
      <c r="K218" s="192"/>
      <c r="L218" s="192"/>
      <c r="M218" s="75"/>
      <c r="N218" s="2"/>
      <c r="O218" s="2"/>
      <c r="P218" s="2"/>
      <c r="Q218" s="2"/>
      <c r="R218" s="2"/>
    </row>
    <row r="219" spans="1:18" x14ac:dyDescent="0.2">
      <c r="A219" s="2"/>
      <c r="B219" s="2"/>
      <c r="C219" s="74"/>
      <c r="D219" s="74"/>
      <c r="E219" s="74"/>
      <c r="F219" s="74"/>
      <c r="G219" s="74"/>
      <c r="H219" s="74"/>
      <c r="I219" s="74"/>
      <c r="J219" s="74"/>
      <c r="K219" s="192"/>
      <c r="L219" s="192"/>
      <c r="M219" s="75"/>
      <c r="N219" s="2"/>
      <c r="O219" s="2"/>
      <c r="P219" s="2"/>
      <c r="Q219" s="2"/>
      <c r="R219" s="2"/>
    </row>
    <row r="220" spans="1:18" x14ac:dyDescent="0.2">
      <c r="A220" s="2"/>
      <c r="B220" s="2"/>
      <c r="C220" s="74"/>
      <c r="D220" s="74"/>
      <c r="E220" s="74"/>
      <c r="F220" s="74"/>
      <c r="G220" s="74"/>
      <c r="H220" s="74"/>
      <c r="I220" s="74"/>
      <c r="J220" s="74"/>
      <c r="K220" s="192"/>
      <c r="L220" s="192"/>
      <c r="M220" s="75"/>
      <c r="N220" s="2"/>
      <c r="O220" s="2"/>
      <c r="P220" s="2"/>
      <c r="Q220" s="2"/>
      <c r="R220" s="2"/>
    </row>
    <row r="221" spans="1:18" ht="15.75" x14ac:dyDescent="0.25">
      <c r="A221" s="76"/>
      <c r="B221" s="77"/>
      <c r="C221" s="74"/>
      <c r="D221" s="74"/>
      <c r="E221" s="74"/>
      <c r="F221" s="74"/>
      <c r="G221" s="74"/>
      <c r="H221" s="74"/>
      <c r="I221" s="74"/>
      <c r="J221" s="74"/>
      <c r="K221" s="192"/>
      <c r="L221" s="192"/>
      <c r="M221" s="75"/>
      <c r="N221" s="2"/>
      <c r="O221" s="2"/>
      <c r="P221" s="2"/>
      <c r="Q221" s="2"/>
      <c r="R221" s="2"/>
    </row>
    <row r="222" spans="1:18" x14ac:dyDescent="0.2">
      <c r="A222" s="2"/>
      <c r="B222" s="77"/>
      <c r="C222" s="74"/>
      <c r="D222" s="74"/>
      <c r="E222" s="74"/>
      <c r="F222" s="74"/>
      <c r="G222" s="74"/>
      <c r="H222" s="74"/>
      <c r="I222" s="74"/>
      <c r="J222" s="74"/>
      <c r="K222" s="192"/>
      <c r="L222" s="192"/>
      <c r="M222" s="75"/>
      <c r="N222" s="2"/>
      <c r="O222" s="2"/>
      <c r="P222" s="2"/>
      <c r="Q222" s="2"/>
      <c r="R222" s="2"/>
    </row>
    <row r="223" spans="1:18" x14ac:dyDescent="0.2">
      <c r="A223" s="2"/>
      <c r="B223" s="77"/>
      <c r="C223" s="74"/>
      <c r="D223" s="74"/>
      <c r="E223" s="74"/>
      <c r="F223" s="74"/>
      <c r="G223" s="74"/>
      <c r="H223" s="74"/>
      <c r="I223" s="74"/>
      <c r="J223" s="74"/>
      <c r="K223" s="192"/>
      <c r="L223" s="192"/>
      <c r="M223" s="75"/>
      <c r="N223" s="2"/>
      <c r="O223" s="2"/>
      <c r="P223" s="2"/>
      <c r="Q223" s="2"/>
      <c r="R223" s="2"/>
    </row>
    <row r="224" spans="1:18" x14ac:dyDescent="0.2">
      <c r="A224" s="2"/>
      <c r="B224" s="2"/>
      <c r="C224" s="74"/>
      <c r="D224" s="74"/>
      <c r="E224" s="74"/>
      <c r="F224" s="74"/>
      <c r="G224" s="74"/>
      <c r="H224" s="74"/>
      <c r="I224" s="74"/>
      <c r="J224" s="74"/>
      <c r="K224" s="192"/>
      <c r="L224" s="192"/>
      <c r="M224" s="75"/>
      <c r="N224" s="2"/>
      <c r="O224" s="2"/>
      <c r="P224" s="2"/>
      <c r="Q224" s="2"/>
      <c r="R224" s="2"/>
    </row>
    <row r="225" spans="1:18" x14ac:dyDescent="0.2">
      <c r="A225" s="2"/>
      <c r="B225" s="2"/>
      <c r="C225" s="74"/>
      <c r="D225" s="74"/>
      <c r="E225" s="74"/>
      <c r="F225" s="74"/>
      <c r="G225" s="74"/>
      <c r="H225" s="74"/>
      <c r="I225" s="74"/>
      <c r="J225" s="74"/>
      <c r="K225" s="192"/>
      <c r="L225" s="192"/>
      <c r="M225" s="75"/>
      <c r="N225" s="2"/>
      <c r="O225" s="2"/>
      <c r="P225" s="2"/>
      <c r="Q225" s="2"/>
      <c r="R225" s="2"/>
    </row>
    <row r="226" spans="1:18" x14ac:dyDescent="0.2">
      <c r="A226" s="2"/>
      <c r="B226" s="2"/>
      <c r="C226" s="74"/>
      <c r="D226" s="74"/>
      <c r="E226" s="74"/>
      <c r="F226" s="74"/>
      <c r="G226" s="74"/>
      <c r="H226" s="74"/>
      <c r="I226" s="74"/>
      <c r="J226" s="74"/>
      <c r="K226" s="192"/>
      <c r="L226" s="192"/>
      <c r="M226" s="75"/>
      <c r="N226" s="2"/>
      <c r="O226" s="2"/>
      <c r="P226" s="2"/>
      <c r="Q226" s="2"/>
      <c r="R226" s="2"/>
    </row>
    <row r="227" spans="1:18" ht="15.75" x14ac:dyDescent="0.25">
      <c r="A227" s="76"/>
      <c r="B227" s="2"/>
      <c r="C227" s="74"/>
      <c r="D227" s="74"/>
      <c r="E227" s="74"/>
      <c r="F227" s="74"/>
      <c r="G227" s="74"/>
      <c r="H227" s="74"/>
      <c r="I227" s="74"/>
      <c r="J227" s="74"/>
      <c r="K227" s="192"/>
      <c r="L227" s="192"/>
      <c r="M227" s="75"/>
      <c r="N227" s="2"/>
      <c r="O227" s="2"/>
      <c r="P227" s="2"/>
      <c r="Q227" s="2"/>
      <c r="R227" s="2"/>
    </row>
    <row r="228" spans="1:18" x14ac:dyDescent="0.2">
      <c r="A228" s="2"/>
      <c r="B228" s="2"/>
      <c r="C228" s="74"/>
      <c r="D228" s="74"/>
      <c r="E228" s="74"/>
      <c r="F228" s="74"/>
      <c r="G228" s="74"/>
      <c r="H228" s="74"/>
      <c r="I228" s="74"/>
      <c r="J228" s="74"/>
      <c r="K228" s="192"/>
      <c r="L228" s="192"/>
      <c r="M228" s="75"/>
      <c r="N228" s="2"/>
      <c r="O228" s="2"/>
      <c r="P228" s="2"/>
      <c r="Q228" s="2"/>
      <c r="R228" s="2"/>
    </row>
    <row r="229" spans="1:18" x14ac:dyDescent="0.2">
      <c r="A229" s="2"/>
      <c r="B229" s="2"/>
      <c r="C229" s="74"/>
      <c r="D229" s="74"/>
      <c r="E229" s="74"/>
      <c r="F229" s="74"/>
      <c r="G229" s="74"/>
      <c r="H229" s="74"/>
      <c r="I229" s="74"/>
      <c r="J229" s="74"/>
      <c r="K229" s="192"/>
      <c r="L229" s="192"/>
      <c r="M229" s="75"/>
      <c r="N229" s="2"/>
      <c r="O229" s="2"/>
      <c r="P229" s="2"/>
      <c r="Q229" s="2"/>
      <c r="R229" s="2"/>
    </row>
    <row r="230" spans="1:18" ht="15.75" x14ac:dyDescent="0.25">
      <c r="A230" s="76"/>
      <c r="B230" s="76"/>
      <c r="C230" s="74"/>
      <c r="D230" s="74"/>
      <c r="E230" s="74"/>
      <c r="F230" s="74"/>
      <c r="G230" s="74"/>
      <c r="H230" s="74"/>
      <c r="I230" s="74"/>
      <c r="J230" s="74"/>
      <c r="K230" s="192"/>
      <c r="L230" s="192"/>
      <c r="M230" s="75"/>
      <c r="N230" s="2"/>
      <c r="O230" s="2"/>
      <c r="P230" s="2"/>
      <c r="Q230" s="2"/>
      <c r="R230" s="2"/>
    </row>
    <row r="231" spans="1:18" x14ac:dyDescent="0.2">
      <c r="A231" s="2"/>
      <c r="B231" s="2"/>
      <c r="C231" s="74"/>
      <c r="D231" s="74"/>
      <c r="E231" s="74"/>
      <c r="F231" s="74"/>
      <c r="G231" s="74"/>
      <c r="H231" s="74"/>
      <c r="I231" s="74"/>
      <c r="J231" s="74"/>
      <c r="K231" s="192"/>
      <c r="L231" s="192"/>
      <c r="M231" s="75"/>
      <c r="N231" s="2"/>
      <c r="O231" s="2"/>
      <c r="P231" s="2"/>
      <c r="Q231" s="2"/>
      <c r="R231" s="2"/>
    </row>
    <row r="232" spans="1:18" x14ac:dyDescent="0.2">
      <c r="A232" s="2"/>
      <c r="B232" s="2"/>
      <c r="C232" s="74"/>
      <c r="D232" s="74"/>
      <c r="E232" s="74"/>
      <c r="F232" s="74"/>
      <c r="G232" s="74"/>
      <c r="H232" s="74"/>
      <c r="I232" s="74"/>
      <c r="J232" s="74"/>
      <c r="K232" s="192"/>
      <c r="L232" s="192"/>
      <c r="M232" s="75"/>
      <c r="N232" s="2"/>
      <c r="O232" s="2"/>
      <c r="P232" s="2"/>
      <c r="Q232" s="2"/>
      <c r="R232" s="2"/>
    </row>
    <row r="233" spans="1:18" x14ac:dyDescent="0.2">
      <c r="A233" s="2"/>
      <c r="B233" s="2"/>
      <c r="C233" s="74"/>
      <c r="D233" s="74"/>
      <c r="E233" s="74"/>
      <c r="F233" s="74"/>
      <c r="G233" s="74"/>
      <c r="H233" s="74"/>
      <c r="I233" s="74"/>
      <c r="J233" s="74"/>
      <c r="K233" s="192"/>
      <c r="L233" s="192"/>
      <c r="M233" s="75"/>
      <c r="N233" s="2"/>
      <c r="O233" s="2"/>
      <c r="P233" s="2"/>
      <c r="Q233" s="2"/>
      <c r="R233" s="2"/>
    </row>
    <row r="234" spans="1:18" x14ac:dyDescent="0.2">
      <c r="A234" s="2"/>
      <c r="B234" s="2"/>
      <c r="C234" s="74"/>
      <c r="D234" s="74"/>
      <c r="E234" s="74"/>
      <c r="F234" s="74"/>
      <c r="G234" s="74"/>
      <c r="H234" s="74"/>
      <c r="I234" s="74"/>
      <c r="J234" s="74"/>
      <c r="K234" s="192"/>
      <c r="L234" s="192"/>
      <c r="M234" s="75"/>
      <c r="N234" s="2"/>
      <c r="O234" s="2"/>
      <c r="P234" s="2"/>
      <c r="Q234" s="2"/>
      <c r="R234" s="2"/>
    </row>
    <row r="235" spans="1:18" x14ac:dyDescent="0.2">
      <c r="A235" s="2"/>
      <c r="B235" s="2"/>
      <c r="C235" s="74"/>
      <c r="D235" s="74"/>
      <c r="E235" s="74"/>
      <c r="F235" s="74"/>
      <c r="G235" s="74"/>
      <c r="H235" s="74"/>
      <c r="I235" s="74"/>
      <c r="J235" s="74"/>
      <c r="K235" s="192"/>
      <c r="L235" s="192"/>
      <c r="M235" s="75"/>
      <c r="N235" s="2"/>
      <c r="O235" s="2"/>
      <c r="P235" s="2"/>
      <c r="Q235" s="2"/>
      <c r="R235" s="2"/>
    </row>
    <row r="236" spans="1:18" x14ac:dyDescent="0.2">
      <c r="A236" s="2"/>
      <c r="B236" s="2"/>
      <c r="C236" s="74"/>
      <c r="D236" s="74"/>
      <c r="E236" s="74"/>
      <c r="F236" s="74"/>
      <c r="G236" s="74"/>
      <c r="H236" s="74"/>
      <c r="I236" s="74"/>
      <c r="J236" s="74"/>
      <c r="K236" s="192"/>
      <c r="L236" s="192"/>
      <c r="M236" s="75"/>
      <c r="N236" s="2"/>
      <c r="O236" s="2"/>
      <c r="P236" s="2"/>
      <c r="Q236" s="2"/>
      <c r="R236" s="2"/>
    </row>
    <row r="237" spans="1:18" x14ac:dyDescent="0.2">
      <c r="A237" s="2"/>
      <c r="B237" s="2"/>
      <c r="C237" s="74"/>
      <c r="D237" s="74"/>
      <c r="E237" s="74"/>
      <c r="F237" s="74"/>
      <c r="G237" s="74"/>
      <c r="H237" s="74"/>
      <c r="I237" s="74"/>
      <c r="J237" s="74"/>
      <c r="K237" s="192"/>
      <c r="L237" s="192"/>
      <c r="M237" s="75"/>
      <c r="N237" s="2"/>
      <c r="O237" s="2"/>
      <c r="P237" s="2"/>
      <c r="Q237" s="2"/>
      <c r="R237" s="2"/>
    </row>
    <row r="238" spans="1:18" x14ac:dyDescent="0.2">
      <c r="A238" s="2"/>
      <c r="B238" s="2"/>
      <c r="C238" s="74"/>
      <c r="D238" s="74"/>
      <c r="E238" s="74"/>
      <c r="F238" s="74"/>
      <c r="G238" s="74"/>
      <c r="H238" s="74"/>
      <c r="I238" s="74"/>
      <c r="J238" s="74"/>
      <c r="K238" s="192"/>
      <c r="L238" s="192"/>
      <c r="M238" s="75"/>
      <c r="N238" s="2"/>
      <c r="O238" s="2"/>
      <c r="P238" s="2"/>
      <c r="Q238" s="2"/>
      <c r="R238" s="2"/>
    </row>
    <row r="239" spans="1:18" x14ac:dyDescent="0.2">
      <c r="A239" s="2"/>
      <c r="B239" s="2"/>
      <c r="C239" s="74"/>
      <c r="D239" s="74"/>
      <c r="E239" s="74"/>
      <c r="F239" s="74"/>
      <c r="G239" s="74"/>
      <c r="H239" s="74"/>
      <c r="I239" s="74"/>
      <c r="J239" s="74"/>
      <c r="K239" s="192"/>
      <c r="L239" s="192"/>
      <c r="M239" s="75"/>
      <c r="N239" s="2"/>
      <c r="O239" s="2"/>
      <c r="P239" s="2"/>
      <c r="Q239" s="2"/>
      <c r="R239" s="2"/>
    </row>
    <row r="240" spans="1:18" x14ac:dyDescent="0.2">
      <c r="A240" s="2"/>
      <c r="B240" s="2"/>
      <c r="C240" s="74"/>
      <c r="D240" s="74"/>
      <c r="E240" s="74"/>
      <c r="F240" s="74"/>
      <c r="G240" s="74"/>
      <c r="H240" s="74"/>
      <c r="I240" s="74"/>
      <c r="J240" s="74"/>
      <c r="K240" s="192"/>
      <c r="L240" s="192"/>
      <c r="M240" s="75"/>
      <c r="N240" s="2"/>
      <c r="O240" s="2"/>
      <c r="P240" s="2"/>
      <c r="Q240" s="2"/>
      <c r="R240" s="2"/>
    </row>
    <row r="241" spans="1:18" x14ac:dyDescent="0.2">
      <c r="A241" s="2"/>
      <c r="B241" s="2"/>
      <c r="C241" s="74"/>
      <c r="D241" s="74"/>
      <c r="E241" s="74"/>
      <c r="F241" s="74"/>
      <c r="G241" s="74"/>
      <c r="H241" s="74"/>
      <c r="I241" s="74"/>
      <c r="J241" s="74"/>
      <c r="K241" s="192"/>
      <c r="L241" s="192"/>
      <c r="M241" s="75"/>
      <c r="N241" s="2"/>
      <c r="O241" s="2"/>
      <c r="P241" s="2"/>
      <c r="Q241" s="2"/>
      <c r="R241" s="2"/>
    </row>
    <row r="242" spans="1:18" x14ac:dyDescent="0.2">
      <c r="A242" s="2"/>
      <c r="B242" s="2"/>
      <c r="C242" s="74"/>
      <c r="D242" s="74"/>
      <c r="E242" s="74"/>
      <c r="F242" s="74"/>
      <c r="G242" s="74"/>
      <c r="H242" s="74"/>
      <c r="I242" s="74"/>
      <c r="J242" s="74"/>
      <c r="K242" s="192"/>
      <c r="L242" s="192"/>
      <c r="M242" s="75"/>
      <c r="N242" s="2"/>
      <c r="O242" s="2"/>
      <c r="P242" s="2"/>
      <c r="Q242" s="2"/>
      <c r="R242" s="2"/>
    </row>
    <row r="243" spans="1:18" x14ac:dyDescent="0.2">
      <c r="A243" s="2"/>
      <c r="B243" s="2"/>
      <c r="C243" s="74"/>
      <c r="D243" s="74"/>
      <c r="E243" s="74"/>
      <c r="F243" s="74"/>
      <c r="G243" s="74"/>
      <c r="H243" s="74"/>
      <c r="I243" s="74"/>
      <c r="J243" s="74"/>
      <c r="K243" s="192"/>
      <c r="L243" s="192"/>
      <c r="M243" s="75"/>
      <c r="N243" s="2"/>
      <c r="O243" s="2"/>
      <c r="P243" s="2"/>
      <c r="Q243" s="2"/>
      <c r="R243" s="2"/>
    </row>
    <row r="244" spans="1:18" x14ac:dyDescent="0.2">
      <c r="A244" s="2"/>
      <c r="B244" s="2"/>
      <c r="C244" s="74"/>
      <c r="D244" s="74"/>
      <c r="E244" s="74"/>
      <c r="F244" s="74"/>
      <c r="G244" s="74"/>
      <c r="H244" s="74"/>
      <c r="I244" s="74"/>
      <c r="J244" s="74"/>
      <c r="K244" s="192"/>
      <c r="L244" s="192"/>
      <c r="M244" s="75"/>
      <c r="N244" s="2"/>
      <c r="O244" s="2"/>
      <c r="P244" s="2"/>
      <c r="Q244" s="2"/>
      <c r="R244" s="2"/>
    </row>
    <row r="245" spans="1:18" x14ac:dyDescent="0.2">
      <c r="A245" s="2"/>
      <c r="B245" s="2"/>
      <c r="C245" s="74"/>
      <c r="D245" s="74"/>
      <c r="E245" s="74"/>
      <c r="F245" s="74"/>
      <c r="G245" s="74"/>
      <c r="H245" s="74"/>
      <c r="I245" s="74"/>
      <c r="J245" s="74"/>
      <c r="K245" s="192"/>
      <c r="L245" s="192"/>
      <c r="M245" s="75"/>
      <c r="N245" s="2"/>
      <c r="O245" s="2"/>
      <c r="P245" s="2"/>
      <c r="Q245" s="2"/>
      <c r="R245" s="2"/>
    </row>
    <row r="246" spans="1:18" x14ac:dyDescent="0.2">
      <c r="A246" s="2"/>
      <c r="B246" s="2"/>
      <c r="C246" s="74"/>
      <c r="D246" s="74"/>
      <c r="E246" s="74"/>
      <c r="F246" s="74"/>
      <c r="G246" s="74"/>
      <c r="H246" s="74"/>
      <c r="I246" s="74"/>
      <c r="J246" s="74"/>
      <c r="K246" s="192"/>
      <c r="L246" s="192"/>
      <c r="M246" s="75"/>
      <c r="N246" s="2"/>
      <c r="O246" s="2"/>
      <c r="P246" s="2"/>
      <c r="Q246" s="2"/>
      <c r="R246" s="2"/>
    </row>
    <row r="247" spans="1:18" x14ac:dyDescent="0.2">
      <c r="A247" s="2"/>
      <c r="B247" s="2"/>
      <c r="C247" s="74"/>
      <c r="D247" s="74"/>
      <c r="E247" s="74"/>
      <c r="F247" s="74"/>
      <c r="G247" s="74"/>
      <c r="H247" s="74"/>
      <c r="I247" s="74"/>
      <c r="J247" s="74"/>
      <c r="K247" s="192"/>
      <c r="L247" s="192"/>
      <c r="M247" s="75"/>
      <c r="N247" s="2"/>
      <c r="O247" s="2"/>
      <c r="P247" s="2"/>
      <c r="Q247" s="2"/>
      <c r="R247" s="2"/>
    </row>
    <row r="248" spans="1:18" x14ac:dyDescent="0.2">
      <c r="A248" s="2"/>
      <c r="B248" s="2"/>
      <c r="C248" s="74"/>
      <c r="D248" s="74"/>
      <c r="E248" s="74"/>
      <c r="F248" s="74"/>
      <c r="G248" s="74"/>
      <c r="H248" s="74"/>
      <c r="I248" s="74"/>
      <c r="J248" s="74"/>
      <c r="K248" s="192"/>
      <c r="L248" s="192"/>
      <c r="M248" s="75"/>
      <c r="N248" s="2"/>
      <c r="O248" s="2"/>
      <c r="P248" s="2"/>
      <c r="Q248" s="2"/>
      <c r="R248" s="2"/>
    </row>
    <row r="249" spans="1:18" x14ac:dyDescent="0.2">
      <c r="A249" s="2"/>
      <c r="B249" s="2"/>
      <c r="C249" s="74"/>
      <c r="D249" s="74"/>
      <c r="E249" s="74"/>
      <c r="F249" s="74"/>
      <c r="G249" s="74"/>
      <c r="H249" s="74"/>
      <c r="I249" s="74"/>
      <c r="J249" s="74"/>
      <c r="K249" s="192"/>
      <c r="L249" s="192"/>
      <c r="M249" s="75"/>
      <c r="N249" s="2"/>
      <c r="O249" s="2"/>
      <c r="P249" s="2"/>
      <c r="Q249" s="2"/>
      <c r="R249" s="2"/>
    </row>
    <row r="250" spans="1:18" x14ac:dyDescent="0.2">
      <c r="A250" s="2"/>
      <c r="B250" s="2"/>
      <c r="C250" s="74"/>
      <c r="D250" s="74"/>
      <c r="E250" s="74"/>
      <c r="F250" s="74"/>
      <c r="G250" s="74"/>
      <c r="H250" s="74"/>
      <c r="I250" s="74"/>
      <c r="J250" s="74"/>
      <c r="K250" s="192"/>
      <c r="L250" s="192"/>
      <c r="M250" s="75"/>
      <c r="N250" s="2"/>
      <c r="O250" s="2"/>
      <c r="P250" s="2"/>
      <c r="Q250" s="2"/>
      <c r="R250" s="2"/>
    </row>
    <row r="251" spans="1:18" x14ac:dyDescent="0.2">
      <c r="A251" s="2"/>
      <c r="B251" s="2"/>
      <c r="C251" s="74"/>
      <c r="D251" s="74"/>
      <c r="E251" s="74"/>
      <c r="F251" s="74"/>
      <c r="G251" s="74"/>
      <c r="H251" s="74"/>
      <c r="I251" s="74"/>
      <c r="J251" s="74"/>
      <c r="K251" s="192"/>
      <c r="L251" s="192"/>
      <c r="M251" s="75"/>
      <c r="N251" s="2"/>
      <c r="O251" s="2"/>
      <c r="P251" s="2"/>
      <c r="Q251" s="2"/>
      <c r="R251" s="2"/>
    </row>
    <row r="252" spans="1:18" x14ac:dyDescent="0.2">
      <c r="A252" s="2"/>
      <c r="B252" s="2"/>
      <c r="C252" s="74"/>
      <c r="D252" s="74"/>
      <c r="E252" s="74"/>
      <c r="F252" s="74"/>
      <c r="G252" s="74"/>
      <c r="H252" s="74"/>
      <c r="I252" s="74"/>
      <c r="J252" s="74"/>
      <c r="K252" s="192"/>
      <c r="L252" s="192"/>
      <c r="M252" s="75"/>
      <c r="N252" s="2"/>
      <c r="O252" s="2"/>
      <c r="P252" s="2"/>
      <c r="Q252" s="2"/>
      <c r="R252" s="2"/>
    </row>
    <row r="253" spans="1:18" x14ac:dyDescent="0.2">
      <c r="A253" s="2"/>
      <c r="B253" s="2"/>
      <c r="C253" s="74"/>
      <c r="D253" s="74"/>
      <c r="E253" s="74"/>
      <c r="F253" s="74"/>
      <c r="G253" s="74"/>
      <c r="H253" s="74"/>
      <c r="I253" s="74"/>
      <c r="J253" s="74"/>
      <c r="K253" s="192"/>
      <c r="L253" s="192"/>
      <c r="M253" s="75"/>
      <c r="N253" s="2"/>
      <c r="O253" s="2"/>
      <c r="P253" s="2"/>
      <c r="Q253" s="2"/>
      <c r="R253" s="2"/>
    </row>
    <row r="254" spans="1:18" x14ac:dyDescent="0.2">
      <c r="A254" s="2"/>
      <c r="B254" s="2"/>
      <c r="C254" s="74"/>
      <c r="D254" s="74"/>
      <c r="E254" s="74"/>
      <c r="F254" s="74"/>
      <c r="G254" s="74"/>
      <c r="H254" s="74"/>
      <c r="I254" s="74"/>
      <c r="J254" s="74"/>
      <c r="K254" s="192"/>
      <c r="L254" s="192"/>
      <c r="M254" s="75"/>
      <c r="N254" s="2"/>
      <c r="O254" s="2"/>
      <c r="P254" s="2"/>
      <c r="Q254" s="2"/>
      <c r="R254" s="2"/>
    </row>
    <row r="255" spans="1:18" x14ac:dyDescent="0.2">
      <c r="A255" s="2"/>
      <c r="B255" s="2"/>
      <c r="C255" s="74"/>
      <c r="D255" s="74"/>
      <c r="E255" s="74"/>
      <c r="F255" s="74"/>
      <c r="G255" s="74"/>
      <c r="H255" s="74"/>
      <c r="I255" s="74"/>
      <c r="J255" s="74"/>
      <c r="K255" s="192"/>
      <c r="L255" s="192"/>
      <c r="M255" s="75"/>
      <c r="N255" s="2"/>
      <c r="O255" s="2"/>
      <c r="P255" s="2"/>
      <c r="Q255" s="2"/>
      <c r="R255" s="2"/>
    </row>
    <row r="256" spans="1:18" x14ac:dyDescent="0.2">
      <c r="A256" s="2"/>
      <c r="B256" s="2"/>
      <c r="C256" s="74"/>
      <c r="D256" s="74"/>
      <c r="E256" s="74"/>
      <c r="F256" s="74"/>
      <c r="G256" s="74"/>
      <c r="H256" s="74"/>
      <c r="I256" s="74"/>
      <c r="J256" s="74"/>
      <c r="K256" s="192"/>
      <c r="L256" s="192"/>
      <c r="M256" s="75"/>
      <c r="N256" s="2"/>
      <c r="O256" s="2"/>
      <c r="P256" s="2"/>
      <c r="Q256" s="2"/>
      <c r="R256" s="2"/>
    </row>
    <row r="257" spans="1:18" x14ac:dyDescent="0.2">
      <c r="A257" s="2"/>
      <c r="B257" s="2"/>
      <c r="C257" s="74"/>
      <c r="D257" s="74"/>
      <c r="E257" s="74"/>
      <c r="F257" s="74"/>
      <c r="G257" s="74"/>
      <c r="H257" s="74"/>
      <c r="I257" s="74"/>
      <c r="J257" s="74"/>
      <c r="K257" s="192"/>
      <c r="L257" s="192"/>
      <c r="M257" s="75"/>
      <c r="N257" s="2"/>
      <c r="O257" s="2"/>
      <c r="P257" s="2"/>
      <c r="Q257" s="2"/>
      <c r="R257" s="2"/>
    </row>
    <row r="258" spans="1:18" x14ac:dyDescent="0.2">
      <c r="A258" s="2"/>
      <c r="B258" s="2"/>
      <c r="C258" s="74"/>
      <c r="D258" s="74"/>
      <c r="E258" s="74"/>
      <c r="F258" s="74"/>
      <c r="G258" s="74"/>
      <c r="H258" s="74"/>
      <c r="I258" s="74"/>
      <c r="J258" s="74"/>
      <c r="K258" s="192"/>
      <c r="L258" s="192"/>
      <c r="M258" s="75"/>
      <c r="N258" s="2"/>
      <c r="O258" s="2"/>
      <c r="P258" s="2"/>
      <c r="Q258" s="2"/>
      <c r="R258" s="2"/>
    </row>
    <row r="259" spans="1:18" x14ac:dyDescent="0.2">
      <c r="A259" s="2"/>
      <c r="B259" s="2"/>
      <c r="C259" s="74"/>
      <c r="D259" s="74"/>
      <c r="E259" s="74"/>
      <c r="F259" s="74"/>
      <c r="G259" s="74"/>
      <c r="H259" s="74"/>
      <c r="I259" s="74"/>
      <c r="J259" s="74"/>
      <c r="K259" s="192"/>
      <c r="L259" s="192"/>
      <c r="M259" s="75"/>
      <c r="N259" s="2"/>
      <c r="O259" s="2"/>
      <c r="P259" s="2"/>
      <c r="Q259" s="2"/>
      <c r="R259" s="2"/>
    </row>
    <row r="260" spans="1:18" x14ac:dyDescent="0.2">
      <c r="A260" s="2"/>
      <c r="B260" s="2"/>
      <c r="C260" s="74"/>
      <c r="D260" s="74"/>
      <c r="E260" s="74"/>
      <c r="F260" s="74"/>
      <c r="G260" s="74"/>
      <c r="H260" s="74"/>
      <c r="I260" s="74"/>
      <c r="J260" s="74"/>
      <c r="K260" s="192"/>
      <c r="L260" s="192"/>
      <c r="M260" s="75"/>
      <c r="N260" s="2"/>
      <c r="O260" s="2"/>
      <c r="P260" s="2"/>
      <c r="Q260" s="2"/>
      <c r="R260" s="2"/>
    </row>
    <row r="261" spans="1:18" x14ac:dyDescent="0.2">
      <c r="A261" s="2"/>
      <c r="B261" s="2"/>
      <c r="C261" s="74"/>
      <c r="D261" s="74"/>
      <c r="E261" s="74"/>
      <c r="F261" s="74"/>
      <c r="G261" s="74"/>
      <c r="H261" s="74"/>
      <c r="I261" s="74"/>
      <c r="J261" s="74"/>
      <c r="K261" s="192"/>
      <c r="L261" s="192"/>
      <c r="M261" s="75"/>
      <c r="N261" s="2"/>
      <c r="O261" s="2"/>
      <c r="P261" s="2"/>
      <c r="Q261" s="2"/>
      <c r="R261" s="2"/>
    </row>
    <row r="262" spans="1:18" x14ac:dyDescent="0.2">
      <c r="A262" s="2"/>
      <c r="B262" s="2"/>
      <c r="C262" s="74"/>
      <c r="D262" s="74"/>
      <c r="E262" s="74"/>
      <c r="F262" s="74"/>
      <c r="G262" s="74"/>
      <c r="H262" s="74"/>
      <c r="I262" s="74"/>
      <c r="J262" s="74"/>
      <c r="K262" s="192"/>
      <c r="L262" s="192"/>
      <c r="M262" s="75"/>
      <c r="N262" s="2"/>
      <c r="O262" s="2"/>
      <c r="P262" s="2"/>
      <c r="Q262" s="2"/>
      <c r="R262" s="2"/>
    </row>
    <row r="263" spans="1:18" x14ac:dyDescent="0.2">
      <c r="A263" s="2"/>
      <c r="B263" s="2"/>
      <c r="C263" s="74"/>
      <c r="D263" s="74"/>
      <c r="E263" s="74"/>
      <c r="F263" s="74"/>
      <c r="G263" s="74"/>
      <c r="H263" s="74"/>
      <c r="I263" s="74"/>
      <c r="J263" s="74"/>
      <c r="K263" s="192"/>
      <c r="L263" s="192"/>
      <c r="M263" s="75"/>
      <c r="N263" s="2"/>
      <c r="O263" s="2"/>
      <c r="P263" s="2"/>
      <c r="Q263" s="2"/>
      <c r="R263" s="2"/>
    </row>
    <row r="264" spans="1:18" x14ac:dyDescent="0.2">
      <c r="A264" s="2"/>
      <c r="B264" s="2"/>
      <c r="C264" s="74"/>
      <c r="D264" s="74"/>
      <c r="E264" s="74"/>
      <c r="F264" s="74"/>
      <c r="G264" s="74"/>
      <c r="H264" s="74"/>
      <c r="I264" s="74"/>
      <c r="J264" s="74"/>
      <c r="K264" s="192"/>
      <c r="L264" s="192"/>
      <c r="M264" s="75"/>
      <c r="N264" s="2"/>
      <c r="O264" s="2"/>
      <c r="P264" s="2"/>
      <c r="Q264" s="2"/>
      <c r="R264" s="2"/>
    </row>
    <row r="265" spans="1:18" x14ac:dyDescent="0.2">
      <c r="A265" s="2"/>
      <c r="B265" s="2"/>
      <c r="C265" s="74"/>
      <c r="D265" s="74"/>
      <c r="E265" s="74"/>
      <c r="F265" s="74"/>
      <c r="G265" s="74"/>
      <c r="H265" s="74"/>
      <c r="I265" s="74"/>
      <c r="J265" s="74"/>
      <c r="K265" s="192"/>
      <c r="L265" s="192"/>
      <c r="M265" s="75"/>
      <c r="N265" s="2"/>
      <c r="O265" s="2"/>
      <c r="P265" s="2"/>
      <c r="Q265" s="2"/>
      <c r="R265" s="2"/>
    </row>
    <row r="266" spans="1:18" x14ac:dyDescent="0.2">
      <c r="A266" s="2"/>
      <c r="B266" s="2"/>
      <c r="C266" s="74"/>
      <c r="D266" s="74"/>
      <c r="E266" s="74"/>
      <c r="F266" s="74"/>
      <c r="G266" s="74"/>
      <c r="H266" s="74"/>
      <c r="I266" s="74"/>
      <c r="J266" s="74"/>
      <c r="K266" s="192"/>
      <c r="L266" s="192"/>
      <c r="M266" s="75"/>
      <c r="N266" s="2"/>
      <c r="O266" s="2"/>
      <c r="P266" s="2"/>
      <c r="Q266" s="2"/>
      <c r="R266" s="2"/>
    </row>
    <row r="267" spans="1:18" x14ac:dyDescent="0.2">
      <c r="A267" s="2"/>
      <c r="B267" s="2"/>
      <c r="C267" s="74"/>
      <c r="D267" s="74"/>
      <c r="E267" s="74"/>
      <c r="F267" s="74"/>
      <c r="G267" s="74"/>
      <c r="H267" s="74"/>
      <c r="I267" s="74"/>
      <c r="J267" s="74"/>
      <c r="K267" s="192"/>
      <c r="L267" s="192"/>
      <c r="M267" s="75"/>
      <c r="N267" s="2"/>
      <c r="O267" s="2"/>
      <c r="P267" s="2"/>
      <c r="Q267" s="2"/>
      <c r="R267" s="2"/>
    </row>
    <row r="268" spans="1:18" x14ac:dyDescent="0.2">
      <c r="A268" s="2"/>
      <c r="B268" s="2"/>
      <c r="C268" s="74"/>
      <c r="D268" s="74"/>
      <c r="E268" s="74"/>
      <c r="F268" s="74"/>
      <c r="G268" s="74"/>
      <c r="H268" s="74"/>
      <c r="I268" s="74"/>
      <c r="J268" s="74"/>
      <c r="K268" s="192"/>
      <c r="L268" s="192"/>
      <c r="M268" s="75"/>
      <c r="N268" s="2"/>
      <c r="O268" s="2"/>
      <c r="P268" s="2"/>
      <c r="Q268" s="2"/>
      <c r="R268" s="2"/>
    </row>
    <row r="269" spans="1:18" x14ac:dyDescent="0.2">
      <c r="A269" s="2"/>
      <c r="B269" s="2"/>
      <c r="C269" s="74"/>
      <c r="D269" s="74"/>
      <c r="E269" s="74"/>
      <c r="F269" s="74"/>
      <c r="G269" s="74"/>
      <c r="H269" s="74"/>
      <c r="I269" s="74"/>
      <c r="J269" s="74"/>
      <c r="K269" s="192"/>
      <c r="L269" s="192"/>
      <c r="M269" s="75"/>
      <c r="N269" s="2"/>
      <c r="O269" s="2"/>
      <c r="P269" s="2"/>
      <c r="Q269" s="2"/>
      <c r="R269" s="2"/>
    </row>
    <row r="270" spans="1:18" x14ac:dyDescent="0.2">
      <c r="A270" s="2"/>
      <c r="B270" s="2"/>
      <c r="C270" s="74"/>
      <c r="D270" s="74"/>
      <c r="E270" s="74"/>
      <c r="F270" s="74"/>
      <c r="G270" s="74"/>
      <c r="H270" s="74"/>
      <c r="I270" s="74"/>
      <c r="J270" s="74"/>
      <c r="K270" s="192"/>
      <c r="L270" s="192"/>
      <c r="M270" s="75"/>
      <c r="N270" s="2"/>
      <c r="O270" s="2"/>
      <c r="P270" s="2"/>
      <c r="Q270" s="2"/>
      <c r="R270" s="2"/>
    </row>
    <row r="271" spans="1:18" x14ac:dyDescent="0.2">
      <c r="A271" s="2"/>
      <c r="B271" s="2"/>
      <c r="C271" s="74"/>
      <c r="D271" s="74"/>
      <c r="E271" s="74"/>
      <c r="F271" s="74"/>
      <c r="G271" s="74"/>
      <c r="H271" s="74"/>
      <c r="I271" s="74"/>
      <c r="J271" s="74"/>
      <c r="K271" s="192"/>
      <c r="L271" s="192"/>
      <c r="M271" s="75"/>
      <c r="N271" s="2"/>
      <c r="O271" s="2"/>
      <c r="P271" s="2"/>
      <c r="Q271" s="2"/>
      <c r="R271" s="2"/>
    </row>
    <row r="272" spans="1:18" x14ac:dyDescent="0.2">
      <c r="A272" s="2"/>
      <c r="B272" s="2"/>
      <c r="C272" s="74"/>
      <c r="D272" s="74"/>
      <c r="E272" s="74"/>
      <c r="F272" s="74"/>
      <c r="G272" s="74"/>
      <c r="H272" s="74"/>
      <c r="I272" s="74"/>
      <c r="J272" s="74"/>
      <c r="K272" s="192"/>
      <c r="L272" s="192"/>
      <c r="M272" s="75"/>
      <c r="N272" s="2"/>
      <c r="O272" s="2"/>
      <c r="P272" s="2"/>
      <c r="Q272" s="2"/>
      <c r="R272" s="2"/>
    </row>
    <row r="273" spans="1:18" x14ac:dyDescent="0.2">
      <c r="A273" s="2"/>
      <c r="B273" s="2"/>
      <c r="C273" s="74"/>
      <c r="D273" s="74"/>
      <c r="E273" s="74"/>
      <c r="F273" s="74"/>
      <c r="G273" s="74"/>
      <c r="H273" s="74"/>
      <c r="I273" s="74"/>
      <c r="J273" s="74"/>
      <c r="K273" s="192"/>
      <c r="L273" s="192"/>
      <c r="M273" s="75"/>
      <c r="N273" s="2"/>
      <c r="O273" s="2"/>
      <c r="P273" s="2"/>
      <c r="Q273" s="2"/>
      <c r="R273" s="2"/>
    </row>
    <row r="274" spans="1:18" x14ac:dyDescent="0.2">
      <c r="A274" s="2"/>
      <c r="B274" s="2"/>
      <c r="C274" s="74"/>
      <c r="D274" s="74"/>
      <c r="E274" s="74"/>
      <c r="F274" s="74"/>
      <c r="G274" s="74"/>
      <c r="H274" s="74"/>
      <c r="I274" s="74"/>
      <c r="J274" s="74"/>
      <c r="K274" s="192"/>
      <c r="L274" s="192"/>
      <c r="M274" s="75"/>
      <c r="N274" s="2"/>
      <c r="O274" s="2"/>
      <c r="P274" s="2"/>
      <c r="Q274" s="2"/>
      <c r="R274" s="2"/>
    </row>
    <row r="275" spans="1:18" x14ac:dyDescent="0.2">
      <c r="A275" s="2"/>
      <c r="B275" s="2"/>
      <c r="C275" s="74"/>
      <c r="D275" s="74"/>
      <c r="E275" s="74"/>
      <c r="F275" s="74"/>
      <c r="G275" s="74"/>
      <c r="H275" s="74"/>
      <c r="I275" s="74"/>
      <c r="J275" s="74"/>
      <c r="K275" s="192"/>
      <c r="L275" s="192"/>
      <c r="M275" s="75"/>
      <c r="N275" s="2"/>
      <c r="O275" s="2"/>
      <c r="P275" s="2"/>
      <c r="Q275" s="2"/>
      <c r="R275" s="2"/>
    </row>
    <row r="276" spans="1:18" x14ac:dyDescent="0.2">
      <c r="A276" s="2"/>
      <c r="B276" s="2"/>
      <c r="C276" s="74"/>
      <c r="D276" s="74"/>
      <c r="E276" s="74"/>
      <c r="F276" s="74"/>
      <c r="G276" s="74"/>
      <c r="H276" s="74"/>
      <c r="I276" s="74"/>
      <c r="J276" s="74"/>
      <c r="K276" s="192"/>
      <c r="L276" s="192"/>
      <c r="M276" s="75"/>
      <c r="N276" s="2"/>
      <c r="O276" s="2"/>
      <c r="P276" s="2"/>
      <c r="Q276" s="2"/>
      <c r="R276" s="2"/>
    </row>
    <row r="277" spans="1:18" x14ac:dyDescent="0.2">
      <c r="A277" s="2"/>
      <c r="B277" s="2"/>
      <c r="C277" s="74"/>
      <c r="D277" s="74"/>
      <c r="E277" s="74"/>
      <c r="F277" s="74"/>
      <c r="G277" s="74"/>
      <c r="H277" s="74"/>
      <c r="I277" s="74"/>
      <c r="J277" s="74"/>
      <c r="K277" s="192"/>
      <c r="L277" s="192"/>
      <c r="M277" s="75"/>
      <c r="N277" s="2"/>
      <c r="O277" s="2"/>
      <c r="P277" s="2"/>
      <c r="Q277" s="2"/>
      <c r="R277" s="2"/>
    </row>
    <row r="278" spans="1:18" x14ac:dyDescent="0.2">
      <c r="A278" s="2"/>
      <c r="B278" s="2"/>
      <c r="C278" s="74"/>
      <c r="D278" s="74"/>
      <c r="E278" s="74"/>
      <c r="F278" s="74"/>
      <c r="G278" s="74"/>
      <c r="H278" s="74"/>
      <c r="I278" s="74"/>
      <c r="J278" s="74"/>
      <c r="K278" s="192"/>
      <c r="L278" s="192"/>
      <c r="M278" s="75"/>
      <c r="N278" s="2"/>
      <c r="O278" s="2"/>
      <c r="P278" s="2"/>
      <c r="Q278" s="2"/>
      <c r="R278" s="2"/>
    </row>
    <row r="279" spans="1:18" x14ac:dyDescent="0.2">
      <c r="A279" s="2"/>
      <c r="B279" s="2"/>
      <c r="C279" s="74"/>
      <c r="D279" s="74"/>
      <c r="E279" s="74"/>
      <c r="F279" s="74"/>
      <c r="G279" s="74"/>
      <c r="H279" s="74"/>
      <c r="I279" s="74"/>
      <c r="J279" s="74"/>
      <c r="K279" s="192"/>
      <c r="L279" s="192"/>
      <c r="M279" s="75"/>
      <c r="N279" s="2"/>
      <c r="O279" s="2"/>
      <c r="P279" s="2"/>
      <c r="Q279" s="2"/>
      <c r="R279" s="2"/>
    </row>
    <row r="280" spans="1:18" x14ac:dyDescent="0.2">
      <c r="A280" s="2"/>
      <c r="B280" s="2"/>
      <c r="C280" s="74"/>
      <c r="D280" s="74"/>
      <c r="E280" s="74"/>
      <c r="F280" s="74"/>
      <c r="G280" s="74"/>
      <c r="H280" s="74"/>
      <c r="I280" s="74"/>
      <c r="J280" s="74"/>
      <c r="K280" s="192"/>
      <c r="L280" s="192"/>
      <c r="M280" s="75"/>
      <c r="N280" s="2"/>
      <c r="O280" s="2"/>
      <c r="P280" s="2"/>
      <c r="Q280" s="2"/>
      <c r="R280" s="2"/>
    </row>
    <row r="281" spans="1:18" x14ac:dyDescent="0.2">
      <c r="A281" s="2"/>
      <c r="B281" s="2"/>
      <c r="C281" s="74"/>
      <c r="D281" s="74"/>
      <c r="E281" s="74"/>
      <c r="F281" s="74"/>
      <c r="G281" s="74"/>
      <c r="H281" s="74"/>
      <c r="I281" s="74"/>
      <c r="J281" s="74"/>
      <c r="K281" s="192"/>
      <c r="L281" s="192"/>
      <c r="M281" s="75"/>
      <c r="N281" s="2"/>
      <c r="O281" s="2"/>
      <c r="P281" s="2"/>
      <c r="Q281" s="2"/>
      <c r="R281" s="2"/>
    </row>
    <row r="282" spans="1:18" x14ac:dyDescent="0.2">
      <c r="A282" s="2"/>
      <c r="B282" s="2"/>
      <c r="C282" s="74"/>
      <c r="D282" s="74"/>
      <c r="E282" s="74"/>
      <c r="F282" s="74"/>
      <c r="G282" s="74"/>
      <c r="H282" s="74"/>
      <c r="I282" s="74"/>
      <c r="J282" s="74"/>
      <c r="K282" s="192"/>
      <c r="L282" s="192"/>
      <c r="M282" s="75"/>
      <c r="N282" s="2"/>
      <c r="O282" s="2"/>
      <c r="P282" s="2"/>
      <c r="Q282" s="2"/>
      <c r="R282" s="2"/>
    </row>
    <row r="283" spans="1:18" x14ac:dyDescent="0.2">
      <c r="A283" s="2"/>
      <c r="B283" s="2"/>
      <c r="C283" s="74"/>
      <c r="D283" s="74"/>
      <c r="E283" s="74"/>
      <c r="F283" s="74"/>
      <c r="G283" s="74"/>
      <c r="H283" s="74"/>
      <c r="I283" s="74"/>
      <c r="J283" s="74"/>
      <c r="K283" s="192"/>
      <c r="L283" s="192"/>
      <c r="M283" s="75"/>
      <c r="N283" s="2"/>
      <c r="O283" s="2"/>
      <c r="P283" s="2"/>
      <c r="Q283" s="2"/>
      <c r="R283" s="2"/>
    </row>
    <row r="284" spans="1:18" x14ac:dyDescent="0.2">
      <c r="A284" s="2"/>
      <c r="B284" s="2"/>
      <c r="C284" s="74"/>
      <c r="D284" s="74"/>
      <c r="E284" s="74"/>
      <c r="F284" s="74"/>
      <c r="G284" s="74"/>
      <c r="H284" s="74"/>
      <c r="I284" s="74"/>
      <c r="J284" s="74"/>
      <c r="K284" s="192"/>
      <c r="L284" s="192"/>
      <c r="M284" s="75"/>
      <c r="N284" s="2"/>
      <c r="O284" s="2"/>
      <c r="P284" s="2"/>
      <c r="Q284" s="2"/>
      <c r="R284" s="2"/>
    </row>
    <row r="285" spans="1:18" x14ac:dyDescent="0.2">
      <c r="A285" s="2"/>
      <c r="B285" s="2"/>
      <c r="C285" s="74"/>
      <c r="D285" s="74"/>
      <c r="E285" s="74"/>
      <c r="F285" s="74"/>
      <c r="G285" s="74"/>
      <c r="H285" s="74"/>
      <c r="I285" s="74"/>
      <c r="J285" s="74"/>
      <c r="K285" s="192"/>
      <c r="L285" s="192"/>
      <c r="M285" s="75"/>
      <c r="N285" s="2"/>
      <c r="O285" s="2"/>
      <c r="P285" s="2"/>
      <c r="Q285" s="2"/>
      <c r="R285" s="2"/>
    </row>
    <row r="286" spans="1:18" x14ac:dyDescent="0.2">
      <c r="A286" s="2"/>
      <c r="B286" s="2"/>
      <c r="C286" s="74"/>
      <c r="D286" s="74"/>
      <c r="E286" s="74"/>
      <c r="F286" s="74"/>
      <c r="G286" s="74"/>
      <c r="H286" s="74"/>
      <c r="I286" s="74"/>
      <c r="J286" s="74"/>
      <c r="K286" s="192"/>
      <c r="L286" s="192"/>
      <c r="M286" s="75"/>
      <c r="N286" s="2"/>
      <c r="O286" s="2"/>
      <c r="P286" s="2"/>
      <c r="Q286" s="2"/>
      <c r="R286" s="2"/>
    </row>
    <row r="287" spans="1:18" x14ac:dyDescent="0.2">
      <c r="A287" s="2"/>
      <c r="B287" s="2"/>
      <c r="C287" s="74"/>
      <c r="D287" s="74"/>
      <c r="E287" s="74"/>
      <c r="F287" s="74"/>
      <c r="G287" s="74"/>
      <c r="H287" s="74"/>
      <c r="I287" s="74"/>
      <c r="J287" s="74"/>
      <c r="K287" s="192"/>
      <c r="L287" s="192"/>
      <c r="M287" s="75"/>
      <c r="N287" s="2"/>
      <c r="O287" s="2"/>
      <c r="P287" s="2"/>
      <c r="Q287" s="2"/>
      <c r="R287" s="2"/>
    </row>
    <row r="288" spans="1:18" x14ac:dyDescent="0.2">
      <c r="A288" s="2"/>
      <c r="B288" s="2"/>
      <c r="C288" s="74"/>
      <c r="D288" s="74"/>
      <c r="E288" s="74"/>
      <c r="F288" s="74"/>
      <c r="G288" s="74"/>
      <c r="H288" s="74"/>
      <c r="I288" s="74"/>
      <c r="J288" s="74"/>
      <c r="K288" s="192"/>
      <c r="L288" s="192"/>
      <c r="M288" s="75"/>
      <c r="N288" s="2"/>
      <c r="O288" s="2"/>
      <c r="P288" s="2"/>
      <c r="Q288" s="2"/>
      <c r="R288" s="2"/>
    </row>
    <row r="289" spans="1:18" x14ac:dyDescent="0.2">
      <c r="A289" s="2"/>
      <c r="B289" s="2"/>
      <c r="C289" s="74"/>
      <c r="D289" s="74"/>
      <c r="E289" s="74"/>
      <c r="F289" s="74"/>
      <c r="G289" s="74"/>
      <c r="H289" s="74"/>
      <c r="I289" s="74"/>
      <c r="J289" s="74"/>
      <c r="K289" s="192"/>
      <c r="L289" s="192"/>
      <c r="M289" s="75"/>
      <c r="N289" s="2"/>
      <c r="O289" s="2"/>
      <c r="P289" s="2"/>
      <c r="Q289" s="2"/>
      <c r="R289" s="2"/>
    </row>
    <row r="290" spans="1:18" x14ac:dyDescent="0.2">
      <c r="A290" s="2"/>
      <c r="B290" s="2"/>
      <c r="C290" s="74"/>
      <c r="D290" s="74"/>
      <c r="E290" s="74"/>
      <c r="F290" s="74"/>
      <c r="G290" s="74"/>
      <c r="H290" s="74"/>
      <c r="I290" s="74"/>
      <c r="J290" s="74"/>
      <c r="K290" s="192"/>
      <c r="L290" s="192"/>
      <c r="M290" s="75"/>
      <c r="N290" s="2"/>
      <c r="O290" s="2"/>
      <c r="P290" s="2"/>
      <c r="Q290" s="2"/>
      <c r="R290" s="2"/>
    </row>
    <row r="291" spans="1:18" x14ac:dyDescent="0.2">
      <c r="A291" s="2"/>
      <c r="B291" s="2"/>
      <c r="C291" s="74"/>
      <c r="D291" s="74"/>
      <c r="E291" s="74"/>
      <c r="F291" s="74"/>
      <c r="G291" s="74"/>
      <c r="H291" s="74"/>
      <c r="I291" s="74"/>
      <c r="J291" s="74"/>
      <c r="K291" s="192"/>
      <c r="L291" s="192"/>
      <c r="M291" s="75"/>
      <c r="N291" s="2"/>
      <c r="O291" s="2"/>
      <c r="P291" s="2"/>
      <c r="Q291" s="2"/>
      <c r="R291" s="2"/>
    </row>
    <row r="292" spans="1:18" x14ac:dyDescent="0.2">
      <c r="A292" s="2"/>
      <c r="B292" s="2"/>
      <c r="C292" s="74"/>
      <c r="D292" s="74"/>
      <c r="E292" s="74"/>
      <c r="F292" s="74"/>
      <c r="G292" s="74"/>
      <c r="H292" s="74"/>
      <c r="I292" s="74"/>
      <c r="J292" s="74"/>
      <c r="K292" s="192"/>
      <c r="L292" s="192"/>
      <c r="M292" s="75"/>
      <c r="N292" s="2"/>
      <c r="O292" s="2"/>
      <c r="P292" s="2"/>
      <c r="Q292" s="2"/>
      <c r="R292" s="2"/>
    </row>
    <row r="293" spans="1:18" x14ac:dyDescent="0.2">
      <c r="A293" s="2"/>
      <c r="B293" s="2"/>
      <c r="C293" s="74"/>
      <c r="D293" s="74"/>
      <c r="E293" s="74"/>
      <c r="F293" s="74"/>
      <c r="G293" s="74"/>
      <c r="H293" s="74"/>
      <c r="I293" s="74"/>
      <c r="J293" s="74"/>
      <c r="K293" s="192"/>
      <c r="L293" s="192"/>
      <c r="M293" s="75"/>
      <c r="N293" s="2"/>
      <c r="O293" s="2"/>
      <c r="P293" s="2"/>
      <c r="Q293" s="2"/>
      <c r="R293" s="2"/>
    </row>
    <row r="294" spans="1:18" x14ac:dyDescent="0.2">
      <c r="A294" s="2"/>
      <c r="B294" s="2"/>
      <c r="C294" s="74"/>
      <c r="D294" s="74"/>
      <c r="E294" s="74"/>
      <c r="F294" s="74"/>
      <c r="G294" s="74"/>
      <c r="H294" s="74"/>
      <c r="I294" s="74"/>
      <c r="J294" s="74"/>
      <c r="K294" s="192"/>
      <c r="L294" s="192"/>
      <c r="M294" s="75"/>
      <c r="N294" s="2"/>
      <c r="O294" s="2"/>
      <c r="P294" s="2"/>
      <c r="Q294" s="2"/>
      <c r="R294" s="2"/>
    </row>
    <row r="295" spans="1:18" x14ac:dyDescent="0.2">
      <c r="A295" s="2"/>
      <c r="B295" s="2"/>
      <c r="C295" s="74"/>
      <c r="D295" s="74"/>
      <c r="E295" s="74"/>
      <c r="F295" s="74"/>
      <c r="G295" s="74"/>
      <c r="H295" s="74"/>
      <c r="I295" s="74"/>
      <c r="J295" s="74"/>
      <c r="K295" s="192"/>
      <c r="L295" s="192"/>
      <c r="M295" s="75"/>
      <c r="N295" s="2"/>
      <c r="O295" s="2"/>
      <c r="P295" s="2"/>
      <c r="Q295" s="2"/>
      <c r="R295" s="2"/>
    </row>
    <row r="296" spans="1:18" x14ac:dyDescent="0.2">
      <c r="A296" s="2"/>
      <c r="B296" s="2"/>
      <c r="C296" s="74"/>
      <c r="D296" s="74"/>
      <c r="E296" s="74"/>
      <c r="F296" s="74"/>
      <c r="G296" s="74"/>
      <c r="H296" s="74"/>
      <c r="I296" s="74"/>
      <c r="J296" s="74"/>
      <c r="K296" s="192"/>
      <c r="L296" s="192"/>
      <c r="M296" s="75"/>
      <c r="N296" s="2"/>
      <c r="O296" s="2"/>
      <c r="P296" s="2"/>
      <c r="Q296" s="2"/>
      <c r="R296" s="2"/>
    </row>
    <row r="297" spans="1:18" x14ac:dyDescent="0.2">
      <c r="A297" s="2"/>
      <c r="B297" s="2"/>
      <c r="C297" s="74"/>
      <c r="D297" s="74"/>
      <c r="E297" s="74"/>
      <c r="F297" s="74"/>
      <c r="G297" s="74"/>
      <c r="H297" s="74"/>
      <c r="I297" s="74"/>
      <c r="J297" s="74"/>
      <c r="K297" s="192"/>
      <c r="L297" s="192"/>
      <c r="M297" s="75"/>
      <c r="N297" s="2"/>
      <c r="O297" s="2"/>
      <c r="P297" s="2"/>
      <c r="Q297" s="2"/>
      <c r="R297" s="2"/>
    </row>
    <row r="298" spans="1:18" x14ac:dyDescent="0.2">
      <c r="A298" s="2"/>
      <c r="B298" s="2"/>
      <c r="C298" s="74"/>
      <c r="D298" s="74"/>
      <c r="E298" s="74"/>
      <c r="F298" s="74"/>
      <c r="G298" s="74"/>
      <c r="H298" s="74"/>
      <c r="I298" s="74"/>
      <c r="J298" s="74"/>
      <c r="K298" s="192"/>
      <c r="L298" s="192"/>
      <c r="M298" s="75"/>
      <c r="N298" s="2"/>
      <c r="O298" s="2"/>
      <c r="P298" s="2"/>
      <c r="Q298" s="2"/>
      <c r="R298" s="2"/>
    </row>
    <row r="299" spans="1:18" x14ac:dyDescent="0.2">
      <c r="A299" s="2"/>
      <c r="B299" s="2"/>
      <c r="C299" s="74"/>
      <c r="D299" s="74"/>
      <c r="E299" s="74"/>
      <c r="F299" s="74"/>
      <c r="G299" s="74"/>
      <c r="H299" s="74"/>
      <c r="I299" s="74"/>
      <c r="J299" s="74"/>
      <c r="K299" s="192"/>
      <c r="L299" s="192"/>
      <c r="M299" s="75"/>
      <c r="N299" s="2"/>
      <c r="O299" s="2"/>
      <c r="P299" s="2"/>
      <c r="Q299" s="2"/>
      <c r="R299" s="2"/>
    </row>
    <row r="300" spans="1:18" x14ac:dyDescent="0.2">
      <c r="A300" s="2"/>
      <c r="B300" s="2"/>
      <c r="C300" s="74"/>
      <c r="D300" s="74"/>
      <c r="E300" s="74"/>
      <c r="F300" s="74"/>
      <c r="G300" s="74"/>
      <c r="H300" s="74"/>
      <c r="I300" s="74"/>
      <c r="J300" s="74"/>
      <c r="K300" s="192"/>
      <c r="L300" s="192"/>
      <c r="M300" s="75"/>
      <c r="N300" s="2"/>
      <c r="O300" s="2"/>
      <c r="P300" s="2"/>
      <c r="Q300" s="2"/>
      <c r="R300" s="2"/>
    </row>
    <row r="301" spans="1:18" x14ac:dyDescent="0.2">
      <c r="A301" s="2"/>
      <c r="B301" s="2"/>
      <c r="C301" s="74"/>
      <c r="D301" s="74"/>
      <c r="E301" s="74"/>
      <c r="F301" s="74"/>
      <c r="G301" s="74"/>
      <c r="H301" s="74"/>
      <c r="I301" s="74"/>
      <c r="J301" s="74"/>
      <c r="K301" s="192"/>
      <c r="L301" s="192"/>
      <c r="M301" s="75"/>
      <c r="N301" s="2"/>
      <c r="O301" s="2"/>
      <c r="P301" s="2"/>
      <c r="Q301" s="2"/>
      <c r="R301" s="2"/>
    </row>
    <row r="302" spans="1:18" x14ac:dyDescent="0.2">
      <c r="A302" s="2"/>
      <c r="B302" s="2"/>
      <c r="C302" s="74"/>
      <c r="D302" s="74"/>
      <c r="E302" s="74"/>
      <c r="F302" s="74"/>
      <c r="G302" s="74"/>
      <c r="H302" s="74"/>
      <c r="I302" s="74"/>
      <c r="J302" s="74"/>
      <c r="K302" s="192"/>
      <c r="L302" s="192"/>
      <c r="M302" s="75"/>
      <c r="N302" s="2"/>
      <c r="O302" s="2"/>
      <c r="P302" s="2"/>
      <c r="Q302" s="2"/>
      <c r="R302" s="2"/>
    </row>
    <row r="303" spans="1:18" x14ac:dyDescent="0.2">
      <c r="A303" s="2"/>
      <c r="B303" s="2"/>
      <c r="C303" s="74"/>
      <c r="D303" s="74"/>
      <c r="E303" s="74"/>
      <c r="F303" s="74"/>
      <c r="G303" s="74"/>
      <c r="H303" s="74"/>
      <c r="I303" s="74"/>
      <c r="J303" s="74"/>
      <c r="K303" s="192"/>
      <c r="L303" s="192"/>
      <c r="M303" s="75"/>
      <c r="N303" s="2"/>
      <c r="O303" s="2"/>
      <c r="P303" s="2"/>
      <c r="Q303" s="2"/>
      <c r="R303" s="2"/>
    </row>
    <row r="304" spans="1:18" x14ac:dyDescent="0.2">
      <c r="A304" s="2"/>
      <c r="B304" s="2"/>
      <c r="C304" s="74"/>
      <c r="D304" s="74"/>
      <c r="E304" s="74"/>
      <c r="F304" s="74"/>
      <c r="G304" s="74"/>
      <c r="H304" s="74"/>
      <c r="I304" s="74"/>
      <c r="J304" s="74"/>
      <c r="K304" s="192"/>
      <c r="L304" s="192"/>
      <c r="M304" s="75"/>
      <c r="N304" s="2"/>
      <c r="O304" s="2"/>
      <c r="P304" s="2"/>
      <c r="Q304" s="2"/>
      <c r="R304" s="2"/>
    </row>
    <row r="305" spans="1:18" x14ac:dyDescent="0.2">
      <c r="A305" s="2"/>
      <c r="B305" s="2"/>
      <c r="C305" s="74"/>
      <c r="D305" s="74"/>
      <c r="E305" s="74"/>
      <c r="F305" s="74"/>
      <c r="G305" s="74"/>
      <c r="H305" s="74"/>
      <c r="I305" s="74"/>
      <c r="J305" s="74"/>
      <c r="K305" s="192"/>
      <c r="L305" s="192"/>
      <c r="M305" s="75"/>
      <c r="N305" s="2"/>
      <c r="O305" s="2"/>
      <c r="P305" s="2"/>
      <c r="Q305" s="2"/>
      <c r="R305" s="2"/>
    </row>
    <row r="306" spans="1:18" x14ac:dyDescent="0.2">
      <c r="A306" s="2"/>
      <c r="B306" s="2"/>
      <c r="C306" s="74"/>
      <c r="D306" s="74"/>
      <c r="E306" s="74"/>
      <c r="F306" s="74"/>
      <c r="G306" s="74"/>
      <c r="H306" s="74"/>
      <c r="I306" s="74"/>
      <c r="J306" s="74"/>
      <c r="K306" s="192"/>
      <c r="L306" s="192"/>
      <c r="M306" s="75"/>
      <c r="N306" s="2"/>
      <c r="O306" s="2"/>
      <c r="P306" s="2"/>
      <c r="Q306" s="2"/>
      <c r="R306" s="2"/>
    </row>
    <row r="307" spans="1:18" x14ac:dyDescent="0.2">
      <c r="A307" s="2"/>
      <c r="B307" s="2"/>
      <c r="C307" s="74"/>
      <c r="D307" s="74"/>
      <c r="E307" s="74"/>
      <c r="F307" s="74"/>
      <c r="G307" s="74"/>
      <c r="H307" s="74"/>
      <c r="I307" s="74"/>
      <c r="J307" s="74"/>
      <c r="K307" s="192"/>
      <c r="L307" s="192"/>
      <c r="M307" s="75"/>
      <c r="N307" s="2"/>
      <c r="O307" s="2"/>
      <c r="P307" s="2"/>
      <c r="Q307" s="2"/>
      <c r="R307" s="2"/>
    </row>
    <row r="308" spans="1:18" x14ac:dyDescent="0.2">
      <c r="A308" s="2"/>
      <c r="B308" s="2"/>
      <c r="C308" s="74"/>
      <c r="D308" s="74"/>
      <c r="E308" s="74"/>
      <c r="F308" s="74"/>
      <c r="G308" s="74"/>
      <c r="H308" s="74"/>
      <c r="I308" s="74"/>
      <c r="J308" s="74"/>
      <c r="K308" s="192"/>
      <c r="L308" s="192"/>
      <c r="M308" s="75"/>
      <c r="N308" s="2"/>
      <c r="O308" s="2"/>
      <c r="P308" s="2"/>
      <c r="Q308" s="2"/>
      <c r="R308" s="2"/>
    </row>
    <row r="309" spans="1:18" x14ac:dyDescent="0.2">
      <c r="A309" s="2"/>
      <c r="B309" s="2"/>
      <c r="C309" s="74"/>
      <c r="D309" s="74"/>
      <c r="E309" s="74"/>
      <c r="F309" s="74"/>
      <c r="G309" s="74"/>
      <c r="H309" s="74"/>
      <c r="I309" s="74"/>
      <c r="J309" s="74"/>
      <c r="K309" s="192"/>
      <c r="L309" s="192"/>
      <c r="M309" s="75"/>
      <c r="N309" s="2"/>
      <c r="O309" s="2"/>
      <c r="P309" s="2"/>
      <c r="Q309" s="2"/>
      <c r="R309" s="2"/>
    </row>
    <row r="310" spans="1:18" x14ac:dyDescent="0.2">
      <c r="A310" s="2"/>
      <c r="B310" s="2"/>
      <c r="C310" s="74"/>
      <c r="D310" s="74"/>
      <c r="E310" s="74"/>
      <c r="F310" s="74"/>
      <c r="G310" s="74"/>
      <c r="H310" s="74"/>
      <c r="I310" s="74"/>
      <c r="J310" s="74"/>
      <c r="K310" s="192"/>
      <c r="L310" s="192"/>
      <c r="M310" s="75"/>
      <c r="N310" s="2"/>
      <c r="O310" s="2"/>
      <c r="P310" s="2"/>
      <c r="Q310" s="2"/>
      <c r="R310" s="2"/>
    </row>
    <row r="311" spans="1:18" x14ac:dyDescent="0.2">
      <c r="A311" s="2"/>
      <c r="B311" s="2"/>
      <c r="C311" s="74"/>
      <c r="D311" s="74"/>
      <c r="E311" s="74"/>
      <c r="F311" s="74"/>
      <c r="G311" s="74"/>
      <c r="H311" s="74"/>
      <c r="I311" s="74"/>
      <c r="J311" s="74"/>
      <c r="K311" s="192"/>
      <c r="L311" s="192"/>
      <c r="M311" s="75"/>
      <c r="N311" s="2"/>
      <c r="O311" s="2"/>
      <c r="P311" s="2"/>
      <c r="Q311" s="2"/>
      <c r="R311" s="2"/>
    </row>
    <row r="312" spans="1:18" x14ac:dyDescent="0.2">
      <c r="A312" s="2"/>
      <c r="B312" s="2"/>
      <c r="C312" s="74"/>
      <c r="D312" s="74"/>
      <c r="E312" s="74"/>
      <c r="F312" s="74"/>
      <c r="G312" s="74"/>
      <c r="H312" s="74"/>
      <c r="I312" s="74"/>
      <c r="J312" s="74"/>
      <c r="K312" s="192"/>
      <c r="L312" s="192"/>
      <c r="M312" s="75"/>
      <c r="N312" s="2"/>
      <c r="O312" s="2"/>
      <c r="P312" s="2"/>
      <c r="Q312" s="2"/>
      <c r="R312" s="2"/>
    </row>
    <row r="313" spans="1:18" x14ac:dyDescent="0.2">
      <c r="A313" s="2"/>
      <c r="B313" s="2"/>
      <c r="C313" s="74"/>
      <c r="D313" s="74"/>
      <c r="E313" s="74"/>
      <c r="F313" s="74"/>
      <c r="G313" s="74"/>
      <c r="H313" s="74"/>
      <c r="I313" s="74"/>
      <c r="J313" s="74"/>
      <c r="K313" s="192"/>
      <c r="L313" s="192"/>
      <c r="M313" s="75"/>
      <c r="N313" s="2"/>
      <c r="O313" s="2"/>
      <c r="P313" s="2"/>
      <c r="Q313" s="2"/>
      <c r="R313" s="2"/>
    </row>
    <row r="314" spans="1:18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192"/>
      <c r="L314" s="192"/>
      <c r="M314" s="75"/>
      <c r="N314" s="2"/>
      <c r="O314" s="2"/>
      <c r="P314" s="2"/>
      <c r="Q314" s="2"/>
      <c r="R314" s="2"/>
    </row>
    <row r="315" spans="1:18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192"/>
      <c r="L315" s="192"/>
      <c r="M315" s="75"/>
      <c r="N315" s="2"/>
      <c r="O315" s="2"/>
      <c r="P315" s="2"/>
      <c r="Q315" s="2"/>
      <c r="R315" s="2"/>
    </row>
    <row r="316" spans="1:18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192"/>
      <c r="L316" s="192"/>
      <c r="M316" s="75"/>
      <c r="N316" s="2"/>
      <c r="O316" s="2"/>
      <c r="P316" s="2"/>
      <c r="Q316" s="2"/>
      <c r="R316" s="2"/>
    </row>
    <row r="317" spans="1:18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192"/>
      <c r="L317" s="192"/>
      <c r="M317" s="75"/>
      <c r="N317" s="2"/>
      <c r="O317" s="2"/>
      <c r="P317" s="2"/>
      <c r="Q317" s="2"/>
      <c r="R317" s="2"/>
    </row>
    <row r="318" spans="1:18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192"/>
      <c r="L318" s="192"/>
      <c r="M318" s="75"/>
      <c r="N318" s="2"/>
      <c r="O318" s="2"/>
      <c r="P318" s="2"/>
      <c r="Q318" s="2"/>
      <c r="R318" s="2"/>
    </row>
    <row r="319" spans="1:18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192"/>
      <c r="L319" s="192"/>
      <c r="M319" s="75"/>
      <c r="N319" s="2"/>
      <c r="O319" s="2"/>
      <c r="P319" s="2"/>
      <c r="Q319" s="2"/>
      <c r="R319" s="2"/>
    </row>
    <row r="320" spans="1:18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192"/>
      <c r="L320" s="192"/>
      <c r="M320" s="75"/>
      <c r="N320" s="2"/>
      <c r="O320" s="2"/>
      <c r="P320" s="2"/>
      <c r="Q320" s="2"/>
      <c r="R320" s="2"/>
    </row>
    <row r="321" spans="1:18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192"/>
      <c r="L321" s="192"/>
      <c r="M321" s="75"/>
      <c r="N321" s="2"/>
      <c r="O321" s="2"/>
      <c r="P321" s="2"/>
      <c r="Q321" s="2"/>
      <c r="R321" s="2"/>
    </row>
    <row r="322" spans="1:18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192"/>
      <c r="L322" s="192"/>
      <c r="M322" s="75"/>
      <c r="N322" s="2"/>
      <c r="O322" s="2"/>
      <c r="P322" s="2"/>
      <c r="Q322" s="2"/>
      <c r="R322" s="2"/>
    </row>
    <row r="323" spans="1:18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192"/>
      <c r="L323" s="192"/>
      <c r="M323" s="75"/>
      <c r="N323" s="2"/>
      <c r="O323" s="2"/>
      <c r="P323" s="2"/>
      <c r="Q323" s="2"/>
      <c r="R323" s="2"/>
    </row>
    <row r="324" spans="1:18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192"/>
      <c r="L324" s="192"/>
      <c r="M324" s="75"/>
      <c r="N324" s="2"/>
      <c r="O324" s="2"/>
      <c r="P324" s="2"/>
      <c r="Q324" s="2"/>
      <c r="R324" s="2"/>
    </row>
    <row r="325" spans="1:18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192"/>
      <c r="L325" s="192"/>
      <c r="M325" s="75"/>
      <c r="N325" s="2"/>
      <c r="O325" s="2"/>
      <c r="P325" s="2"/>
      <c r="Q325" s="2"/>
      <c r="R325" s="2"/>
    </row>
    <row r="326" spans="1:18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192"/>
      <c r="L326" s="192"/>
      <c r="M326" s="75"/>
      <c r="N326" s="2"/>
      <c r="O326" s="2"/>
      <c r="P326" s="2"/>
      <c r="Q326" s="2"/>
      <c r="R326" s="2"/>
    </row>
    <row r="327" spans="1:18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192"/>
      <c r="L327" s="192"/>
      <c r="M327" s="75"/>
      <c r="N327" s="2"/>
      <c r="O327" s="2"/>
      <c r="P327" s="2"/>
      <c r="Q327" s="2"/>
      <c r="R327" s="2"/>
    </row>
    <row r="328" spans="1:18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192"/>
      <c r="L328" s="192"/>
      <c r="M328" s="75"/>
      <c r="N328" s="2"/>
      <c r="O328" s="2"/>
      <c r="P328" s="2"/>
      <c r="Q328" s="2"/>
      <c r="R328" s="2"/>
    </row>
    <row r="329" spans="1:18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192"/>
      <c r="L329" s="192"/>
      <c r="M329" s="75"/>
      <c r="N329" s="2"/>
      <c r="O329" s="2"/>
      <c r="P329" s="2"/>
      <c r="Q329" s="2"/>
      <c r="R329" s="2"/>
    </row>
    <row r="330" spans="1:18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192"/>
      <c r="L330" s="192"/>
      <c r="M330" s="75"/>
      <c r="N330" s="2"/>
      <c r="O330" s="2"/>
      <c r="P330" s="2"/>
      <c r="Q330" s="2"/>
      <c r="R330" s="2"/>
    </row>
    <row r="331" spans="1:18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192"/>
      <c r="L331" s="192"/>
      <c r="M331" s="75"/>
      <c r="N331" s="2"/>
      <c r="O331" s="2"/>
      <c r="P331" s="2"/>
      <c r="Q331" s="2"/>
      <c r="R331" s="2"/>
    </row>
    <row r="332" spans="1:18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192"/>
      <c r="L332" s="192"/>
      <c r="M332" s="75"/>
      <c r="N332" s="2"/>
      <c r="O332" s="2"/>
      <c r="P332" s="2"/>
      <c r="Q332" s="2"/>
      <c r="R332" s="2"/>
    </row>
    <row r="333" spans="1:18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192"/>
      <c r="L333" s="192"/>
      <c r="M333" s="75"/>
      <c r="N333" s="2"/>
      <c r="O333" s="2"/>
      <c r="P333" s="2"/>
      <c r="Q333" s="2"/>
      <c r="R333" s="2"/>
    </row>
    <row r="334" spans="1:18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192"/>
      <c r="L334" s="192"/>
      <c r="M334" s="75"/>
      <c r="N334" s="2"/>
      <c r="O334" s="2"/>
      <c r="P334" s="2"/>
      <c r="Q334" s="2"/>
      <c r="R334" s="2"/>
    </row>
    <row r="335" spans="1:18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192"/>
      <c r="L335" s="192"/>
      <c r="M335" s="75"/>
      <c r="N335" s="2"/>
      <c r="O335" s="2"/>
      <c r="P335" s="2"/>
      <c r="Q335" s="2"/>
      <c r="R335" s="2"/>
    </row>
    <row r="336" spans="1:18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192"/>
      <c r="L336" s="192"/>
      <c r="M336" s="75"/>
      <c r="N336" s="2"/>
      <c r="O336" s="2"/>
      <c r="P336" s="2"/>
      <c r="Q336" s="2"/>
      <c r="R336" s="2"/>
    </row>
    <row r="337" spans="1:18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192"/>
      <c r="L337" s="192"/>
      <c r="M337" s="75"/>
      <c r="N337" s="2"/>
      <c r="O337" s="2"/>
      <c r="P337" s="2"/>
      <c r="Q337" s="2"/>
      <c r="R337" s="2"/>
    </row>
    <row r="338" spans="1:18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192"/>
      <c r="L338" s="192"/>
      <c r="M338" s="75"/>
      <c r="N338" s="2"/>
      <c r="O338" s="2"/>
      <c r="P338" s="2"/>
      <c r="Q338" s="2"/>
      <c r="R338" s="2"/>
    </row>
    <row r="339" spans="1:18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192"/>
      <c r="L339" s="192"/>
      <c r="M339" s="75"/>
      <c r="N339" s="2"/>
      <c r="O339" s="2"/>
      <c r="P339" s="2"/>
      <c r="Q339" s="2"/>
      <c r="R339" s="2"/>
    </row>
    <row r="340" spans="1:18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192"/>
      <c r="L340" s="192"/>
      <c r="M340" s="75"/>
      <c r="N340" s="2"/>
      <c r="O340" s="2"/>
      <c r="P340" s="2"/>
      <c r="Q340" s="2"/>
      <c r="R340" s="2"/>
    </row>
    <row r="341" spans="1:18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192"/>
      <c r="L341" s="192"/>
      <c r="M341" s="75"/>
      <c r="N341" s="2"/>
      <c r="O341" s="2"/>
      <c r="P341" s="2"/>
      <c r="Q341" s="2"/>
      <c r="R341" s="2"/>
    </row>
    <row r="342" spans="1:18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192"/>
      <c r="L342" s="192"/>
      <c r="M342" s="75"/>
      <c r="N342" s="2"/>
      <c r="O342" s="2"/>
      <c r="P342" s="2"/>
      <c r="Q342" s="2"/>
      <c r="R342" s="2"/>
    </row>
    <row r="343" spans="1:18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192"/>
      <c r="L343" s="192"/>
      <c r="M343" s="75"/>
      <c r="N343" s="2"/>
      <c r="O343" s="2"/>
      <c r="P343" s="2"/>
      <c r="Q343" s="2"/>
      <c r="R343" s="2"/>
    </row>
    <row r="344" spans="1:18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192"/>
      <c r="L344" s="192"/>
      <c r="M344" s="75"/>
      <c r="N344" s="2"/>
      <c r="O344" s="2"/>
      <c r="P344" s="2"/>
      <c r="Q344" s="2"/>
      <c r="R344" s="2"/>
    </row>
    <row r="345" spans="1:18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192"/>
      <c r="L345" s="192"/>
      <c r="M345" s="75"/>
      <c r="N345" s="2"/>
      <c r="O345" s="2"/>
      <c r="P345" s="2"/>
      <c r="Q345" s="2"/>
      <c r="R345" s="2"/>
    </row>
    <row r="346" spans="1:18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192"/>
      <c r="L346" s="192"/>
      <c r="M346" s="75"/>
      <c r="N346" s="2"/>
      <c r="O346" s="2"/>
      <c r="P346" s="2"/>
      <c r="Q346" s="2"/>
      <c r="R346" s="2"/>
    </row>
    <row r="347" spans="1:18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192"/>
      <c r="L347" s="192"/>
      <c r="M347" s="75"/>
      <c r="N347" s="2"/>
      <c r="O347" s="2"/>
      <c r="P347" s="2"/>
      <c r="Q347" s="2"/>
      <c r="R347" s="2"/>
    </row>
    <row r="348" spans="1:18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192"/>
      <c r="L348" s="192"/>
      <c r="M348" s="75"/>
      <c r="N348" s="2"/>
      <c r="O348" s="2"/>
      <c r="P348" s="2"/>
      <c r="Q348" s="2"/>
      <c r="R348" s="2"/>
    </row>
    <row r="349" spans="1:18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192"/>
      <c r="L349" s="192"/>
      <c r="M349" s="75"/>
      <c r="N349" s="2"/>
      <c r="O349" s="2"/>
      <c r="P349" s="2"/>
      <c r="Q349" s="2"/>
      <c r="R349" s="2"/>
    </row>
    <row r="350" spans="1:18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192"/>
      <c r="L350" s="192"/>
      <c r="M350" s="75"/>
      <c r="N350" s="2"/>
      <c r="O350" s="2"/>
      <c r="P350" s="2"/>
      <c r="Q350" s="2"/>
      <c r="R350" s="2"/>
    </row>
    <row r="351" spans="1:18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192"/>
      <c r="L351" s="192"/>
      <c r="M351" s="75"/>
      <c r="N351" s="2"/>
      <c r="O351" s="2"/>
      <c r="P351" s="2"/>
      <c r="Q351" s="2"/>
      <c r="R351" s="2"/>
    </row>
    <row r="352" spans="1:18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192"/>
      <c r="L352" s="192"/>
      <c r="M352" s="75"/>
      <c r="N352" s="2"/>
      <c r="O352" s="2"/>
      <c r="P352" s="2"/>
      <c r="Q352" s="2"/>
      <c r="R352" s="2"/>
    </row>
    <row r="353" spans="1:18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192"/>
      <c r="L353" s="192"/>
      <c r="M353" s="75"/>
      <c r="N353" s="2"/>
      <c r="O353" s="2"/>
      <c r="P353" s="2"/>
      <c r="Q353" s="2"/>
      <c r="R353" s="2"/>
    </row>
    <row r="354" spans="1:18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192"/>
      <c r="L354" s="192"/>
      <c r="M354" s="75"/>
      <c r="N354" s="2"/>
      <c r="O354" s="2"/>
      <c r="P354" s="2"/>
      <c r="Q354" s="2"/>
      <c r="R354" s="2"/>
    </row>
    <row r="355" spans="1:18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192"/>
      <c r="L355" s="192"/>
      <c r="M355" s="75"/>
      <c r="N355" s="2"/>
      <c r="O355" s="2"/>
      <c r="P355" s="2"/>
      <c r="Q355" s="2"/>
      <c r="R355" s="2"/>
    </row>
    <row r="356" spans="1:18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192"/>
      <c r="L356" s="192"/>
      <c r="M356" s="75"/>
      <c r="N356" s="2"/>
      <c r="O356" s="2"/>
      <c r="P356" s="2"/>
      <c r="Q356" s="2"/>
      <c r="R356" s="2"/>
    </row>
    <row r="357" spans="1:18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192"/>
      <c r="L357" s="192"/>
      <c r="M357" s="75"/>
      <c r="N357" s="2"/>
      <c r="O357" s="2"/>
      <c r="P357" s="2"/>
      <c r="Q357" s="2"/>
      <c r="R357" s="2"/>
    </row>
    <row r="358" spans="1:18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192"/>
      <c r="L358" s="192"/>
      <c r="M358" s="75"/>
      <c r="N358" s="2"/>
      <c r="O358" s="2"/>
      <c r="P358" s="2"/>
      <c r="Q358" s="2"/>
      <c r="R358" s="2"/>
    </row>
    <row r="359" spans="1:18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192"/>
      <c r="L359" s="192"/>
      <c r="M359" s="75"/>
      <c r="N359" s="2"/>
      <c r="O359" s="2"/>
      <c r="P359" s="2"/>
      <c r="Q359" s="2"/>
      <c r="R359" s="2"/>
    </row>
    <row r="360" spans="1:18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192"/>
      <c r="L360" s="192"/>
      <c r="M360" s="75"/>
      <c r="N360" s="2"/>
      <c r="O360" s="2"/>
      <c r="P360" s="2"/>
      <c r="Q360" s="2"/>
      <c r="R360" s="2"/>
    </row>
    <row r="361" spans="1:18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192"/>
      <c r="L361" s="192"/>
      <c r="M361" s="75"/>
      <c r="N361" s="2"/>
      <c r="O361" s="2"/>
      <c r="P361" s="2"/>
      <c r="Q361" s="2"/>
      <c r="R361" s="2"/>
    </row>
    <row r="362" spans="1:18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192"/>
      <c r="L362" s="192"/>
      <c r="M362" s="75"/>
      <c r="N362" s="2"/>
      <c r="O362" s="2"/>
      <c r="P362" s="2"/>
      <c r="Q362" s="2"/>
      <c r="R362" s="2"/>
    </row>
    <row r="363" spans="1:18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192"/>
      <c r="L363" s="192"/>
      <c r="M363" s="75"/>
      <c r="N363" s="2"/>
      <c r="O363" s="2"/>
      <c r="P363" s="2"/>
      <c r="Q363" s="2"/>
      <c r="R363" s="2"/>
    </row>
    <row r="364" spans="1:18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192"/>
      <c r="L364" s="192"/>
      <c r="M364" s="75"/>
      <c r="N364" s="2"/>
      <c r="O364" s="2"/>
      <c r="P364" s="2"/>
      <c r="Q364" s="2"/>
      <c r="R364" s="2"/>
    </row>
    <row r="365" spans="1:18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192"/>
      <c r="L365" s="192"/>
      <c r="M365" s="75"/>
      <c r="N365" s="2"/>
      <c r="O365" s="2"/>
      <c r="P365" s="2"/>
      <c r="Q365" s="2"/>
      <c r="R365" s="2"/>
    </row>
    <row r="366" spans="1:18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192"/>
      <c r="L366" s="192"/>
      <c r="M366" s="75"/>
      <c r="N366" s="2"/>
      <c r="O366" s="2"/>
      <c r="P366" s="2"/>
      <c r="Q366" s="2"/>
      <c r="R366" s="2"/>
    </row>
    <row r="367" spans="1:18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192"/>
      <c r="L367" s="192"/>
      <c r="M367" s="75"/>
      <c r="N367" s="2"/>
      <c r="O367" s="2"/>
      <c r="P367" s="2"/>
      <c r="Q367" s="2"/>
      <c r="R367" s="2"/>
    </row>
    <row r="368" spans="1:18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192"/>
      <c r="L368" s="192"/>
      <c r="M368" s="75"/>
      <c r="N368" s="2"/>
      <c r="O368" s="2"/>
      <c r="P368" s="2"/>
      <c r="Q368" s="2"/>
      <c r="R368" s="2"/>
    </row>
    <row r="369" spans="1:18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192"/>
      <c r="L369" s="192"/>
      <c r="M369" s="75"/>
      <c r="N369" s="2"/>
      <c r="O369" s="2"/>
      <c r="P369" s="2"/>
      <c r="Q369" s="2"/>
      <c r="R369" s="2"/>
    </row>
    <row r="370" spans="1:18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192"/>
      <c r="L370" s="192"/>
      <c r="M370" s="75"/>
      <c r="N370" s="2"/>
      <c r="O370" s="2"/>
      <c r="P370" s="2"/>
      <c r="Q370" s="2"/>
      <c r="R370" s="2"/>
    </row>
    <row r="371" spans="1:18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192"/>
      <c r="L371" s="192"/>
      <c r="M371" s="75"/>
      <c r="N371" s="2"/>
      <c r="O371" s="2"/>
      <c r="P371" s="2"/>
      <c r="Q371" s="2"/>
      <c r="R371" s="2"/>
    </row>
    <row r="372" spans="1:18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192"/>
      <c r="L372" s="192"/>
      <c r="M372" s="75"/>
      <c r="N372" s="2"/>
      <c r="O372" s="2"/>
      <c r="P372" s="2"/>
      <c r="Q372" s="2"/>
      <c r="R372" s="2"/>
    </row>
    <row r="373" spans="1:18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192"/>
      <c r="L373" s="192"/>
      <c r="M373" s="75"/>
      <c r="N373" s="2"/>
      <c r="O373" s="2"/>
      <c r="P373" s="2"/>
      <c r="Q373" s="2"/>
      <c r="R373" s="2"/>
    </row>
    <row r="374" spans="1:18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192"/>
      <c r="L374" s="192"/>
      <c r="M374" s="75"/>
      <c r="N374" s="2"/>
      <c r="O374" s="2"/>
      <c r="P374" s="2"/>
      <c r="Q374" s="2"/>
      <c r="R374" s="2"/>
    </row>
    <row r="375" spans="1:18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192"/>
      <c r="L375" s="192"/>
      <c r="M375" s="75"/>
      <c r="N375" s="2"/>
      <c r="O375" s="2"/>
      <c r="P375" s="2"/>
      <c r="Q375" s="2"/>
      <c r="R375" s="2"/>
    </row>
    <row r="376" spans="1:18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192"/>
      <c r="L376" s="192"/>
      <c r="M376" s="75"/>
      <c r="N376" s="2"/>
      <c r="O376" s="2"/>
      <c r="P376" s="2"/>
      <c r="Q376" s="2"/>
      <c r="R376" s="2"/>
    </row>
    <row r="377" spans="1:18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192"/>
      <c r="L377" s="192"/>
      <c r="M377" s="75"/>
      <c r="N377" s="2"/>
      <c r="O377" s="2"/>
      <c r="P377" s="2"/>
      <c r="Q377" s="2"/>
      <c r="R377" s="2"/>
    </row>
    <row r="378" spans="1:18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192"/>
      <c r="L378" s="192"/>
      <c r="M378" s="75"/>
      <c r="N378" s="2"/>
      <c r="O378" s="2"/>
      <c r="P378" s="2"/>
      <c r="Q378" s="2"/>
      <c r="R378" s="2"/>
    </row>
    <row r="379" spans="1:18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192"/>
      <c r="L379" s="192"/>
      <c r="M379" s="75"/>
      <c r="N379" s="2"/>
      <c r="O379" s="2"/>
      <c r="P379" s="2"/>
      <c r="Q379" s="2"/>
      <c r="R379" s="2"/>
    </row>
    <row r="380" spans="1:18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192"/>
      <c r="L380" s="192"/>
      <c r="M380" s="75"/>
      <c r="N380" s="2"/>
      <c r="O380" s="2"/>
      <c r="P380" s="2"/>
      <c r="Q380" s="2"/>
      <c r="R380" s="2"/>
    </row>
    <row r="381" spans="1:18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192"/>
      <c r="L381" s="192"/>
      <c r="M381" s="75"/>
      <c r="N381" s="2"/>
      <c r="O381" s="2"/>
      <c r="P381" s="2"/>
      <c r="Q381" s="2"/>
      <c r="R381" s="2"/>
    </row>
    <row r="382" spans="1:18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192"/>
      <c r="L382" s="192"/>
      <c r="M382" s="75"/>
      <c r="N382" s="2"/>
      <c r="O382" s="2"/>
      <c r="P382" s="2"/>
      <c r="Q382" s="2"/>
      <c r="R382" s="2"/>
    </row>
    <row r="383" spans="1:18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192"/>
      <c r="L383" s="192"/>
      <c r="M383" s="75"/>
      <c r="N383" s="2"/>
      <c r="O383" s="2"/>
      <c r="P383" s="2"/>
      <c r="Q383" s="2"/>
      <c r="R383" s="2"/>
    </row>
    <row r="384" spans="1:18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192"/>
      <c r="L384" s="192"/>
      <c r="M384" s="75"/>
      <c r="N384" s="2"/>
      <c r="O384" s="2"/>
      <c r="P384" s="2"/>
      <c r="Q384" s="2"/>
      <c r="R384" s="2"/>
    </row>
    <row r="385" spans="1:18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192"/>
      <c r="L385" s="192"/>
      <c r="M385" s="75"/>
      <c r="N385" s="2"/>
      <c r="O385" s="2"/>
      <c r="P385" s="2"/>
      <c r="Q385" s="2"/>
      <c r="R385" s="2"/>
    </row>
    <row r="386" spans="1:18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192"/>
      <c r="L386" s="192"/>
      <c r="M386" s="75"/>
      <c r="N386" s="2"/>
      <c r="O386" s="2"/>
      <c r="P386" s="2"/>
      <c r="Q386" s="2"/>
      <c r="R386" s="2"/>
    </row>
    <row r="387" spans="1:18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192"/>
      <c r="L387" s="192"/>
      <c r="M387" s="75"/>
      <c r="N387" s="2"/>
      <c r="O387" s="2"/>
      <c r="P387" s="2"/>
      <c r="Q387" s="2"/>
      <c r="R387" s="2"/>
    </row>
    <row r="388" spans="1:18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192"/>
      <c r="L388" s="192"/>
      <c r="M388" s="75"/>
      <c r="N388" s="2"/>
      <c r="O388" s="2"/>
      <c r="P388" s="2"/>
      <c r="Q388" s="2"/>
      <c r="R388" s="2"/>
    </row>
    <row r="389" spans="1:18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192"/>
      <c r="L389" s="192"/>
      <c r="M389" s="75"/>
      <c r="N389" s="2"/>
      <c r="O389" s="2"/>
      <c r="P389" s="2"/>
      <c r="Q389" s="2"/>
      <c r="R389" s="2"/>
    </row>
    <row r="390" spans="1:18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192"/>
      <c r="L390" s="192"/>
      <c r="M390" s="75"/>
      <c r="N390" s="2"/>
      <c r="O390" s="2"/>
      <c r="P390" s="2"/>
      <c r="Q390" s="2"/>
      <c r="R390" s="2"/>
    </row>
    <row r="391" spans="1:18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192"/>
      <c r="L391" s="192"/>
      <c r="M391" s="75"/>
      <c r="N391" s="2"/>
      <c r="O391" s="2"/>
      <c r="P391" s="2"/>
      <c r="Q391" s="2"/>
      <c r="R391" s="2"/>
    </row>
    <row r="392" spans="1:18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192"/>
      <c r="L392" s="192"/>
      <c r="M392" s="75"/>
      <c r="N392" s="2"/>
      <c r="O392" s="2"/>
      <c r="P392" s="2"/>
      <c r="Q392" s="2"/>
      <c r="R392" s="2"/>
    </row>
    <row r="393" spans="1:18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192"/>
      <c r="L393" s="192"/>
      <c r="M393" s="75"/>
      <c r="N393" s="2"/>
      <c r="O393" s="2"/>
      <c r="P393" s="2"/>
      <c r="Q393" s="2"/>
      <c r="R393" s="2"/>
    </row>
    <row r="394" spans="1:18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192"/>
      <c r="L394" s="192"/>
      <c r="M394" s="75"/>
      <c r="N394" s="2"/>
      <c r="O394" s="2"/>
      <c r="P394" s="2"/>
      <c r="Q394" s="2"/>
      <c r="R394" s="2"/>
    </row>
    <row r="395" spans="1:18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192"/>
      <c r="L395" s="192"/>
      <c r="M395" s="75"/>
      <c r="N395" s="2"/>
      <c r="O395" s="2"/>
      <c r="P395" s="2"/>
      <c r="Q395" s="2"/>
      <c r="R395" s="2"/>
    </row>
    <row r="396" spans="1:18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192"/>
      <c r="L396" s="192"/>
      <c r="M396" s="75"/>
      <c r="N396" s="2"/>
      <c r="O396" s="2"/>
      <c r="P396" s="2"/>
      <c r="Q396" s="2"/>
      <c r="R396" s="2"/>
    </row>
    <row r="397" spans="1:18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192"/>
      <c r="L397" s="192"/>
      <c r="M397" s="75"/>
      <c r="N397" s="2"/>
      <c r="O397" s="2"/>
      <c r="P397" s="2"/>
      <c r="Q397" s="2"/>
      <c r="R397" s="2"/>
    </row>
    <row r="398" spans="1:18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192"/>
      <c r="L398" s="192"/>
      <c r="M398" s="75"/>
      <c r="N398" s="2"/>
      <c r="O398" s="2"/>
      <c r="P398" s="2"/>
      <c r="Q398" s="2"/>
      <c r="R398" s="2"/>
    </row>
    <row r="399" spans="1:18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192"/>
      <c r="L399" s="192"/>
      <c r="M399" s="75"/>
      <c r="N399" s="2"/>
      <c r="O399" s="2"/>
      <c r="P399" s="2"/>
      <c r="Q399" s="2"/>
      <c r="R399" s="2"/>
    </row>
    <row r="400" spans="1:18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192"/>
      <c r="L400" s="192"/>
      <c r="M400" s="75"/>
      <c r="N400" s="2"/>
      <c r="O400" s="2"/>
      <c r="P400" s="2"/>
      <c r="Q400" s="2"/>
      <c r="R400" s="2"/>
    </row>
    <row r="401" spans="1:18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192"/>
      <c r="L401" s="192"/>
      <c r="M401" s="75"/>
      <c r="N401" s="2"/>
      <c r="O401" s="2"/>
      <c r="P401" s="2"/>
      <c r="Q401" s="2"/>
      <c r="R401" s="2"/>
    </row>
    <row r="402" spans="1:18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192"/>
      <c r="L402" s="192"/>
      <c r="M402" s="75"/>
      <c r="N402" s="2"/>
      <c r="O402" s="2"/>
      <c r="P402" s="2"/>
      <c r="Q402" s="2"/>
      <c r="R402" s="2"/>
    </row>
    <row r="403" spans="1:18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192"/>
      <c r="L403" s="192"/>
      <c r="M403" s="75"/>
      <c r="N403" s="2"/>
      <c r="O403" s="2"/>
      <c r="P403" s="2"/>
      <c r="Q403" s="2"/>
      <c r="R403" s="2"/>
    </row>
    <row r="404" spans="1:18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192"/>
      <c r="L404" s="192"/>
      <c r="M404" s="75"/>
      <c r="N404" s="2"/>
      <c r="O404" s="2"/>
      <c r="P404" s="2"/>
      <c r="Q404" s="2"/>
      <c r="R404" s="2"/>
    </row>
    <row r="405" spans="1:18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192"/>
      <c r="L405" s="192"/>
      <c r="M405" s="75"/>
      <c r="N405" s="2"/>
      <c r="O405" s="2"/>
      <c r="P405" s="2"/>
      <c r="Q405" s="2"/>
      <c r="R405" s="2"/>
    </row>
    <row r="406" spans="1:18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192"/>
      <c r="L406" s="192"/>
      <c r="M406" s="75"/>
      <c r="N406" s="2"/>
      <c r="O406" s="2"/>
      <c r="P406" s="2"/>
      <c r="Q406" s="2"/>
      <c r="R406" s="2"/>
    </row>
    <row r="407" spans="1:18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192"/>
      <c r="L407" s="192"/>
      <c r="M407" s="75"/>
      <c r="N407" s="2"/>
      <c r="O407" s="2"/>
      <c r="P407" s="2"/>
      <c r="Q407" s="2"/>
      <c r="R407" s="2"/>
    </row>
    <row r="408" spans="1:18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192"/>
      <c r="L408" s="192"/>
      <c r="M408" s="75"/>
      <c r="N408" s="2"/>
      <c r="O408" s="2"/>
      <c r="P408" s="2"/>
      <c r="Q408" s="2"/>
      <c r="R408" s="2"/>
    </row>
    <row r="409" spans="1:18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192"/>
      <c r="L409" s="192"/>
      <c r="M409" s="75"/>
      <c r="N409" s="2"/>
      <c r="O409" s="2"/>
      <c r="P409" s="2"/>
      <c r="Q409" s="2"/>
      <c r="R409" s="2"/>
    </row>
    <row r="410" spans="1:18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192"/>
      <c r="L410" s="192"/>
      <c r="M410" s="75"/>
      <c r="N410" s="2"/>
      <c r="O410" s="2"/>
      <c r="P410" s="2"/>
      <c r="Q410" s="2"/>
      <c r="R410" s="2"/>
    </row>
    <row r="411" spans="1:18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192"/>
      <c r="L411" s="192"/>
      <c r="M411" s="75"/>
      <c r="N411" s="2"/>
      <c r="O411" s="2"/>
      <c r="P411" s="2"/>
      <c r="Q411" s="2"/>
      <c r="R411" s="2"/>
    </row>
    <row r="412" spans="1:18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192"/>
      <c r="L412" s="192"/>
      <c r="M412" s="75"/>
      <c r="N412" s="2"/>
      <c r="O412" s="2"/>
      <c r="P412" s="2"/>
      <c r="Q412" s="2"/>
      <c r="R412" s="2"/>
    </row>
    <row r="413" spans="1:18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192"/>
      <c r="L413" s="192"/>
      <c r="M413" s="75"/>
      <c r="N413" s="2"/>
      <c r="O413" s="2"/>
      <c r="P413" s="2"/>
      <c r="Q413" s="2"/>
      <c r="R413" s="2"/>
    </row>
    <row r="414" spans="1:18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192"/>
      <c r="L414" s="192"/>
      <c r="M414" s="75"/>
      <c r="N414" s="2"/>
      <c r="O414" s="2"/>
      <c r="P414" s="2"/>
      <c r="Q414" s="2"/>
      <c r="R414" s="2"/>
    </row>
    <row r="415" spans="1:18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192"/>
      <c r="L415" s="192"/>
      <c r="M415" s="75"/>
      <c r="N415" s="2"/>
      <c r="O415" s="2"/>
      <c r="P415" s="2"/>
      <c r="Q415" s="2"/>
      <c r="R415" s="2"/>
    </row>
    <row r="416" spans="1:18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192"/>
      <c r="L416" s="192"/>
      <c r="M416" s="75"/>
      <c r="N416" s="2"/>
      <c r="O416" s="2"/>
      <c r="P416" s="2"/>
      <c r="Q416" s="2"/>
      <c r="R416" s="2"/>
    </row>
    <row r="417" spans="1:18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192"/>
      <c r="L417" s="192"/>
      <c r="M417" s="75"/>
      <c r="N417" s="2"/>
      <c r="O417" s="2"/>
      <c r="P417" s="2"/>
      <c r="Q417" s="2"/>
      <c r="R417" s="2"/>
    </row>
    <row r="418" spans="1:18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192"/>
      <c r="L418" s="192"/>
      <c r="M418" s="75"/>
      <c r="N418" s="2"/>
      <c r="O418" s="2"/>
      <c r="P418" s="2"/>
      <c r="Q418" s="2"/>
      <c r="R418" s="2"/>
    </row>
    <row r="419" spans="1:18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192"/>
      <c r="L419" s="192"/>
      <c r="M419" s="75"/>
      <c r="N419" s="2"/>
      <c r="O419" s="2"/>
      <c r="P419" s="2"/>
      <c r="Q419" s="2"/>
      <c r="R419" s="2"/>
    </row>
    <row r="420" spans="1:18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192"/>
      <c r="L420" s="192"/>
      <c r="M420" s="75"/>
      <c r="N420" s="2"/>
      <c r="O420" s="2"/>
      <c r="P420" s="2"/>
      <c r="Q420" s="2"/>
      <c r="R420" s="2"/>
    </row>
    <row r="421" spans="1:18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192"/>
      <c r="L421" s="192"/>
      <c r="M421" s="75"/>
      <c r="N421" s="2"/>
      <c r="O421" s="2"/>
      <c r="P421" s="2"/>
      <c r="Q421" s="2"/>
      <c r="R421" s="2"/>
    </row>
    <row r="422" spans="1:18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192"/>
      <c r="L422" s="192"/>
      <c r="M422" s="75"/>
      <c r="N422" s="2"/>
      <c r="O422" s="2"/>
      <c r="P422" s="2"/>
      <c r="Q422" s="2"/>
      <c r="R422" s="2"/>
    </row>
    <row r="423" spans="1:18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192"/>
      <c r="L423" s="192"/>
      <c r="M423" s="75"/>
      <c r="N423" s="2"/>
      <c r="O423" s="2"/>
      <c r="P423" s="2"/>
      <c r="Q423" s="2"/>
      <c r="R423" s="2"/>
    </row>
    <row r="424" spans="1:18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192"/>
      <c r="L424" s="192"/>
      <c r="M424" s="75"/>
      <c r="N424" s="2"/>
      <c r="O424" s="2"/>
      <c r="P424" s="2"/>
      <c r="Q424" s="2"/>
      <c r="R424" s="2"/>
    </row>
    <row r="425" spans="1:18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192"/>
      <c r="L425" s="192"/>
      <c r="M425" s="75"/>
      <c r="N425" s="2"/>
      <c r="O425" s="2"/>
      <c r="P425" s="2"/>
      <c r="Q425" s="2"/>
      <c r="R425" s="2"/>
    </row>
    <row r="426" spans="1:18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192"/>
      <c r="L426" s="192"/>
      <c r="M426" s="75"/>
      <c r="N426" s="2"/>
      <c r="O426" s="2"/>
      <c r="P426" s="2"/>
      <c r="Q426" s="2"/>
      <c r="R426" s="2"/>
    </row>
    <row r="427" spans="1:18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192"/>
      <c r="L427" s="192"/>
      <c r="M427" s="75"/>
      <c r="N427" s="2"/>
      <c r="O427" s="2"/>
      <c r="P427" s="2"/>
      <c r="Q427" s="2"/>
      <c r="R427" s="2"/>
    </row>
    <row r="428" spans="1:18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192"/>
      <c r="L428" s="192"/>
      <c r="M428" s="75"/>
      <c r="N428" s="2"/>
      <c r="O428" s="2"/>
      <c r="P428" s="2"/>
      <c r="Q428" s="2"/>
      <c r="R428" s="2"/>
    </row>
    <row r="429" spans="1:18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192"/>
      <c r="L429" s="192"/>
      <c r="M429" s="75"/>
      <c r="N429" s="2"/>
      <c r="O429" s="2"/>
      <c r="P429" s="2"/>
      <c r="Q429" s="2"/>
      <c r="R429" s="2"/>
    </row>
    <row r="430" spans="1:18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192"/>
      <c r="L430" s="192"/>
      <c r="M430" s="75"/>
      <c r="N430" s="2"/>
      <c r="O430" s="2"/>
      <c r="P430" s="2"/>
      <c r="Q430" s="2"/>
      <c r="R430" s="2"/>
    </row>
    <row r="431" spans="1:18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192"/>
      <c r="L431" s="192"/>
      <c r="M431" s="75"/>
      <c r="N431" s="2"/>
      <c r="O431" s="2"/>
      <c r="P431" s="2"/>
      <c r="Q431" s="2"/>
      <c r="R431" s="2"/>
    </row>
    <row r="432" spans="1:18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192"/>
      <c r="L432" s="192"/>
      <c r="M432" s="75"/>
      <c r="N432" s="2"/>
      <c r="O432" s="2"/>
      <c r="P432" s="2"/>
      <c r="Q432" s="2"/>
      <c r="R432" s="2"/>
    </row>
    <row r="433" spans="1:18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192"/>
      <c r="L433" s="192"/>
      <c r="M433" s="75"/>
      <c r="N433" s="2"/>
      <c r="O433" s="2"/>
      <c r="P433" s="2"/>
      <c r="Q433" s="2"/>
      <c r="R433" s="2"/>
    </row>
    <row r="434" spans="1:18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192"/>
      <c r="L434" s="192"/>
      <c r="M434" s="75"/>
      <c r="N434" s="2"/>
      <c r="O434" s="2"/>
      <c r="P434" s="2"/>
      <c r="Q434" s="2"/>
      <c r="R434" s="2"/>
    </row>
    <row r="435" spans="1:18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192"/>
      <c r="L435" s="192"/>
      <c r="M435" s="75"/>
      <c r="N435" s="2"/>
      <c r="O435" s="2"/>
      <c r="P435" s="2"/>
      <c r="Q435" s="2"/>
      <c r="R435" s="2"/>
    </row>
    <row r="436" spans="1:18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192"/>
      <c r="L436" s="192"/>
      <c r="M436" s="75"/>
      <c r="N436" s="2"/>
      <c r="O436" s="2"/>
      <c r="P436" s="2"/>
      <c r="Q436" s="2"/>
      <c r="R436" s="2"/>
    </row>
    <row r="437" spans="1:18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192"/>
      <c r="L437" s="192"/>
      <c r="M437" s="75"/>
      <c r="N437" s="2"/>
      <c r="O437" s="2"/>
      <c r="P437" s="2"/>
      <c r="Q437" s="2"/>
      <c r="R437" s="2"/>
    </row>
    <row r="438" spans="1:18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192"/>
      <c r="L438" s="192"/>
      <c r="M438" s="75"/>
      <c r="N438" s="2"/>
      <c r="O438" s="2"/>
      <c r="P438" s="2"/>
      <c r="Q438" s="2"/>
      <c r="R438" s="2"/>
    </row>
    <row r="439" spans="1:18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192"/>
      <c r="L439" s="192"/>
      <c r="M439" s="75"/>
      <c r="N439" s="2"/>
      <c r="O439" s="2"/>
      <c r="P439" s="2"/>
      <c r="Q439" s="2"/>
      <c r="R439" s="2"/>
    </row>
  </sheetData>
  <phoneticPr fontId="0" type="noConversion"/>
  <printOptions horizontalCentered="1"/>
  <pageMargins left="0.45" right="0.25" top="0.31944444444444398" bottom="0.2" header="0.5" footer="0.5"/>
  <pageSetup scale="65" orientation="landscape" r:id="rId1"/>
  <headerFooter alignWithMargins="0"/>
  <rowBreaks count="3" manualBreakCount="3">
    <brk id="55" max="12" man="1"/>
    <brk id="103" max="12" man="1"/>
    <brk id="151" max="1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P50"/>
  <sheetViews>
    <sheetView showOutlineSymbols="0" zoomScaleNormal="100" workbookViewId="0">
      <selection activeCell="A4" sqref="A4"/>
    </sheetView>
  </sheetViews>
  <sheetFormatPr defaultColWidth="9.6640625" defaultRowHeight="15" x14ac:dyDescent="0.2"/>
  <cols>
    <col min="1" max="1" width="10.21875" style="80" customWidth="1"/>
    <col min="2" max="2" width="9.77734375" style="80" customWidth="1"/>
    <col min="3" max="3" width="16.109375" style="80" customWidth="1"/>
    <col min="4" max="4" width="26.21875" style="80" customWidth="1"/>
    <col min="5" max="6" width="13.6640625" style="80" customWidth="1"/>
    <col min="7" max="7" width="16" style="80" customWidth="1"/>
    <col min="8" max="8" width="12.44140625" style="80" customWidth="1"/>
    <col min="9" max="9" width="15.88671875" style="80" customWidth="1"/>
    <col min="10" max="10" width="14.6640625" style="80" customWidth="1"/>
    <col min="11" max="11" width="11.5546875" style="80" customWidth="1"/>
    <col min="12" max="12" width="12.77734375" style="80" customWidth="1"/>
    <col min="13" max="13" width="14.5546875" style="80" customWidth="1"/>
    <col min="14" max="14" width="10.109375" style="80" customWidth="1"/>
    <col min="15" max="15" width="13.44140625" style="80" customWidth="1"/>
    <col min="16" max="16" width="3.77734375" style="80" customWidth="1"/>
    <col min="17" max="16384" width="9.6640625" style="80"/>
  </cols>
  <sheetData>
    <row r="1" spans="1:16" ht="23.25" x14ac:dyDescent="0.35">
      <c r="A1" s="78" t="s">
        <v>0</v>
      </c>
      <c r="B1" s="78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</row>
    <row r="2" spans="1:16" ht="23.25" x14ac:dyDescent="0.35">
      <c r="A2" s="78" t="s">
        <v>21</v>
      </c>
      <c r="B2" s="78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</row>
    <row r="3" spans="1:16" ht="23.25" x14ac:dyDescent="0.35">
      <c r="A3" s="282" t="s">
        <v>74</v>
      </c>
      <c r="B3" s="78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</row>
    <row r="4" spans="1:16" ht="23.25" x14ac:dyDescent="0.35">
      <c r="A4" s="78"/>
      <c r="B4" s="78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</row>
    <row r="5" spans="1:16" ht="24" thickBot="1" x14ac:dyDescent="0.4">
      <c r="A5" s="78" t="s">
        <v>22</v>
      </c>
      <c r="B5" s="78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</row>
    <row r="6" spans="1:16" ht="16.5" thickTop="1" x14ac:dyDescent="0.25">
      <c r="A6" s="81"/>
      <c r="B6" s="81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2" t="s">
        <v>23</v>
      </c>
      <c r="P6" s="83"/>
    </row>
    <row r="7" spans="1:16" ht="15.75" x14ac:dyDescent="0.25">
      <c r="A7" s="105" t="s">
        <v>24</v>
      </c>
      <c r="B7" s="84" t="s">
        <v>13</v>
      </c>
      <c r="C7" s="84" t="s">
        <v>15</v>
      </c>
      <c r="D7" s="84" t="s">
        <v>62</v>
      </c>
      <c r="E7" s="275" t="s">
        <v>55</v>
      </c>
      <c r="F7" s="84" t="s">
        <v>60</v>
      </c>
      <c r="G7" s="84" t="s">
        <v>63</v>
      </c>
      <c r="H7" s="84" t="s">
        <v>68</v>
      </c>
      <c r="I7" s="84" t="s">
        <v>70</v>
      </c>
      <c r="J7" s="84" t="s">
        <v>25</v>
      </c>
      <c r="K7" s="84" t="s">
        <v>52</v>
      </c>
      <c r="L7" s="84" t="s">
        <v>50</v>
      </c>
      <c r="M7" s="84" t="s">
        <v>17</v>
      </c>
      <c r="N7" s="84" t="s">
        <v>51</v>
      </c>
      <c r="O7" s="84" t="s">
        <v>26</v>
      </c>
      <c r="P7" s="83"/>
    </row>
    <row r="8" spans="1:16" ht="16.5" thickBot="1" x14ac:dyDescent="0.3">
      <c r="A8" s="85"/>
      <c r="B8" s="85"/>
      <c r="C8" s="85"/>
      <c r="D8" s="85"/>
      <c r="E8" s="276"/>
      <c r="F8" s="85"/>
      <c r="G8" s="85"/>
      <c r="H8" s="85"/>
      <c r="I8" s="85"/>
      <c r="J8" s="85"/>
      <c r="K8" s="85"/>
      <c r="L8" s="85"/>
      <c r="M8" s="85"/>
      <c r="N8" s="85"/>
      <c r="O8" s="85"/>
      <c r="P8" s="83"/>
    </row>
    <row r="9" spans="1:16" ht="15.75" thickTop="1" x14ac:dyDescent="0.2">
      <c r="A9" s="86"/>
      <c r="B9" s="86"/>
      <c r="C9" s="86"/>
      <c r="D9" s="86"/>
      <c r="E9" s="87"/>
      <c r="F9" s="87"/>
      <c r="G9" s="87"/>
      <c r="H9" s="87"/>
      <c r="I9" s="87"/>
      <c r="J9" s="86"/>
      <c r="K9" s="86"/>
      <c r="L9" s="86"/>
      <c r="M9" s="86"/>
      <c r="N9" s="86"/>
      <c r="O9" s="86"/>
      <c r="P9" s="83"/>
    </row>
    <row r="10" spans="1:16" ht="15.75" x14ac:dyDescent="0.25">
      <c r="A10" s="88">
        <f>DATE(2023,7,1)</f>
        <v>45108</v>
      </c>
      <c r="B10" s="89">
        <f>'MONTHLY STATS'!$C$9*2</f>
        <v>397942</v>
      </c>
      <c r="C10" s="89">
        <f>'MONTHLY STATS'!$C$21*2</f>
        <v>229528</v>
      </c>
      <c r="D10" s="89">
        <f>'MONTHLY STATS'!$C$33*2</f>
        <v>124414</v>
      </c>
      <c r="E10" s="89">
        <f>'MONTHLY STATS'!$C$45*2</f>
        <v>703680</v>
      </c>
      <c r="F10" s="89">
        <f>'MONTHLY STATS'!$C$57*2</f>
        <v>399396</v>
      </c>
      <c r="G10" s="89">
        <f>'MONTHLY STATS'!$C$69*2</f>
        <v>188900</v>
      </c>
      <c r="H10" s="89">
        <f>'MONTHLY STATS'!$C$81*2</f>
        <v>438240</v>
      </c>
      <c r="I10" s="89">
        <f>'MONTHLY STATS'!$C$93*2</f>
        <v>455910</v>
      </c>
      <c r="J10" s="89">
        <f>'MONTHLY STATS'!$C$105*2</f>
        <v>524176</v>
      </c>
      <c r="K10" s="89">
        <f>'MONTHLY STATS'!$C$117*2</f>
        <v>745328</v>
      </c>
      <c r="L10" s="89">
        <f>'MONTHLY STATS'!$C$129*2</f>
        <v>86244</v>
      </c>
      <c r="M10" s="89">
        <f>'MONTHLY STATS'!$C$141*2</f>
        <v>682716</v>
      </c>
      <c r="N10" s="89">
        <f>'MONTHLY STATS'!$C$153*2</f>
        <v>132646</v>
      </c>
      <c r="O10" s="90">
        <f t="shared" ref="O10:O15" si="0">SUM(B10:N10)</f>
        <v>5109120</v>
      </c>
      <c r="P10" s="83"/>
    </row>
    <row r="11" spans="1:16" ht="15.75" x14ac:dyDescent="0.25">
      <c r="A11" s="88">
        <f>DATE(2023,8,1)</f>
        <v>45139</v>
      </c>
      <c r="B11" s="89">
        <f>'MONTHLY STATS'!$C$10*2</f>
        <v>371172</v>
      </c>
      <c r="C11" s="89">
        <f>'MONTHLY STATS'!$C$22*2</f>
        <v>206976</v>
      </c>
      <c r="D11" s="89">
        <f>'MONTHLY STATS'!$C$34*2</f>
        <v>111582</v>
      </c>
      <c r="E11" s="89">
        <f>'MONTHLY STATS'!$C$46*2</f>
        <v>661644</v>
      </c>
      <c r="F11" s="89">
        <f>'MONTHLY STATS'!$C$58*2</f>
        <v>371724</v>
      </c>
      <c r="G11" s="89">
        <f>'MONTHLY STATS'!$C$70*2</f>
        <v>171280</v>
      </c>
      <c r="H11" s="89">
        <f>'MONTHLY STATS'!$C$82*2</f>
        <v>436176</v>
      </c>
      <c r="I11" s="89">
        <f>'MONTHLY STATS'!$C$94*2</f>
        <v>427886</v>
      </c>
      <c r="J11" s="89">
        <f>'MONTHLY STATS'!$C$106*2</f>
        <v>478446</v>
      </c>
      <c r="K11" s="89">
        <f>'MONTHLY STATS'!$C$118*2</f>
        <v>685290</v>
      </c>
      <c r="L11" s="89">
        <f>'MONTHLY STATS'!$C$130*2</f>
        <v>77588</v>
      </c>
      <c r="M11" s="89">
        <f>'MONTHLY STATS'!$C$142*2</f>
        <v>652506</v>
      </c>
      <c r="N11" s="89">
        <f>'MONTHLY STATS'!$C$154*2</f>
        <v>127788</v>
      </c>
      <c r="O11" s="90">
        <f t="shared" si="0"/>
        <v>4780058</v>
      </c>
      <c r="P11" s="83"/>
    </row>
    <row r="12" spans="1:16" ht="15.75" x14ac:dyDescent="0.25">
      <c r="A12" s="88">
        <f>DATE(2023,9,1)</f>
        <v>45170</v>
      </c>
      <c r="B12" s="89">
        <f>'MONTHLY STATS'!$C$11*2</f>
        <v>370982</v>
      </c>
      <c r="C12" s="89">
        <f>'MONTHLY STATS'!$C$23*2</f>
        <v>200608</v>
      </c>
      <c r="D12" s="89">
        <f>'MONTHLY STATS'!$C$35*2</f>
        <v>113374</v>
      </c>
      <c r="E12" s="89">
        <f>'MONTHLY STATS'!$C$47*2</f>
        <v>633924</v>
      </c>
      <c r="F12" s="89">
        <f>'MONTHLY STATS'!$C$59*2</f>
        <v>375262</v>
      </c>
      <c r="G12" s="89">
        <f>'MONTHLY STATS'!$C$71*2</f>
        <v>170280</v>
      </c>
      <c r="H12" s="89">
        <f>'MONTHLY STATS'!$C$83*2</f>
        <v>483586</v>
      </c>
      <c r="I12" s="89">
        <f>'MONTHLY STATS'!$C$95*2</f>
        <v>421612</v>
      </c>
      <c r="J12" s="89">
        <f>'MONTHLY STATS'!$C$107*2</f>
        <v>496626</v>
      </c>
      <c r="K12" s="89">
        <f>'MONTHLY STATS'!$C$119*2</f>
        <v>681256</v>
      </c>
      <c r="L12" s="89">
        <f>'MONTHLY STATS'!$C$131*2</f>
        <v>78048</v>
      </c>
      <c r="M12" s="89">
        <f>'MONTHLY STATS'!$C$143*2</f>
        <v>661610</v>
      </c>
      <c r="N12" s="89">
        <f>'MONTHLY STATS'!$C$155*2</f>
        <v>122756</v>
      </c>
      <c r="O12" s="90">
        <f t="shared" si="0"/>
        <v>4809924</v>
      </c>
      <c r="P12" s="83"/>
    </row>
    <row r="13" spans="1:16" ht="15.75" x14ac:dyDescent="0.25">
      <c r="A13" s="88">
        <f>DATE(2023,10,1)</f>
        <v>45200</v>
      </c>
      <c r="B13" s="89">
        <f>'MONTHLY STATS'!$C$12*2</f>
        <v>338300</v>
      </c>
      <c r="C13" s="89">
        <f>'MONTHLY STATS'!$C$24*2</f>
        <v>186356</v>
      </c>
      <c r="D13" s="89">
        <f>'MONTHLY STATS'!$C$36*2</f>
        <v>100636</v>
      </c>
      <c r="E13" s="89">
        <f>'MONTHLY STATS'!$C$48*2</f>
        <v>577604</v>
      </c>
      <c r="F13" s="89">
        <f>'MONTHLY STATS'!$C$60*2</f>
        <v>367450</v>
      </c>
      <c r="G13" s="89">
        <f>'MONTHLY STATS'!$C$72*2</f>
        <v>156624</v>
      </c>
      <c r="H13" s="89">
        <f>'MONTHLY STATS'!$C$84*2</f>
        <v>490124</v>
      </c>
      <c r="I13" s="89">
        <f>'MONTHLY STATS'!$C$96*2</f>
        <v>384400</v>
      </c>
      <c r="J13" s="89">
        <f>'MONTHLY STATS'!$C$108*2</f>
        <v>455924</v>
      </c>
      <c r="K13" s="89">
        <f>'MONTHLY STATS'!$C$120*2</f>
        <v>656872</v>
      </c>
      <c r="L13" s="89">
        <f>'MONTHLY STATS'!$C$132*2</f>
        <v>79152</v>
      </c>
      <c r="M13" s="89">
        <f>'MONTHLY STATS'!$C$144*2</f>
        <v>608408</v>
      </c>
      <c r="N13" s="89">
        <f>'MONTHLY STATS'!$C$156*2</f>
        <v>114994</v>
      </c>
      <c r="O13" s="90">
        <f t="shared" si="0"/>
        <v>4516844</v>
      </c>
      <c r="P13" s="83"/>
    </row>
    <row r="14" spans="1:16" ht="15.75" x14ac:dyDescent="0.25">
      <c r="A14" s="88">
        <f>DATE(2023,11,1)</f>
        <v>45231</v>
      </c>
      <c r="B14" s="89">
        <f>'MONTHLY STATS'!$C$13*2</f>
        <v>352150</v>
      </c>
      <c r="C14" s="89">
        <f>'MONTHLY STATS'!$C$25*2</f>
        <v>178640</v>
      </c>
      <c r="D14" s="89">
        <f>'MONTHLY STATS'!$C$37*2</f>
        <v>100882</v>
      </c>
      <c r="E14" s="89">
        <f>'MONTHLY STATS'!$C$49*2</f>
        <v>577830</v>
      </c>
      <c r="F14" s="89">
        <f>'MONTHLY STATS'!$C$61*2</f>
        <v>336434</v>
      </c>
      <c r="G14" s="89">
        <f>'MONTHLY STATS'!$C$73*2</f>
        <v>153312</v>
      </c>
      <c r="H14" s="89">
        <f>'MONTHLY STATS'!$C$85*2</f>
        <v>470798</v>
      </c>
      <c r="I14" s="89">
        <f>'MONTHLY STATS'!$C$97*2</f>
        <v>394122</v>
      </c>
      <c r="J14" s="89">
        <f>'MONTHLY STATS'!$C$109*2</f>
        <v>448550</v>
      </c>
      <c r="K14" s="89">
        <f>'MONTHLY STATS'!$C$121*2</f>
        <v>679836</v>
      </c>
      <c r="L14" s="89">
        <f>'MONTHLY STATS'!$C$133*2</f>
        <v>77840</v>
      </c>
      <c r="M14" s="89">
        <f>'MONTHLY STATS'!$C$145*2</f>
        <v>614606</v>
      </c>
      <c r="N14" s="89">
        <f>'MONTHLY STATS'!$C$157*2</f>
        <v>115906</v>
      </c>
      <c r="O14" s="90">
        <f t="shared" si="0"/>
        <v>4500906</v>
      </c>
      <c r="P14" s="83"/>
    </row>
    <row r="15" spans="1:16" ht="15.75" x14ac:dyDescent="0.25">
      <c r="A15" s="88">
        <f>DATE(2023,12,1)</f>
        <v>45261</v>
      </c>
      <c r="B15" s="89">
        <f>'MONTHLY STATS'!$C$14*2</f>
        <v>409404</v>
      </c>
      <c r="C15" s="89">
        <f>'MONTHLY STATS'!$C$26*2</f>
        <v>206564</v>
      </c>
      <c r="D15" s="89">
        <f>'MONTHLY STATS'!$C$38*2</f>
        <v>112680</v>
      </c>
      <c r="E15" s="89">
        <f>'MONTHLY STATS'!$C$50*2</f>
        <v>629486</v>
      </c>
      <c r="F15" s="89">
        <f>'MONTHLY STATS'!$C$62*2</f>
        <v>404400</v>
      </c>
      <c r="G15" s="89">
        <f>'MONTHLY STATS'!$C$74*2</f>
        <v>193580</v>
      </c>
      <c r="H15" s="89">
        <f>'MONTHLY STATS'!$C$86*2</f>
        <v>478824</v>
      </c>
      <c r="I15" s="89">
        <f>'MONTHLY STATS'!$C$98*2</f>
        <v>445790</v>
      </c>
      <c r="J15" s="89">
        <f>'MONTHLY STATS'!$C$110*2</f>
        <v>540324</v>
      </c>
      <c r="K15" s="89">
        <f>'MONTHLY STATS'!$C$122*2</f>
        <v>721190</v>
      </c>
      <c r="L15" s="89">
        <f>'MONTHLY STATS'!$C$134*2</f>
        <v>79872</v>
      </c>
      <c r="M15" s="89">
        <f>'MONTHLY STATS'!$C$146*2</f>
        <v>748062</v>
      </c>
      <c r="N15" s="89">
        <f>'MONTHLY STATS'!$C$158*2</f>
        <v>140488</v>
      </c>
      <c r="O15" s="90">
        <f t="shared" si="0"/>
        <v>5110664</v>
      </c>
      <c r="P15" s="83"/>
    </row>
    <row r="16" spans="1:16" ht="15.75" x14ac:dyDescent="0.25">
      <c r="A16" s="88">
        <f>DATE(2024,1,1)</f>
        <v>45292</v>
      </c>
      <c r="B16" s="89">
        <f>'MONTHLY STATS'!$C$15*2</f>
        <v>317664</v>
      </c>
      <c r="C16" s="89">
        <f>'MONTHLY STATS'!$C$27*2</f>
        <v>158782</v>
      </c>
      <c r="D16" s="89">
        <f>'MONTHLY STATS'!$C$39*2</f>
        <v>89280</v>
      </c>
      <c r="E16" s="89">
        <f>'MONTHLY STATS'!$C$51*2</f>
        <v>519646</v>
      </c>
      <c r="F16" s="89">
        <f>'MONTHLY STATS'!$C$63*2</f>
        <v>292264</v>
      </c>
      <c r="G16" s="89">
        <f>'MONTHLY STATS'!$C$75*2</f>
        <v>148668</v>
      </c>
      <c r="H16" s="89">
        <f>'MONTHLY STATS'!$C$87*2</f>
        <v>372704</v>
      </c>
      <c r="I16" s="89">
        <f>'MONTHLY STATS'!$C$99*2</f>
        <v>344042</v>
      </c>
      <c r="J16" s="89">
        <f>'MONTHLY STATS'!$C$111*2</f>
        <v>396628</v>
      </c>
      <c r="K16" s="89">
        <f>'MONTHLY STATS'!$C$123*2</f>
        <v>609944</v>
      </c>
      <c r="L16" s="89">
        <f>'MONTHLY STATS'!$C$135*2</f>
        <v>56846</v>
      </c>
      <c r="M16" s="89">
        <f>'MONTHLY STATS'!$C$147*2</f>
        <v>590914</v>
      </c>
      <c r="N16" s="89">
        <f>'MONTHLY STATS'!$C$159*2</f>
        <v>105642</v>
      </c>
      <c r="O16" s="90">
        <f>SUM(B16:N16)</f>
        <v>4003024</v>
      </c>
      <c r="P16" s="83"/>
    </row>
    <row r="17" spans="1:16" ht="15.75" x14ac:dyDescent="0.25">
      <c r="A17" s="88">
        <f>DATE(2024,2,1)</f>
        <v>45323</v>
      </c>
      <c r="B17" s="89">
        <f>'MONTHLY STATS'!$C$16*2</f>
        <v>371406</v>
      </c>
      <c r="C17" s="89">
        <f>'MONTHLY STATS'!$C$28*2</f>
        <v>197702</v>
      </c>
      <c r="D17" s="89">
        <f>'MONTHLY STATS'!$C$40*2</f>
        <v>113604</v>
      </c>
      <c r="E17" s="89">
        <f>'MONTHLY STATS'!$C$52*2</f>
        <v>614936</v>
      </c>
      <c r="F17" s="89">
        <f>'MONTHLY STATS'!$C$64*2</f>
        <v>354040</v>
      </c>
      <c r="G17" s="89">
        <f>'MONTHLY STATS'!$C$76*2</f>
        <v>171910</v>
      </c>
      <c r="H17" s="89">
        <f>'MONTHLY STATS'!$C$88*2</f>
        <v>426790</v>
      </c>
      <c r="I17" s="89">
        <f>'MONTHLY STATS'!$C$100*2</f>
        <v>370338</v>
      </c>
      <c r="J17" s="89">
        <f>'MONTHLY STATS'!$C$112*2</f>
        <v>493442</v>
      </c>
      <c r="K17" s="89">
        <f>'MONTHLY STATS'!$C$124*2</f>
        <v>670384</v>
      </c>
      <c r="L17" s="89">
        <f>'MONTHLY STATS'!$C$136*2</f>
        <v>78888</v>
      </c>
      <c r="M17" s="89">
        <f>'MONTHLY STATS'!$C$148*2</f>
        <v>637000</v>
      </c>
      <c r="N17" s="89">
        <f>'MONTHLY STATS'!$C$160*2</f>
        <v>130456</v>
      </c>
      <c r="O17" s="90">
        <f>SUM(B17:N17)</f>
        <v>4630896</v>
      </c>
      <c r="P17" s="83"/>
    </row>
    <row r="18" spans="1:16" ht="15.75" x14ac:dyDescent="0.25">
      <c r="A18" s="88">
        <f>DATE(2024,3,1)</f>
        <v>45352</v>
      </c>
      <c r="B18" s="89">
        <f>'MONTHLY STATS'!$C$17*2</f>
        <v>419118</v>
      </c>
      <c r="C18" s="89">
        <f>'MONTHLY STATS'!$C$29*2</f>
        <v>215118</v>
      </c>
      <c r="D18" s="89">
        <f>'MONTHLY STATS'!$C$41*2</f>
        <v>128116</v>
      </c>
      <c r="E18" s="89">
        <f>'MONTHLY STATS'!$C$53*2</f>
        <v>650448</v>
      </c>
      <c r="F18" s="89">
        <f>'MONTHLY STATS'!$C$65*2</f>
        <v>411976</v>
      </c>
      <c r="G18" s="89">
        <f>'MONTHLY STATS'!$C$77*2</f>
        <v>203832</v>
      </c>
      <c r="H18" s="89">
        <f>'MONTHLY STATS'!$C$89*2</f>
        <v>486086</v>
      </c>
      <c r="I18" s="89">
        <f>'MONTHLY STATS'!$C$101*2</f>
        <v>423028</v>
      </c>
      <c r="J18" s="89">
        <f>'MONTHLY STATS'!$C$113*2</f>
        <v>546864</v>
      </c>
      <c r="K18" s="89">
        <f>'MONTHLY STATS'!$C$125*2</f>
        <v>715334</v>
      </c>
      <c r="L18" s="89">
        <f>'MONTHLY STATS'!$C$137*2</f>
        <v>90896</v>
      </c>
      <c r="M18" s="89">
        <f>'MONTHLY STATS'!$C$149*2</f>
        <v>703926</v>
      </c>
      <c r="N18" s="89">
        <f>'MONTHLY STATS'!$C$161*2</f>
        <v>138418</v>
      </c>
      <c r="O18" s="90">
        <f>SUM(B18:N18)</f>
        <v>5133160</v>
      </c>
      <c r="P18" s="83"/>
    </row>
    <row r="19" spans="1:16" ht="15.75" x14ac:dyDescent="0.25">
      <c r="A19" s="88"/>
      <c r="B19" s="89"/>
      <c r="C19" s="89"/>
      <c r="D19" s="89"/>
      <c r="E19" s="89"/>
      <c r="F19" s="89"/>
      <c r="G19" s="89"/>
      <c r="H19" s="89"/>
      <c r="I19" s="89"/>
      <c r="J19" s="89"/>
      <c r="K19" s="89"/>
      <c r="L19" s="89"/>
      <c r="M19" s="89"/>
      <c r="N19" s="89"/>
      <c r="O19" s="90"/>
      <c r="P19" s="83"/>
    </row>
    <row r="20" spans="1:16" ht="15.75" x14ac:dyDescent="0.25">
      <c r="A20" s="88"/>
      <c r="B20" s="89"/>
      <c r="C20" s="89"/>
      <c r="D20" s="89"/>
      <c r="E20" s="89"/>
      <c r="F20" s="89"/>
      <c r="G20" s="89"/>
      <c r="H20" s="89"/>
      <c r="I20" s="89"/>
      <c r="J20" s="89"/>
      <c r="K20" s="89"/>
      <c r="L20" s="89"/>
      <c r="M20" s="89"/>
      <c r="N20" s="89"/>
      <c r="O20" s="90"/>
      <c r="P20" s="83"/>
    </row>
    <row r="21" spans="1:16" ht="15.75" x14ac:dyDescent="0.25">
      <c r="A21" s="88"/>
      <c r="B21" s="89"/>
      <c r="C21" s="89"/>
      <c r="D21" s="89"/>
      <c r="E21" s="89"/>
      <c r="F21" s="89"/>
      <c r="G21" s="89"/>
      <c r="H21" s="89"/>
      <c r="I21" s="89"/>
      <c r="J21" s="89"/>
      <c r="K21" s="89"/>
      <c r="L21" s="89"/>
      <c r="M21" s="89"/>
      <c r="N21" s="89"/>
      <c r="O21" s="90"/>
      <c r="P21" s="83"/>
    </row>
    <row r="22" spans="1:16" ht="15.75" x14ac:dyDescent="0.25">
      <c r="A22" s="88"/>
      <c r="B22" s="89"/>
      <c r="C22" s="89"/>
      <c r="D22" s="89"/>
      <c r="E22" s="89"/>
      <c r="F22" s="89"/>
      <c r="G22" s="89"/>
      <c r="H22" s="89"/>
      <c r="I22" s="89"/>
      <c r="J22" s="89"/>
      <c r="K22" s="89"/>
      <c r="L22" s="89"/>
      <c r="M22" s="89"/>
      <c r="N22" s="89"/>
      <c r="O22" s="90"/>
      <c r="P22" s="83"/>
    </row>
    <row r="23" spans="1:16" ht="15.75" x14ac:dyDescent="0.25">
      <c r="A23" s="91" t="s">
        <v>27</v>
      </c>
      <c r="B23" s="90">
        <f t="shared" ref="B23:O23" si="1">SUM(B10:B21)</f>
        <v>3348138</v>
      </c>
      <c r="C23" s="90">
        <f t="shared" si="1"/>
        <v>1780274</v>
      </c>
      <c r="D23" s="90">
        <f t="shared" si="1"/>
        <v>994568</v>
      </c>
      <c r="E23" s="90">
        <f t="shared" si="1"/>
        <v>5569198</v>
      </c>
      <c r="F23" s="90">
        <f t="shared" si="1"/>
        <v>3312946</v>
      </c>
      <c r="G23" s="90">
        <f>SUM(G10:G21)</f>
        <v>1558386</v>
      </c>
      <c r="H23" s="90">
        <f t="shared" si="1"/>
        <v>4083328</v>
      </c>
      <c r="I23" s="90">
        <f>SUM(I10:I21)</f>
        <v>3667128</v>
      </c>
      <c r="J23" s="90">
        <f t="shared" si="1"/>
        <v>4380980</v>
      </c>
      <c r="K23" s="90">
        <f>SUM(K10:K21)</f>
        <v>6165434</v>
      </c>
      <c r="L23" s="90">
        <f t="shared" si="1"/>
        <v>705374</v>
      </c>
      <c r="M23" s="90">
        <f t="shared" si="1"/>
        <v>5899748</v>
      </c>
      <c r="N23" s="90">
        <f t="shared" si="1"/>
        <v>1129094</v>
      </c>
      <c r="O23" s="90">
        <f t="shared" si="1"/>
        <v>42594596</v>
      </c>
      <c r="P23" s="83"/>
    </row>
    <row r="24" spans="1:16" ht="16.5" thickBot="1" x14ac:dyDescent="0.3">
      <c r="A24" s="92"/>
      <c r="B24" s="90"/>
      <c r="C24" s="90"/>
      <c r="D24" s="90"/>
      <c r="E24" s="89"/>
      <c r="F24" s="89"/>
      <c r="G24" s="89"/>
      <c r="H24" s="89"/>
      <c r="I24" s="89"/>
      <c r="J24" s="90"/>
      <c r="K24" s="90"/>
      <c r="L24" s="90"/>
      <c r="M24" s="90"/>
      <c r="N24" s="90"/>
      <c r="O24" s="90"/>
      <c r="P24" s="83"/>
    </row>
    <row r="25" spans="1:16" ht="15.75" thickTop="1" x14ac:dyDescent="0.2">
      <c r="A25" s="93"/>
      <c r="B25" s="94"/>
      <c r="C25" s="94"/>
      <c r="D25" s="94"/>
      <c r="E25" s="94"/>
      <c r="F25" s="94"/>
      <c r="G25" s="94"/>
      <c r="H25" s="94"/>
      <c r="I25" s="94"/>
      <c r="J25" s="94"/>
      <c r="K25" s="95"/>
      <c r="L25" s="95"/>
      <c r="M25" s="95"/>
      <c r="N25" s="95"/>
      <c r="O25" s="95"/>
    </row>
    <row r="26" spans="1:16" ht="24" thickBot="1" x14ac:dyDescent="0.4">
      <c r="A26" s="96" t="s">
        <v>28</v>
      </c>
      <c r="B26" s="97"/>
      <c r="C26" s="98"/>
      <c r="D26" s="98"/>
      <c r="E26" s="98"/>
      <c r="F26" s="98"/>
      <c r="G26" s="98"/>
      <c r="H26" s="98"/>
      <c r="I26" s="98"/>
      <c r="J26" s="98"/>
      <c r="K26" s="99"/>
      <c r="L26" s="99"/>
      <c r="M26" s="99"/>
      <c r="N26" s="99"/>
      <c r="O26" s="99"/>
    </row>
    <row r="27" spans="1:16" ht="16.5" thickTop="1" x14ac:dyDescent="0.25">
      <c r="A27" s="100"/>
      <c r="B27" s="101"/>
      <c r="C27" s="101"/>
      <c r="D27" s="101"/>
      <c r="E27" s="102"/>
      <c r="F27" s="102"/>
      <c r="G27" s="102"/>
      <c r="H27" s="102"/>
      <c r="I27" s="102"/>
      <c r="J27" s="101"/>
      <c r="K27" s="103"/>
      <c r="L27" s="103"/>
      <c r="M27" s="103"/>
      <c r="N27" s="103"/>
      <c r="O27" s="104" t="s">
        <v>23</v>
      </c>
      <c r="P27" s="83"/>
    </row>
    <row r="28" spans="1:16" ht="15.75" x14ac:dyDescent="0.25">
      <c r="A28" s="105" t="s">
        <v>24</v>
      </c>
      <c r="B28" s="84" t="s">
        <v>13</v>
      </c>
      <c r="C28" s="84" t="s">
        <v>15</v>
      </c>
      <c r="D28" s="84" t="s">
        <v>62</v>
      </c>
      <c r="E28" s="275" t="s">
        <v>55</v>
      </c>
      <c r="F28" s="84" t="s">
        <v>60</v>
      </c>
      <c r="G28" s="84" t="s">
        <v>63</v>
      </c>
      <c r="H28" s="84" t="s">
        <v>68</v>
      </c>
      <c r="I28" s="84" t="s">
        <v>70</v>
      </c>
      <c r="J28" s="84" t="s">
        <v>25</v>
      </c>
      <c r="K28" s="106" t="s">
        <v>52</v>
      </c>
      <c r="L28" s="106" t="s">
        <v>50</v>
      </c>
      <c r="M28" s="106" t="s">
        <v>17</v>
      </c>
      <c r="N28" s="106" t="s">
        <v>51</v>
      </c>
      <c r="O28" s="106" t="s">
        <v>26</v>
      </c>
      <c r="P28" s="83"/>
    </row>
    <row r="29" spans="1:16" ht="16.5" thickBot="1" x14ac:dyDescent="0.3">
      <c r="A29" s="107"/>
      <c r="B29" s="108"/>
      <c r="C29" s="108"/>
      <c r="D29" s="108"/>
      <c r="E29" s="276"/>
      <c r="F29" s="84"/>
      <c r="G29" s="84"/>
      <c r="H29" s="84"/>
      <c r="I29" s="84"/>
      <c r="J29" s="108"/>
      <c r="K29" s="109"/>
      <c r="L29" s="109"/>
      <c r="M29" s="109"/>
      <c r="N29" s="109"/>
      <c r="O29" s="109"/>
      <c r="P29" s="83"/>
    </row>
    <row r="30" spans="1:16" ht="15.75" thickTop="1" x14ac:dyDescent="0.2">
      <c r="A30" s="110"/>
      <c r="B30" s="111"/>
      <c r="C30" s="111"/>
      <c r="D30" s="111"/>
      <c r="E30" s="112"/>
      <c r="F30" s="112"/>
      <c r="G30" s="112"/>
      <c r="H30" s="112"/>
      <c r="I30" s="112"/>
      <c r="J30" s="111"/>
      <c r="K30" s="113"/>
      <c r="L30" s="113"/>
      <c r="M30" s="113"/>
      <c r="N30" s="113"/>
      <c r="O30" s="113"/>
      <c r="P30" s="83"/>
    </row>
    <row r="31" spans="1:16" ht="15.75" x14ac:dyDescent="0.25">
      <c r="A31" s="88">
        <f>DATE(2023,7,1)</f>
        <v>45108</v>
      </c>
      <c r="B31" s="89">
        <f>'MONTHLY STATS'!$K$9*0.21</f>
        <v>3146216.0687999995</v>
      </c>
      <c r="C31" s="89">
        <f>'MONTHLY STATS'!$K$21*0.21</f>
        <v>1719921.4872000001</v>
      </c>
      <c r="D31" s="89">
        <f>'MONTHLY STATS'!$K$33*0.21</f>
        <v>817934.35290000006</v>
      </c>
      <c r="E31" s="89">
        <f>'MONTHLY STATS'!$K$45*0.21</f>
        <v>4674535.0217999993</v>
      </c>
      <c r="F31" s="89">
        <f>'MONTHLY STATS'!$K$57*0.21</f>
        <v>3228902.0589000001</v>
      </c>
      <c r="G31" s="89">
        <f>'MONTHLY STATS'!$K$69*0.21</f>
        <v>1319580.5342999999</v>
      </c>
      <c r="H31" s="89">
        <f>'MONTHLY STATS'!$K$81*0.21</f>
        <v>2268943.7148000002</v>
      </c>
      <c r="I31" s="89">
        <f>'MONTHLY STATS'!$K$93*0.21</f>
        <v>2947257.6987000001</v>
      </c>
      <c r="J31" s="89">
        <f>'MONTHLY STATS'!$K$105*0.21</f>
        <v>3704387.8221</v>
      </c>
      <c r="K31" s="89">
        <f>'MONTHLY STATS'!$K$117*0.21</f>
        <v>4669398.8481000001</v>
      </c>
      <c r="L31" s="89">
        <f>'MONTHLY STATS'!$K$129*0.21</f>
        <v>667459.5858</v>
      </c>
      <c r="M31" s="89">
        <f>'MONTHLY STATS'!$K$141*0.21</f>
        <v>5390821.3358999994</v>
      </c>
      <c r="N31" s="89">
        <f>'MONTHLY STATS'!$K$153*0.21</f>
        <v>821402.96069999994</v>
      </c>
      <c r="O31" s="90">
        <f t="shared" ref="O31:O36" si="2">SUM(B31:N31)</f>
        <v>35376761.489999995</v>
      </c>
      <c r="P31" s="83"/>
    </row>
    <row r="32" spans="1:16" ht="15.75" x14ac:dyDescent="0.25">
      <c r="A32" s="88">
        <f>DATE(2023,8,1)</f>
        <v>45139</v>
      </c>
      <c r="B32" s="89">
        <f>'MONTHLY STATS'!$K$10*0.21</f>
        <v>2966696.7791999998</v>
      </c>
      <c r="C32" s="89">
        <f>'MONTHLY STATS'!$K$22*0.21</f>
        <v>1570446.5763000001</v>
      </c>
      <c r="D32" s="89">
        <f>'MONTHLY STATS'!$K$34*0.21</f>
        <v>789048.26909999992</v>
      </c>
      <c r="E32" s="89">
        <f>'MONTHLY STATS'!$K$46*0.21</f>
        <v>4190646.3227999997</v>
      </c>
      <c r="F32" s="89">
        <f>'MONTHLY STATS'!$K$58*0.21</f>
        <v>2955351.3128999998</v>
      </c>
      <c r="G32" s="89">
        <f>'MONTHLY STATS'!$K$70*0.21</f>
        <v>1258922.0027999999</v>
      </c>
      <c r="H32" s="89">
        <f>'MONTHLY STATS'!$K$82*0.21</f>
        <v>2283147.1698000003</v>
      </c>
      <c r="I32" s="89">
        <f>'MONTHLY STATS'!$K$94*0.21</f>
        <v>2743960.2875999999</v>
      </c>
      <c r="J32" s="89">
        <f>'MONTHLY STATS'!$K$106*0.21</f>
        <v>3431592.2823000001</v>
      </c>
      <c r="K32" s="89">
        <f>'MONTHLY STATS'!$K$118*0.21</f>
        <v>4328763.0539999995</v>
      </c>
      <c r="L32" s="89">
        <f>'MONTHLY STATS'!$K$130*0.21</f>
        <v>603333.93329999992</v>
      </c>
      <c r="M32" s="89">
        <f>'MONTHLY STATS'!$K$142*0.21</f>
        <v>4902681.9807000002</v>
      </c>
      <c r="N32" s="89">
        <f>'MONTHLY STATS'!$K$154*0.21</f>
        <v>811071.1287</v>
      </c>
      <c r="O32" s="90">
        <f t="shared" si="2"/>
        <v>32835661.0995</v>
      </c>
      <c r="P32" s="83"/>
    </row>
    <row r="33" spans="1:16" ht="15.75" x14ac:dyDescent="0.25">
      <c r="A33" s="88">
        <f>DATE(2023,9,1)</f>
        <v>45170</v>
      </c>
      <c r="B33" s="89">
        <f>'MONTHLY STATS'!$K$11*0.21</f>
        <v>2684662.0877999999</v>
      </c>
      <c r="C33" s="89">
        <f>'MONTHLY STATS'!$K$23*0.21</f>
        <v>1512998.6402999999</v>
      </c>
      <c r="D33" s="89">
        <f>'MONTHLY STATS'!$K$35*0.21</f>
        <v>844931.44259999995</v>
      </c>
      <c r="E33" s="89">
        <f>'MONTHLY STATS'!$K$47*0.21</f>
        <v>4303547.5833000001</v>
      </c>
      <c r="F33" s="89">
        <f>'MONTHLY STATS'!$K$59*0.21</f>
        <v>2904963.7407</v>
      </c>
      <c r="G33" s="89">
        <f>'MONTHLY STATS'!$K$71*0.21</f>
        <v>1096871.5023000001</v>
      </c>
      <c r="H33" s="89">
        <f>'MONTHLY STATS'!$K$83*0.21</f>
        <v>2467416.0587999998</v>
      </c>
      <c r="I33" s="89">
        <f>'MONTHLY STATS'!$K$95*0.21</f>
        <v>2863533.4391999999</v>
      </c>
      <c r="J33" s="89">
        <f>'MONTHLY STATS'!$K$107*0.21</f>
        <v>3539927.4372</v>
      </c>
      <c r="K33" s="89">
        <f>'MONTHLY STATS'!$K$119*0.21</f>
        <v>4523369.9385000002</v>
      </c>
      <c r="L33" s="89">
        <f>'MONTHLY STATS'!$K$131*0.21</f>
        <v>603992.21609999996</v>
      </c>
      <c r="M33" s="89">
        <f>'MONTHLY STATS'!$K$143*0.21</f>
        <v>5166807.4521000003</v>
      </c>
      <c r="N33" s="89">
        <f>'MONTHLY STATS'!$K$155*0.21</f>
        <v>785676.32849999995</v>
      </c>
      <c r="O33" s="90">
        <f t="shared" si="2"/>
        <v>33298697.867399994</v>
      </c>
      <c r="P33" s="83"/>
    </row>
    <row r="34" spans="1:16" ht="15.75" x14ac:dyDescent="0.25">
      <c r="A34" s="88">
        <f>DATE(2023,10,1)</f>
        <v>45200</v>
      </c>
      <c r="B34" s="89">
        <f>'MONTHLY STATS'!$K$12*0.21</f>
        <v>2701032.6566999997</v>
      </c>
      <c r="C34" s="89">
        <f>'MONTHLY STATS'!$K$24*0.21</f>
        <v>1371526.7223</v>
      </c>
      <c r="D34" s="89">
        <f>'MONTHLY STATS'!$K$36*0.21</f>
        <v>777349.62899999996</v>
      </c>
      <c r="E34" s="89">
        <f>'MONTHLY STATS'!$K$48*0.21</f>
        <v>4064615.5997999995</v>
      </c>
      <c r="F34" s="89">
        <f>'MONTHLY STATS'!$K$60*0.21</f>
        <v>2814623.5781999999</v>
      </c>
      <c r="G34" s="89">
        <f>'MONTHLY STATS'!$K$72*0.21</f>
        <v>1101098.6049000002</v>
      </c>
      <c r="H34" s="89">
        <f>'MONTHLY STATS'!$K$84*0.21</f>
        <v>2466193.7201999999</v>
      </c>
      <c r="I34" s="89">
        <f>'MONTHLY STATS'!$K$96*0.21</f>
        <v>2430873.3078000001</v>
      </c>
      <c r="J34" s="89">
        <f>'MONTHLY STATS'!$K$108*0.21</f>
        <v>3345843.1041000001</v>
      </c>
      <c r="K34" s="89">
        <f>'MONTHLY STATS'!$K$120*0.21</f>
        <v>4094721.8969999999</v>
      </c>
      <c r="L34" s="89">
        <f>'MONTHLY STATS'!$K$132*0.21</f>
        <v>648912.18629999994</v>
      </c>
      <c r="M34" s="89">
        <f>'MONTHLY STATS'!$K$144*0.21</f>
        <v>4966779.1592999995</v>
      </c>
      <c r="N34" s="89">
        <f>'MONTHLY STATS'!$K$156*0.21</f>
        <v>743898.00659999996</v>
      </c>
      <c r="O34" s="90">
        <f t="shared" si="2"/>
        <v>31527468.172199998</v>
      </c>
      <c r="P34" s="83"/>
    </row>
    <row r="35" spans="1:16" ht="15.75" x14ac:dyDescent="0.25">
      <c r="A35" s="88">
        <f>DATE(2023,11,1)</f>
        <v>45231</v>
      </c>
      <c r="B35" s="89">
        <f>'MONTHLY STATS'!$K$13*0.21</f>
        <v>2650326.1154999998</v>
      </c>
      <c r="C35" s="89">
        <f>'MONTHLY STATS'!$K$25*0.21</f>
        <v>1426649.6768999998</v>
      </c>
      <c r="D35" s="89">
        <f>'MONTHLY STATS'!$K$37*0.21</f>
        <v>752874.89339999994</v>
      </c>
      <c r="E35" s="89">
        <f>'MONTHLY STATS'!$K$49*0.21</f>
        <v>4139318.5617</v>
      </c>
      <c r="F35" s="89">
        <f>'MONTHLY STATS'!$K$61*0.21</f>
        <v>2664497.5496999999</v>
      </c>
      <c r="G35" s="89">
        <f>'MONTHLY STATS'!$K$73*0.21</f>
        <v>1095222.4668000001</v>
      </c>
      <c r="H35" s="89">
        <f>'MONTHLY STATS'!$K$85*0.21</f>
        <v>2433806.1908999998</v>
      </c>
      <c r="I35" s="89">
        <f>'MONTHLY STATS'!$K$97*0.21</f>
        <v>2525556.2976000002</v>
      </c>
      <c r="J35" s="89">
        <f>'MONTHLY STATS'!$K$109*0.21</f>
        <v>3087729.1641000002</v>
      </c>
      <c r="K35" s="89">
        <f>'MONTHLY STATS'!$K$121*0.21</f>
        <v>4242167.8067999994</v>
      </c>
      <c r="L35" s="89">
        <f>'MONTHLY STATS'!$K$133*0.21</f>
        <v>579577.9584</v>
      </c>
      <c r="M35" s="89">
        <f>'MONTHLY STATS'!$K$145*0.21</f>
        <v>4635585.1227000002</v>
      </c>
      <c r="N35" s="89">
        <f>'MONTHLY STATS'!$K$157*0.21</f>
        <v>765300.58919999993</v>
      </c>
      <c r="O35" s="90">
        <f t="shared" si="2"/>
        <v>30998612.3937</v>
      </c>
      <c r="P35" s="83"/>
    </row>
    <row r="36" spans="1:16" ht="15.75" x14ac:dyDescent="0.25">
      <c r="A36" s="88">
        <f>DATE(2023,12,1)</f>
        <v>45261</v>
      </c>
      <c r="B36" s="89">
        <f>'MONTHLY STATS'!$K$14*0.21</f>
        <v>2897479.6179</v>
      </c>
      <c r="C36" s="89">
        <f>'MONTHLY STATS'!$K$26*0.21</f>
        <v>1639249.6091999998</v>
      </c>
      <c r="D36" s="89">
        <f>'MONTHLY STATS'!$K$38*0.21</f>
        <v>853822.77119999996</v>
      </c>
      <c r="E36" s="89">
        <f>'MONTHLY STATS'!$K$50*0.21</f>
        <v>4488511.4315999998</v>
      </c>
      <c r="F36" s="89">
        <f>'MONTHLY STATS'!$K$62*0.21</f>
        <v>3270009.0359999998</v>
      </c>
      <c r="G36" s="89">
        <f>'MONTHLY STATS'!$K$74*0.21</f>
        <v>1258609.1531999998</v>
      </c>
      <c r="H36" s="89">
        <f>'MONTHLY STATS'!$K$86*0.21</f>
        <v>2498623.8122999999</v>
      </c>
      <c r="I36" s="89">
        <f>'MONTHLY STATS'!$K$98*0.21</f>
        <v>2935601.6487000003</v>
      </c>
      <c r="J36" s="89">
        <f>'MONTHLY STATS'!$K$110*0.21</f>
        <v>3911817.7077000001</v>
      </c>
      <c r="K36" s="89">
        <f>'MONTHLY STATS'!$K$122*0.21</f>
        <v>4523552.733</v>
      </c>
      <c r="L36" s="89">
        <f>'MONTHLY STATS'!$K$134*0.21</f>
        <v>672575.88509999996</v>
      </c>
      <c r="M36" s="89">
        <f>'MONTHLY STATS'!$K$146*0.21</f>
        <v>5591406.8007000005</v>
      </c>
      <c r="N36" s="89">
        <f>'MONTHLY STATS'!$K$158*0.21</f>
        <v>959752.53359999997</v>
      </c>
      <c r="O36" s="90">
        <f t="shared" si="2"/>
        <v>35501012.740199998</v>
      </c>
      <c r="P36" s="83"/>
    </row>
    <row r="37" spans="1:16" ht="15.75" x14ac:dyDescent="0.25">
      <c r="A37" s="88">
        <f>DATE(2024,1,1)</f>
        <v>45292</v>
      </c>
      <c r="B37" s="89">
        <f>'MONTHLY STATS'!$K$15*0.21</f>
        <v>2601939.4001999996</v>
      </c>
      <c r="C37" s="89">
        <f>'MONTHLY STATS'!$K$27*0.21</f>
        <v>1261256.1968999999</v>
      </c>
      <c r="D37" s="89">
        <f>'MONTHLY STATS'!$K$39*0.21</f>
        <v>708949.48739999998</v>
      </c>
      <c r="E37" s="89">
        <f>'MONTHLY STATS'!$K$51*0.21</f>
        <v>3782160.0053999997</v>
      </c>
      <c r="F37" s="89">
        <f>'MONTHLY STATS'!$K$63*0.21</f>
        <v>2372742.3615000001</v>
      </c>
      <c r="G37" s="89">
        <f>'MONTHLY STATS'!$K$75*0.21</f>
        <v>1004280.8684999999</v>
      </c>
      <c r="H37" s="89">
        <f>'MONTHLY STATS'!$K$87*0.21</f>
        <v>1982892.4646999999</v>
      </c>
      <c r="I37" s="89">
        <f>'MONTHLY STATS'!$K$99*0.21</f>
        <v>2291055.8852999997</v>
      </c>
      <c r="J37" s="89">
        <f>'MONTHLY STATS'!$K$111*0.21</f>
        <v>2957384.2766999998</v>
      </c>
      <c r="K37" s="89">
        <f>'MONTHLY STATS'!$K$123*0.21</f>
        <v>3735999.9914999995</v>
      </c>
      <c r="L37" s="89">
        <f>'MONTHLY STATS'!$K$135*0.21</f>
        <v>465027.45030000003</v>
      </c>
      <c r="M37" s="89">
        <f>'MONTHLY STATS'!$K$147*0.21</f>
        <v>4526947.6832999997</v>
      </c>
      <c r="N37" s="89">
        <f>'MONTHLY STATS'!$K$159*0.21</f>
        <v>698851.04729999998</v>
      </c>
      <c r="O37" s="90">
        <f>SUM(B37:N37)</f>
        <v>28389487.119000003</v>
      </c>
      <c r="P37" s="83"/>
    </row>
    <row r="38" spans="1:16" ht="15.75" x14ac:dyDescent="0.25">
      <c r="A38" s="88">
        <f>DATE(2024,2,1)</f>
        <v>45323</v>
      </c>
      <c r="B38" s="89">
        <f>'MONTHLY STATS'!$K$16*0.21</f>
        <v>2874438.1805999996</v>
      </c>
      <c r="C38" s="89">
        <f>'MONTHLY STATS'!$K$28*0.21</f>
        <v>1488105.108</v>
      </c>
      <c r="D38" s="89">
        <f>'MONTHLY STATS'!$K$40*0.21</f>
        <v>853007.07030000002</v>
      </c>
      <c r="E38" s="89">
        <f>'MONTHLY STATS'!$K$52*0.21</f>
        <v>4339097.3577000005</v>
      </c>
      <c r="F38" s="89">
        <f>'MONTHLY STATS'!$K$64*0.21</f>
        <v>2856430.9724999997</v>
      </c>
      <c r="G38" s="89">
        <f>'MONTHLY STATS'!$K$76*0.21</f>
        <v>1208032.3458</v>
      </c>
      <c r="H38" s="89">
        <f>'MONTHLY STATS'!$K$88*0.21</f>
        <v>2361305.9210999999</v>
      </c>
      <c r="I38" s="89">
        <f>'MONTHLY STATS'!$K$100*0.21</f>
        <v>2585680.3958999999</v>
      </c>
      <c r="J38" s="89">
        <f>'MONTHLY STATS'!$K$112*0.21</f>
        <v>3543978.0053999997</v>
      </c>
      <c r="K38" s="89">
        <f>'MONTHLY STATS'!$K$124*0.21</f>
        <v>4277385.9827999994</v>
      </c>
      <c r="L38" s="89">
        <f>'MONTHLY STATS'!$K$136*0.21</f>
        <v>654201.42059999995</v>
      </c>
      <c r="M38" s="89">
        <f>'MONTHLY STATS'!$K$148*0.21</f>
        <v>5026638.3866999997</v>
      </c>
      <c r="N38" s="89">
        <f>'MONTHLY STATS'!$K$160*0.21</f>
        <v>901193.49810000008</v>
      </c>
      <c r="O38" s="90">
        <f>SUM(B38:N38)</f>
        <v>32969494.645500001</v>
      </c>
      <c r="P38" s="83"/>
    </row>
    <row r="39" spans="1:16" ht="15.75" x14ac:dyDescent="0.25">
      <c r="A39" s="88">
        <f>DATE(2024,3,1)</f>
        <v>45352</v>
      </c>
      <c r="B39" s="89">
        <f>'MONTHLY STATS'!$K$17*0.21</f>
        <v>3435349.5791999996</v>
      </c>
      <c r="C39" s="89">
        <f>'MONTHLY STATS'!$K$29*0.21</f>
        <v>1676615.8857</v>
      </c>
      <c r="D39" s="89">
        <f>'MONTHLY STATS'!$K$41*0.21</f>
        <v>986851.43759999983</v>
      </c>
      <c r="E39" s="89">
        <f>'MONTHLY STATS'!$K$53*0.21</f>
        <v>4543175.5424999995</v>
      </c>
      <c r="F39" s="89">
        <f>'MONTHLY STATS'!$K$65*0.21</f>
        <v>3227699.3657999998</v>
      </c>
      <c r="G39" s="89">
        <f>'MONTHLY STATS'!$K$77*0.21</f>
        <v>1439479.3370999999</v>
      </c>
      <c r="H39" s="89">
        <f>'MONTHLY STATS'!$K$89*0.21</f>
        <v>2634121.0874999999</v>
      </c>
      <c r="I39" s="89">
        <f>'MONTHLY STATS'!$K$101*0.21</f>
        <v>2915560.9623000002</v>
      </c>
      <c r="J39" s="89">
        <f>'MONTHLY STATS'!$K$113*0.21</f>
        <v>3954866.6765999999</v>
      </c>
      <c r="K39" s="89">
        <f>'MONTHLY STATS'!$K$125*0.21</f>
        <v>4813539.8997</v>
      </c>
      <c r="L39" s="89">
        <f>'MONTHLY STATS'!$K$137*0.21</f>
        <v>727920.22169999999</v>
      </c>
      <c r="M39" s="89">
        <f>'MONTHLY STATS'!$K$149*0.21</f>
        <v>5545162.8161999993</v>
      </c>
      <c r="N39" s="89">
        <f>'MONTHLY STATS'!$K$161*0.21</f>
        <v>934894.47659999994</v>
      </c>
      <c r="O39" s="90">
        <f>SUM(B39:N39)</f>
        <v>36835237.288499996</v>
      </c>
      <c r="P39" s="83"/>
    </row>
    <row r="40" spans="1:16" ht="15.75" x14ac:dyDescent="0.25">
      <c r="A40" s="88"/>
      <c r="B40" s="89"/>
      <c r="C40" s="89"/>
      <c r="D40" s="89"/>
      <c r="E40" s="89"/>
      <c r="F40" s="89"/>
      <c r="G40" s="89"/>
      <c r="H40" s="89"/>
      <c r="I40" s="89"/>
      <c r="J40" s="89"/>
      <c r="K40" s="89"/>
      <c r="L40" s="89"/>
      <c r="M40" s="89"/>
      <c r="N40" s="89"/>
      <c r="O40" s="90"/>
      <c r="P40" s="83"/>
    </row>
    <row r="41" spans="1:16" ht="15.75" x14ac:dyDescent="0.25">
      <c r="A41" s="88"/>
      <c r="B41" s="89"/>
      <c r="C41" s="89"/>
      <c r="D41" s="89"/>
      <c r="E41" s="89"/>
      <c r="F41" s="89"/>
      <c r="G41" s="89"/>
      <c r="H41" s="89"/>
      <c r="I41" s="89"/>
      <c r="J41" s="89"/>
      <c r="K41" s="89"/>
      <c r="L41" s="89"/>
      <c r="M41" s="89"/>
      <c r="N41" s="89"/>
      <c r="O41" s="90"/>
      <c r="P41" s="83"/>
    </row>
    <row r="42" spans="1:16" ht="15.75" x14ac:dyDescent="0.25">
      <c r="A42" s="88"/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  <c r="O42" s="90"/>
      <c r="P42" s="83"/>
    </row>
    <row r="43" spans="1:16" ht="15.75" x14ac:dyDescent="0.25">
      <c r="A43" s="88"/>
      <c r="B43" s="89"/>
      <c r="C43" s="89"/>
      <c r="D43" s="89"/>
      <c r="E43" s="89"/>
      <c r="F43" s="89"/>
      <c r="G43" s="89"/>
      <c r="H43" s="89"/>
      <c r="I43" s="89"/>
      <c r="J43" s="89"/>
      <c r="K43" s="89"/>
      <c r="L43" s="89"/>
      <c r="M43" s="89"/>
      <c r="N43" s="89"/>
      <c r="O43" s="90"/>
      <c r="P43" s="83"/>
    </row>
    <row r="44" spans="1:16" ht="15.75" x14ac:dyDescent="0.25">
      <c r="A44" s="91" t="s">
        <v>27</v>
      </c>
      <c r="B44" s="90">
        <f t="shared" ref="B44:O44" si="3">SUM(B31:B42)</f>
        <v>25958140.485899996</v>
      </c>
      <c r="C44" s="90">
        <f t="shared" si="3"/>
        <v>13666769.902799999</v>
      </c>
      <c r="D44" s="90">
        <f t="shared" si="3"/>
        <v>7384769.3534999993</v>
      </c>
      <c r="E44" s="90">
        <f t="shared" si="3"/>
        <v>38525607.426599994</v>
      </c>
      <c r="F44" s="90">
        <f t="shared" si="3"/>
        <v>26295219.976199999</v>
      </c>
      <c r="G44" s="90">
        <f t="shared" si="3"/>
        <v>10782096.8157</v>
      </c>
      <c r="H44" s="90">
        <f t="shared" si="3"/>
        <v>21396450.140099999</v>
      </c>
      <c r="I44" s="90">
        <f>SUM(I31:I42)</f>
        <v>24239079.923100002</v>
      </c>
      <c r="J44" s="90">
        <f t="shared" si="3"/>
        <v>31477526.476199999</v>
      </c>
      <c r="K44" s="90">
        <f>SUM(K31:K42)</f>
        <v>39208900.1514</v>
      </c>
      <c r="L44" s="90">
        <f t="shared" si="3"/>
        <v>5623000.8575999998</v>
      </c>
      <c r="M44" s="90">
        <f t="shared" si="3"/>
        <v>45752830.737599999</v>
      </c>
      <c r="N44" s="90">
        <f t="shared" si="3"/>
        <v>7422040.5692999996</v>
      </c>
      <c r="O44" s="90">
        <f t="shared" si="3"/>
        <v>297732432.81599998</v>
      </c>
      <c r="P44" s="83"/>
    </row>
    <row r="45" spans="1:16" ht="16.5" thickBot="1" x14ac:dyDescent="0.3">
      <c r="A45" s="92"/>
      <c r="B45" s="90"/>
      <c r="C45" s="90"/>
      <c r="D45" s="90"/>
      <c r="E45" s="89"/>
      <c r="F45" s="89"/>
      <c r="G45" s="89"/>
      <c r="H45" s="89"/>
      <c r="I45" s="89"/>
      <c r="J45" s="90"/>
      <c r="K45" s="90"/>
      <c r="L45" s="90"/>
      <c r="M45" s="90"/>
      <c r="N45" s="90"/>
      <c r="O45" s="90"/>
      <c r="P45" s="83"/>
    </row>
    <row r="46" spans="1:16" ht="15.75" thickTop="1" x14ac:dyDescent="0.2">
      <c r="A46" s="114"/>
      <c r="B46" s="114"/>
      <c r="C46" s="114"/>
      <c r="D46" s="114"/>
      <c r="E46" s="114"/>
      <c r="F46" s="114"/>
      <c r="G46" s="114"/>
      <c r="H46" s="114"/>
      <c r="I46" s="114"/>
      <c r="J46" s="114"/>
      <c r="K46" s="114"/>
      <c r="L46" s="114"/>
      <c r="M46" s="114"/>
      <c r="N46" s="114"/>
      <c r="O46" s="114"/>
    </row>
    <row r="47" spans="1:16" x14ac:dyDescent="0.2">
      <c r="A47" s="288"/>
      <c r="B47" s="287"/>
      <c r="C47" s="287"/>
      <c r="D47" s="287"/>
      <c r="E47" s="287"/>
      <c r="F47" s="287"/>
      <c r="G47" s="287"/>
      <c r="H47" s="287"/>
      <c r="I47" s="287"/>
      <c r="J47" s="287"/>
      <c r="K47" s="287"/>
      <c r="L47" s="287"/>
      <c r="M47" s="287"/>
      <c r="N47" s="287"/>
      <c r="O47" s="287"/>
    </row>
    <row r="48" spans="1:16" ht="15.75" x14ac:dyDescent="0.25">
      <c r="A48" s="115" t="s">
        <v>29</v>
      </c>
      <c r="B48" s="98"/>
      <c r="C48" s="98"/>
      <c r="D48" s="98"/>
      <c r="E48" s="98"/>
      <c r="F48" s="98"/>
      <c r="G48" s="98"/>
      <c r="H48" s="98"/>
      <c r="I48" s="98"/>
    </row>
    <row r="49" spans="1:9" ht="15.75" x14ac:dyDescent="0.25">
      <c r="A49" s="115"/>
      <c r="B49" s="98"/>
      <c r="C49" s="98"/>
      <c r="D49" s="98"/>
      <c r="E49" s="98"/>
      <c r="F49" s="98"/>
      <c r="G49" s="98"/>
      <c r="H49" s="98"/>
      <c r="I49" s="98"/>
    </row>
    <row r="50" spans="1:9" ht="15.75" x14ac:dyDescent="0.25">
      <c r="A50" s="72"/>
    </row>
  </sheetData>
  <phoneticPr fontId="0" type="noConversion"/>
  <printOptions horizontalCentered="1"/>
  <pageMargins left="0.3" right="0.05" top="0.31944444444444398" bottom="0.25" header="0.5" footer="0.5"/>
  <pageSetup scale="52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H170"/>
  <sheetViews>
    <sheetView showOutlineSymbols="0" zoomScaleNormal="100" workbookViewId="0">
      <selection activeCell="A5" sqref="A5"/>
    </sheetView>
  </sheetViews>
  <sheetFormatPr defaultColWidth="9.6640625" defaultRowHeight="15" x14ac:dyDescent="0.2"/>
  <cols>
    <col min="1" max="1" width="27.6640625" style="118" customWidth="1"/>
    <col min="2" max="2" width="9.6640625" style="118" customWidth="1"/>
    <col min="3" max="3" width="16.6640625" style="209" customWidth="1"/>
    <col min="4" max="5" width="15.6640625" style="209" customWidth="1"/>
    <col min="6" max="6" width="9.6640625" style="118" customWidth="1"/>
    <col min="7" max="7" width="10.5546875" style="221" customWidth="1"/>
    <col min="8" max="16384" width="9.6640625" style="118"/>
  </cols>
  <sheetData>
    <row r="1" spans="1:8" ht="18" x14ac:dyDescent="0.25">
      <c r="A1" s="116" t="s">
        <v>0</v>
      </c>
      <c r="B1" s="117"/>
      <c r="C1" s="200"/>
      <c r="D1" s="200"/>
      <c r="E1" s="200"/>
      <c r="F1" s="117"/>
      <c r="G1" s="210"/>
    </row>
    <row r="2" spans="1:8" ht="18" customHeight="1" x14ac:dyDescent="0.3">
      <c r="A2" s="119" t="s">
        <v>30</v>
      </c>
      <c r="B2" s="117"/>
      <c r="C2" s="200"/>
      <c r="D2" s="200"/>
      <c r="E2" s="200"/>
      <c r="F2" s="117"/>
      <c r="G2" s="210"/>
    </row>
    <row r="3" spans="1:8" ht="18" customHeight="1" x14ac:dyDescent="0.25">
      <c r="A3" s="283" t="s">
        <v>75</v>
      </c>
      <c r="B3" s="117"/>
      <c r="C3" s="200"/>
      <c r="D3" s="200"/>
      <c r="E3" s="200"/>
      <c r="F3" s="117"/>
      <c r="G3" s="210"/>
    </row>
    <row r="4" spans="1:8" x14ac:dyDescent="0.2">
      <c r="A4" s="284" t="s">
        <v>78</v>
      </c>
      <c r="B4" s="117"/>
      <c r="C4" s="200"/>
      <c r="D4" s="200"/>
      <c r="E4" s="200"/>
      <c r="F4" s="117"/>
      <c r="G4" s="210"/>
    </row>
    <row r="5" spans="1:8" ht="15.75" x14ac:dyDescent="0.25">
      <c r="A5" s="117"/>
      <c r="B5" s="117"/>
      <c r="C5" s="200"/>
      <c r="D5" s="200"/>
      <c r="E5" s="200"/>
      <c r="F5" s="117"/>
      <c r="G5" s="211" t="s">
        <v>1</v>
      </c>
    </row>
    <row r="6" spans="1:8" ht="16.5" thickTop="1" x14ac:dyDescent="0.25">
      <c r="A6" s="120"/>
      <c r="B6" s="121" t="s">
        <v>2</v>
      </c>
      <c r="C6" s="201" t="s">
        <v>31</v>
      </c>
      <c r="D6" s="201" t="s">
        <v>31</v>
      </c>
      <c r="E6" s="201" t="s">
        <v>3</v>
      </c>
      <c r="F6" s="122"/>
      <c r="G6" s="212" t="s">
        <v>32</v>
      </c>
      <c r="H6" s="123"/>
    </row>
    <row r="7" spans="1:8" ht="16.5" thickBot="1" x14ac:dyDescent="0.3">
      <c r="A7" s="124" t="s">
        <v>5</v>
      </c>
      <c r="B7" s="125" t="s">
        <v>6</v>
      </c>
      <c r="C7" s="262" t="s">
        <v>33</v>
      </c>
      <c r="D7" s="202" t="s">
        <v>34</v>
      </c>
      <c r="E7" s="202" t="s">
        <v>34</v>
      </c>
      <c r="F7" s="126" t="s">
        <v>8</v>
      </c>
      <c r="G7" s="213" t="s">
        <v>35</v>
      </c>
      <c r="H7" s="123"/>
    </row>
    <row r="8" spans="1:8" ht="15.75" customHeight="1" thickTop="1" x14ac:dyDescent="0.25">
      <c r="A8" s="127"/>
      <c r="B8" s="128"/>
      <c r="C8" s="203"/>
      <c r="D8" s="203"/>
      <c r="E8" s="203"/>
      <c r="F8" s="129"/>
      <c r="G8" s="214"/>
      <c r="H8" s="123"/>
    </row>
    <row r="9" spans="1:8" ht="15.75" x14ac:dyDescent="0.25">
      <c r="A9" s="130" t="s">
        <v>36</v>
      </c>
      <c r="B9" s="131">
        <f>DATE(2023,7,1)</f>
        <v>45108</v>
      </c>
      <c r="C9" s="204">
        <v>17140378</v>
      </c>
      <c r="D9" s="204">
        <v>2756909.5</v>
      </c>
      <c r="E9" s="204">
        <v>3018310</v>
      </c>
      <c r="F9" s="132">
        <f t="shared" ref="F9:F14" si="0">(+D9-E9)/E9</f>
        <v>-8.6604921297017204E-2</v>
      </c>
      <c r="G9" s="215">
        <f t="shared" ref="G9:G14" si="1">D9/C9</f>
        <v>0.16084298140916145</v>
      </c>
      <c r="H9" s="123"/>
    </row>
    <row r="10" spans="1:8" ht="15.75" x14ac:dyDescent="0.25">
      <c r="A10" s="130"/>
      <c r="B10" s="131">
        <f>DATE(2023,8,1)</f>
        <v>45139</v>
      </c>
      <c r="C10" s="204">
        <v>15153020</v>
      </c>
      <c r="D10" s="204">
        <v>2981923.5</v>
      </c>
      <c r="E10" s="204">
        <v>3237681.85</v>
      </c>
      <c r="F10" s="132">
        <f t="shared" si="0"/>
        <v>-7.8994281047101669E-2</v>
      </c>
      <c r="G10" s="215">
        <f t="shared" si="1"/>
        <v>0.19678740607482864</v>
      </c>
      <c r="H10" s="123"/>
    </row>
    <row r="11" spans="1:8" ht="15.75" x14ac:dyDescent="0.25">
      <c r="A11" s="130"/>
      <c r="B11" s="131">
        <f>DATE(2023,9,1)</f>
        <v>45170</v>
      </c>
      <c r="C11" s="204">
        <v>15570607</v>
      </c>
      <c r="D11" s="204">
        <v>1895240.5</v>
      </c>
      <c r="E11" s="204">
        <v>2018642</v>
      </c>
      <c r="F11" s="132">
        <f t="shared" si="0"/>
        <v>-6.1130948429686888E-2</v>
      </c>
      <c r="G11" s="215">
        <f t="shared" si="1"/>
        <v>0.12171911473971439</v>
      </c>
      <c r="H11" s="123"/>
    </row>
    <row r="12" spans="1:8" ht="15.75" x14ac:dyDescent="0.25">
      <c r="A12" s="130"/>
      <c r="B12" s="131">
        <f>DATE(2023,10,1)</f>
        <v>45200</v>
      </c>
      <c r="C12" s="204">
        <v>16463924</v>
      </c>
      <c r="D12" s="204">
        <v>2575274</v>
      </c>
      <c r="E12" s="204">
        <v>2709321</v>
      </c>
      <c r="F12" s="132">
        <f t="shared" si="0"/>
        <v>-4.9476234082266368E-2</v>
      </c>
      <c r="G12" s="215">
        <f t="shared" si="1"/>
        <v>0.15641921087585195</v>
      </c>
      <c r="H12" s="123"/>
    </row>
    <row r="13" spans="1:8" ht="15.75" x14ac:dyDescent="0.25">
      <c r="A13" s="130"/>
      <c r="B13" s="131">
        <f>DATE(2023,11,1)</f>
        <v>45231</v>
      </c>
      <c r="C13" s="204">
        <v>14441930</v>
      </c>
      <c r="D13" s="204">
        <v>1924101</v>
      </c>
      <c r="E13" s="204">
        <v>2936554</v>
      </c>
      <c r="F13" s="132">
        <f t="shared" si="0"/>
        <v>-0.34477588356965339</v>
      </c>
      <c r="G13" s="215">
        <f t="shared" si="1"/>
        <v>0.13323018460828989</v>
      </c>
      <c r="H13" s="123"/>
    </row>
    <row r="14" spans="1:8" ht="15.75" x14ac:dyDescent="0.25">
      <c r="A14" s="130"/>
      <c r="B14" s="131">
        <f>DATE(2023,12,1)</f>
        <v>45261</v>
      </c>
      <c r="C14" s="204">
        <v>16189391</v>
      </c>
      <c r="D14" s="204">
        <v>2377192</v>
      </c>
      <c r="E14" s="204">
        <v>2019034</v>
      </c>
      <c r="F14" s="132">
        <f t="shared" si="0"/>
        <v>0.17739077202266035</v>
      </c>
      <c r="G14" s="215">
        <f t="shared" si="1"/>
        <v>0.14683640663197275</v>
      </c>
      <c r="H14" s="123"/>
    </row>
    <row r="15" spans="1:8" ht="15.75" x14ac:dyDescent="0.25">
      <c r="A15" s="130"/>
      <c r="B15" s="131">
        <f>DATE(2024,1,1)</f>
        <v>45292</v>
      </c>
      <c r="C15" s="204">
        <v>15361915</v>
      </c>
      <c r="D15" s="204">
        <v>2557444</v>
      </c>
      <c r="E15" s="204">
        <v>3086761.5</v>
      </c>
      <c r="F15" s="132">
        <f>(+D15-E15)/E15</f>
        <v>-0.17147988271850612</v>
      </c>
      <c r="G15" s="215">
        <f>D15/C15</f>
        <v>0.16647950467112987</v>
      </c>
      <c r="H15" s="123"/>
    </row>
    <row r="16" spans="1:8" ht="15.75" x14ac:dyDescent="0.25">
      <c r="A16" s="130"/>
      <c r="B16" s="131">
        <f>DATE(2024,2,1)</f>
        <v>45323</v>
      </c>
      <c r="C16" s="204">
        <v>14656454</v>
      </c>
      <c r="D16" s="204">
        <v>1928252</v>
      </c>
      <c r="E16" s="204">
        <v>2473094.5</v>
      </c>
      <c r="F16" s="132">
        <f>(+D16-E16)/E16</f>
        <v>-0.22030799874408358</v>
      </c>
      <c r="G16" s="215">
        <f>D16/C16</f>
        <v>0.1315633372164918</v>
      </c>
      <c r="H16" s="123"/>
    </row>
    <row r="17" spans="1:8" ht="15.75" x14ac:dyDescent="0.25">
      <c r="A17" s="130"/>
      <c r="B17" s="131">
        <f>DATE(2024,3,1)</f>
        <v>45352</v>
      </c>
      <c r="C17" s="204">
        <v>16662090</v>
      </c>
      <c r="D17" s="204">
        <v>3073230</v>
      </c>
      <c r="E17" s="204">
        <v>2339779</v>
      </c>
      <c r="F17" s="132">
        <f>(+D17-E17)/E17</f>
        <v>0.31347020380984703</v>
      </c>
      <c r="G17" s="215">
        <f>D17/C17</f>
        <v>0.18444444844554314</v>
      </c>
      <c r="H17" s="123"/>
    </row>
    <row r="18" spans="1:8" ht="15.75" thickBot="1" x14ac:dyDescent="0.25">
      <c r="A18" s="133"/>
      <c r="B18" s="134"/>
      <c r="C18" s="204"/>
      <c r="D18" s="204"/>
      <c r="E18" s="204"/>
      <c r="F18" s="132"/>
      <c r="G18" s="215"/>
      <c r="H18" s="123"/>
    </row>
    <row r="19" spans="1:8" ht="17.25" thickTop="1" thickBot="1" x14ac:dyDescent="0.3">
      <c r="A19" s="135" t="s">
        <v>14</v>
      </c>
      <c r="B19" s="136"/>
      <c r="C19" s="201">
        <f>SUM(C9:C18)</f>
        <v>141639709</v>
      </c>
      <c r="D19" s="201">
        <f>SUM(D9:D18)</f>
        <v>22069566.5</v>
      </c>
      <c r="E19" s="201">
        <f>SUM(E9:E18)</f>
        <v>23839177.850000001</v>
      </c>
      <c r="F19" s="137">
        <f>(+D19-E19)/E19</f>
        <v>-7.4231223959764253E-2</v>
      </c>
      <c r="G19" s="212">
        <f>D19/C19</f>
        <v>0.15581482520555023</v>
      </c>
      <c r="H19" s="123"/>
    </row>
    <row r="20" spans="1:8" ht="15.75" customHeight="1" thickTop="1" x14ac:dyDescent="0.25">
      <c r="A20" s="138"/>
      <c r="B20" s="139"/>
      <c r="C20" s="205"/>
      <c r="D20" s="205"/>
      <c r="E20" s="205"/>
      <c r="F20" s="140"/>
      <c r="G20" s="216"/>
      <c r="H20" s="123"/>
    </row>
    <row r="21" spans="1:8" ht="15.75" x14ac:dyDescent="0.25">
      <c r="A21" s="19" t="s">
        <v>15</v>
      </c>
      <c r="B21" s="131">
        <f>DATE(2023,7,1)</f>
        <v>45108</v>
      </c>
      <c r="C21" s="204">
        <v>2471937</v>
      </c>
      <c r="D21" s="204">
        <v>614728</v>
      </c>
      <c r="E21" s="204">
        <v>637839.5</v>
      </c>
      <c r="F21" s="132">
        <f t="shared" ref="F21:F26" si="2">(+D21-E21)/E21</f>
        <v>-3.62340369324885E-2</v>
      </c>
      <c r="G21" s="215">
        <f t="shared" ref="G21:G26" si="3">D21/C21</f>
        <v>0.24868271319212423</v>
      </c>
      <c r="H21" s="123"/>
    </row>
    <row r="22" spans="1:8" ht="15.75" x14ac:dyDescent="0.25">
      <c r="A22" s="19"/>
      <c r="B22" s="131">
        <f>DATE(2023,8,1)</f>
        <v>45139</v>
      </c>
      <c r="C22" s="204">
        <v>2248291</v>
      </c>
      <c r="D22" s="204">
        <v>388628</v>
      </c>
      <c r="E22" s="204">
        <v>695761.5</v>
      </c>
      <c r="F22" s="132">
        <f t="shared" si="2"/>
        <v>-0.44143503197575606</v>
      </c>
      <c r="G22" s="215">
        <f t="shared" si="3"/>
        <v>0.17285484841597462</v>
      </c>
      <c r="H22" s="123"/>
    </row>
    <row r="23" spans="1:8" ht="15.75" x14ac:dyDescent="0.25">
      <c r="A23" s="19"/>
      <c r="B23" s="131">
        <f>DATE(2023,9,1)</f>
        <v>45170</v>
      </c>
      <c r="C23" s="204">
        <v>2515180</v>
      </c>
      <c r="D23" s="204">
        <v>596038.5</v>
      </c>
      <c r="E23" s="204">
        <v>780368</v>
      </c>
      <c r="F23" s="132">
        <f t="shared" si="2"/>
        <v>-0.23620842986898488</v>
      </c>
      <c r="G23" s="215">
        <f t="shared" si="3"/>
        <v>0.2369764788206013</v>
      </c>
      <c r="H23" s="123"/>
    </row>
    <row r="24" spans="1:8" ht="15.75" x14ac:dyDescent="0.25">
      <c r="A24" s="19"/>
      <c r="B24" s="131">
        <f>DATE(2023,10,1)</f>
        <v>45200</v>
      </c>
      <c r="C24" s="204">
        <v>2462749</v>
      </c>
      <c r="D24" s="204">
        <v>457507</v>
      </c>
      <c r="E24" s="204">
        <v>868243</v>
      </c>
      <c r="F24" s="132">
        <f t="shared" si="2"/>
        <v>-0.47306572008066866</v>
      </c>
      <c r="G24" s="215">
        <f t="shared" si="3"/>
        <v>0.18577086012419455</v>
      </c>
      <c r="H24" s="123"/>
    </row>
    <row r="25" spans="1:8" ht="15.75" x14ac:dyDescent="0.25">
      <c r="A25" s="19"/>
      <c r="B25" s="131">
        <f>DATE(2023,11,1)</f>
        <v>45231</v>
      </c>
      <c r="C25" s="204">
        <v>2333327</v>
      </c>
      <c r="D25" s="204">
        <v>573968</v>
      </c>
      <c r="E25" s="204">
        <v>714136.5</v>
      </c>
      <c r="F25" s="132">
        <f t="shared" si="2"/>
        <v>-0.19627690224487895</v>
      </c>
      <c r="G25" s="215">
        <f t="shared" si="3"/>
        <v>0.24598695339315921</v>
      </c>
      <c r="H25" s="123"/>
    </row>
    <row r="26" spans="1:8" ht="15.75" x14ac:dyDescent="0.25">
      <c r="A26" s="19"/>
      <c r="B26" s="131">
        <f>DATE(2023,12,1)</f>
        <v>45261</v>
      </c>
      <c r="C26" s="204">
        <v>2421990</v>
      </c>
      <c r="D26" s="204">
        <v>676389.5</v>
      </c>
      <c r="E26" s="204">
        <v>736054</v>
      </c>
      <c r="F26" s="132">
        <f t="shared" si="2"/>
        <v>-8.1059949405885984E-2</v>
      </c>
      <c r="G26" s="215">
        <f t="shared" si="3"/>
        <v>0.27927014562405295</v>
      </c>
      <c r="H26" s="123"/>
    </row>
    <row r="27" spans="1:8" ht="15.75" x14ac:dyDescent="0.25">
      <c r="A27" s="19"/>
      <c r="B27" s="131">
        <f>DATE(2024,1,1)</f>
        <v>45292</v>
      </c>
      <c r="C27" s="204">
        <v>2145869</v>
      </c>
      <c r="D27" s="204">
        <v>621740</v>
      </c>
      <c r="E27" s="204">
        <v>620241</v>
      </c>
      <c r="F27" s="132">
        <f>(+D27-E27)/E27</f>
        <v>2.4168025009633351E-3</v>
      </c>
      <c r="G27" s="215">
        <f>D27/C27</f>
        <v>0.28973809678037193</v>
      </c>
      <c r="H27" s="123"/>
    </row>
    <row r="28" spans="1:8" ht="15.75" x14ac:dyDescent="0.25">
      <c r="A28" s="19"/>
      <c r="B28" s="131">
        <f>DATE(2024,2,1)</f>
        <v>45323</v>
      </c>
      <c r="C28" s="204">
        <v>2278925</v>
      </c>
      <c r="D28" s="204">
        <v>529666</v>
      </c>
      <c r="E28" s="204">
        <v>564375.5</v>
      </c>
      <c r="F28" s="132">
        <f>(+D28-E28)/E28</f>
        <v>-6.1500720708110114E-2</v>
      </c>
      <c r="G28" s="215">
        <f>D28/C28</f>
        <v>0.23241923275228452</v>
      </c>
      <c r="H28" s="123"/>
    </row>
    <row r="29" spans="1:8" ht="15.75" x14ac:dyDescent="0.25">
      <c r="A29" s="19"/>
      <c r="B29" s="131">
        <f>DATE(2024,3,1)</f>
        <v>45352</v>
      </c>
      <c r="C29" s="204">
        <v>2741615</v>
      </c>
      <c r="D29" s="204">
        <v>724612.5</v>
      </c>
      <c r="E29" s="204">
        <v>903835</v>
      </c>
      <c r="F29" s="132">
        <f>(+D29-E29)/E29</f>
        <v>-0.19829117040167729</v>
      </c>
      <c r="G29" s="215">
        <f>D29/C29</f>
        <v>0.26430133333819666</v>
      </c>
      <c r="H29" s="123"/>
    </row>
    <row r="30" spans="1:8" ht="15.75" thickBot="1" x14ac:dyDescent="0.25">
      <c r="A30" s="133"/>
      <c r="B30" s="131"/>
      <c r="C30" s="204"/>
      <c r="D30" s="204"/>
      <c r="E30" s="204"/>
      <c r="F30" s="132"/>
      <c r="G30" s="215"/>
      <c r="H30" s="123"/>
    </row>
    <row r="31" spans="1:8" ht="17.25" thickTop="1" thickBot="1" x14ac:dyDescent="0.3">
      <c r="A31" s="135" t="s">
        <v>14</v>
      </c>
      <c r="B31" s="136"/>
      <c r="C31" s="201">
        <f>SUM(C21:C30)</f>
        <v>21619883</v>
      </c>
      <c r="D31" s="201">
        <f>SUM(D21:D30)</f>
        <v>5183277.5</v>
      </c>
      <c r="E31" s="201">
        <f>SUM(E21:E30)</f>
        <v>6520854</v>
      </c>
      <c r="F31" s="137">
        <f>(+D31-E31)/E31</f>
        <v>-0.20512290261367605</v>
      </c>
      <c r="G31" s="212">
        <f>D31/C31</f>
        <v>0.23974586263949718</v>
      </c>
      <c r="H31" s="123"/>
    </row>
    <row r="32" spans="1:8" ht="15.75" customHeight="1" thickTop="1" x14ac:dyDescent="0.25">
      <c r="A32" s="255"/>
      <c r="B32" s="139"/>
      <c r="C32" s="205"/>
      <c r="D32" s="205"/>
      <c r="E32" s="205"/>
      <c r="F32" s="140"/>
      <c r="G32" s="219"/>
      <c r="H32" s="123"/>
    </row>
    <row r="33" spans="1:8" ht="15.75" x14ac:dyDescent="0.25">
      <c r="A33" s="19" t="s">
        <v>62</v>
      </c>
      <c r="B33" s="131">
        <f>DATE(2023,7,1)</f>
        <v>45108</v>
      </c>
      <c r="C33" s="204">
        <v>1300276</v>
      </c>
      <c r="D33" s="204">
        <v>166322.5</v>
      </c>
      <c r="E33" s="204">
        <v>249087.5</v>
      </c>
      <c r="F33" s="132">
        <f t="shared" ref="F33:F38" si="4">(+D33-E33)/E33</f>
        <v>-0.33227279570432078</v>
      </c>
      <c r="G33" s="215">
        <f t="shared" ref="G33:G38" si="5">D33/C33</f>
        <v>0.12791322765320592</v>
      </c>
      <c r="H33" s="123"/>
    </row>
    <row r="34" spans="1:8" ht="15.75" x14ac:dyDescent="0.25">
      <c r="A34" s="19"/>
      <c r="B34" s="131">
        <f>DATE(2023,8,1)</f>
        <v>45139</v>
      </c>
      <c r="C34" s="204">
        <v>1380793</v>
      </c>
      <c r="D34" s="204">
        <v>264487</v>
      </c>
      <c r="E34" s="204">
        <v>272495.5</v>
      </c>
      <c r="F34" s="132">
        <f t="shared" si="4"/>
        <v>-2.9389476156486988E-2</v>
      </c>
      <c r="G34" s="215">
        <f t="shared" si="5"/>
        <v>0.19154717615167516</v>
      </c>
      <c r="H34" s="123"/>
    </row>
    <row r="35" spans="1:8" ht="15.75" x14ac:dyDescent="0.25">
      <c r="A35" s="19"/>
      <c r="B35" s="131">
        <f>DATE(2023,9,1)</f>
        <v>45170</v>
      </c>
      <c r="C35" s="204">
        <v>1331049</v>
      </c>
      <c r="D35" s="204">
        <v>353812</v>
      </c>
      <c r="E35" s="204">
        <v>310850</v>
      </c>
      <c r="F35" s="132">
        <f t="shared" si="4"/>
        <v>0.13820813897378156</v>
      </c>
      <c r="G35" s="215">
        <f t="shared" si="5"/>
        <v>0.26581440653199095</v>
      </c>
      <c r="H35" s="123"/>
    </row>
    <row r="36" spans="1:8" ht="15.75" x14ac:dyDescent="0.25">
      <c r="A36" s="19"/>
      <c r="B36" s="131">
        <f>DATE(2023,10,1)</f>
        <v>45200</v>
      </c>
      <c r="C36" s="204">
        <v>1247669</v>
      </c>
      <c r="D36" s="204">
        <v>292380</v>
      </c>
      <c r="E36" s="204">
        <v>204149.5</v>
      </c>
      <c r="F36" s="132">
        <f t="shared" si="4"/>
        <v>0.43218572663660698</v>
      </c>
      <c r="G36" s="215">
        <f t="shared" si="5"/>
        <v>0.23434099909511258</v>
      </c>
      <c r="H36" s="123"/>
    </row>
    <row r="37" spans="1:8" ht="15.75" x14ac:dyDescent="0.25">
      <c r="A37" s="19"/>
      <c r="B37" s="131">
        <f>DATE(2023,11,1)</f>
        <v>45231</v>
      </c>
      <c r="C37" s="204">
        <v>1223816</v>
      </c>
      <c r="D37" s="204">
        <v>305629</v>
      </c>
      <c r="E37" s="204">
        <v>292609</v>
      </c>
      <c r="F37" s="132">
        <f t="shared" si="4"/>
        <v>4.4496239008369527E-2</v>
      </c>
      <c r="G37" s="215">
        <f t="shared" si="5"/>
        <v>0.24973443720297822</v>
      </c>
      <c r="H37" s="123"/>
    </row>
    <row r="38" spans="1:8" ht="15.75" x14ac:dyDescent="0.25">
      <c r="A38" s="19"/>
      <c r="B38" s="131">
        <f>DATE(2023,12,1)</f>
        <v>45261</v>
      </c>
      <c r="C38" s="204">
        <v>1442415</v>
      </c>
      <c r="D38" s="204">
        <v>320450.5</v>
      </c>
      <c r="E38" s="204">
        <v>300188</v>
      </c>
      <c r="F38" s="132">
        <f t="shared" si="4"/>
        <v>6.7499367063306989E-2</v>
      </c>
      <c r="G38" s="215">
        <f t="shared" si="5"/>
        <v>0.22216248444449066</v>
      </c>
      <c r="H38" s="123"/>
    </row>
    <row r="39" spans="1:8" ht="15.75" x14ac:dyDescent="0.25">
      <c r="A39" s="19"/>
      <c r="B39" s="131">
        <f>DATE(2024,1,1)</f>
        <v>45292</v>
      </c>
      <c r="C39" s="204">
        <v>1112050</v>
      </c>
      <c r="D39" s="204">
        <v>358643</v>
      </c>
      <c r="E39" s="204">
        <v>379305</v>
      </c>
      <c r="F39" s="132">
        <f>(+D39-E39)/E39</f>
        <v>-5.4473313033047283E-2</v>
      </c>
      <c r="G39" s="215">
        <f>D39/C39</f>
        <v>0.32250618227597683</v>
      </c>
      <c r="H39" s="123"/>
    </row>
    <row r="40" spans="1:8" ht="15.75" x14ac:dyDescent="0.25">
      <c r="A40" s="19"/>
      <c r="B40" s="131">
        <f>DATE(2024,2,1)</f>
        <v>45323</v>
      </c>
      <c r="C40" s="204">
        <v>1212041</v>
      </c>
      <c r="D40" s="204">
        <v>243898.5</v>
      </c>
      <c r="E40" s="204">
        <v>255416</v>
      </c>
      <c r="F40" s="132">
        <f>(+D40-E40)/E40</f>
        <v>-4.5093103016255832E-2</v>
      </c>
      <c r="G40" s="215">
        <f>D40/C40</f>
        <v>0.20122957886738155</v>
      </c>
      <c r="H40" s="123"/>
    </row>
    <row r="41" spans="1:8" ht="15.75" x14ac:dyDescent="0.25">
      <c r="A41" s="19"/>
      <c r="B41" s="131">
        <f>DATE(2024,3,1)</f>
        <v>45352</v>
      </c>
      <c r="C41" s="204">
        <v>1447739</v>
      </c>
      <c r="D41" s="204">
        <v>301625</v>
      </c>
      <c r="E41" s="204">
        <v>323646</v>
      </c>
      <c r="F41" s="132">
        <f>(+D41-E41)/E41</f>
        <v>-6.8040389808618054E-2</v>
      </c>
      <c r="G41" s="215">
        <f>D41/C41</f>
        <v>0.20834211138886222</v>
      </c>
      <c r="H41" s="123"/>
    </row>
    <row r="42" spans="1:8" ht="15.75" thickBot="1" x14ac:dyDescent="0.25">
      <c r="A42" s="133"/>
      <c r="B42" s="131"/>
      <c r="C42" s="204"/>
      <c r="D42" s="204"/>
      <c r="E42" s="204"/>
      <c r="F42" s="132"/>
      <c r="G42" s="215"/>
      <c r="H42" s="123"/>
    </row>
    <row r="43" spans="1:8" ht="17.25" thickTop="1" thickBot="1" x14ac:dyDescent="0.3">
      <c r="A43" s="141" t="s">
        <v>14</v>
      </c>
      <c r="B43" s="142"/>
      <c r="C43" s="206">
        <f>SUM(C33:C42)</f>
        <v>11697848</v>
      </c>
      <c r="D43" s="206">
        <f>SUM(D33:D42)</f>
        <v>2607247.5</v>
      </c>
      <c r="E43" s="206">
        <f>SUM(E33:E42)</f>
        <v>2587746.5</v>
      </c>
      <c r="F43" s="143">
        <f>(+D43-E43)/E43</f>
        <v>7.5359004446532924E-3</v>
      </c>
      <c r="G43" s="217">
        <f>D43/C43</f>
        <v>0.22288266183660449</v>
      </c>
      <c r="H43" s="123"/>
    </row>
    <row r="44" spans="1:8" ht="15.75" thickTop="1" x14ac:dyDescent="0.2">
      <c r="A44" s="133"/>
      <c r="B44" s="134"/>
      <c r="C44" s="204"/>
      <c r="D44" s="204"/>
      <c r="E44" s="204"/>
      <c r="F44" s="132"/>
      <c r="G44" s="218"/>
      <c r="H44" s="123"/>
    </row>
    <row r="45" spans="1:8" ht="15.75" x14ac:dyDescent="0.25">
      <c r="A45" s="177" t="s">
        <v>58</v>
      </c>
      <c r="B45" s="131">
        <f>DATE(2023,7,1)</f>
        <v>45108</v>
      </c>
      <c r="C45" s="204">
        <v>17665032</v>
      </c>
      <c r="D45" s="204">
        <v>3803022</v>
      </c>
      <c r="E45" s="204">
        <v>3390213</v>
      </c>
      <c r="F45" s="132">
        <f t="shared" ref="F45:F50" si="6">(+D45-E45)/E45</f>
        <v>0.12176491565574199</v>
      </c>
      <c r="G45" s="215">
        <f t="shared" ref="G45:G50" si="7">D45/C45</f>
        <v>0.21528531621114527</v>
      </c>
      <c r="H45" s="123"/>
    </row>
    <row r="46" spans="1:8" ht="15.75" x14ac:dyDescent="0.25">
      <c r="A46" s="177"/>
      <c r="B46" s="131">
        <f>DATE(2023,8,1)</f>
        <v>45139</v>
      </c>
      <c r="C46" s="204">
        <v>17268495</v>
      </c>
      <c r="D46" s="204">
        <v>2558007.38</v>
      </c>
      <c r="E46" s="204">
        <v>2096973.67</v>
      </c>
      <c r="F46" s="132">
        <f t="shared" si="6"/>
        <v>0.21985669948826778</v>
      </c>
      <c r="G46" s="215">
        <f t="shared" si="7"/>
        <v>0.14813146021121121</v>
      </c>
      <c r="H46" s="123"/>
    </row>
    <row r="47" spans="1:8" ht="15.75" x14ac:dyDescent="0.25">
      <c r="A47" s="177"/>
      <c r="B47" s="131">
        <f>DATE(2023,9,1)</f>
        <v>45170</v>
      </c>
      <c r="C47" s="204">
        <v>15882513</v>
      </c>
      <c r="D47" s="204">
        <v>3090684.15</v>
      </c>
      <c r="E47" s="204">
        <v>3937084.53</v>
      </c>
      <c r="F47" s="132">
        <f t="shared" si="6"/>
        <v>-0.21498151069669819</v>
      </c>
      <c r="G47" s="215">
        <f t="shared" si="7"/>
        <v>0.19459667056466443</v>
      </c>
      <c r="H47" s="123"/>
    </row>
    <row r="48" spans="1:8" ht="15.75" x14ac:dyDescent="0.25">
      <c r="A48" s="177"/>
      <c r="B48" s="131">
        <f>DATE(2023,10,1)</f>
        <v>45200</v>
      </c>
      <c r="C48" s="204">
        <v>14805478</v>
      </c>
      <c r="D48" s="204">
        <v>2879319</v>
      </c>
      <c r="E48" s="204">
        <v>2819327.04</v>
      </c>
      <c r="F48" s="132">
        <f t="shared" si="6"/>
        <v>2.1278822622862497E-2</v>
      </c>
      <c r="G48" s="215">
        <f t="shared" si="7"/>
        <v>0.19447659845902981</v>
      </c>
      <c r="H48" s="123"/>
    </row>
    <row r="49" spans="1:8" ht="15.75" x14ac:dyDescent="0.25">
      <c r="A49" s="177"/>
      <c r="B49" s="131">
        <f>DATE(2023,11,1)</f>
        <v>45231</v>
      </c>
      <c r="C49" s="204">
        <v>14098672</v>
      </c>
      <c r="D49" s="204">
        <v>3291435.87</v>
      </c>
      <c r="E49" s="204">
        <v>2876740.26</v>
      </c>
      <c r="F49" s="132">
        <f t="shared" si="6"/>
        <v>0.1441546933403019</v>
      </c>
      <c r="G49" s="215">
        <f t="shared" si="7"/>
        <v>0.23345715610661771</v>
      </c>
      <c r="H49" s="123"/>
    </row>
    <row r="50" spans="1:8" ht="15.75" x14ac:dyDescent="0.25">
      <c r="A50" s="177"/>
      <c r="B50" s="131">
        <f>DATE(2023,12,1)</f>
        <v>45261</v>
      </c>
      <c r="C50" s="204">
        <v>16834383</v>
      </c>
      <c r="D50" s="204">
        <v>3310603.9</v>
      </c>
      <c r="E50" s="204">
        <v>3108188.89</v>
      </c>
      <c r="F50" s="132">
        <f t="shared" si="6"/>
        <v>6.5123136708721635E-2</v>
      </c>
      <c r="G50" s="215">
        <f t="shared" si="7"/>
        <v>0.19665727576710118</v>
      </c>
      <c r="H50" s="123"/>
    </row>
    <row r="51" spans="1:8" ht="15.75" x14ac:dyDescent="0.25">
      <c r="A51" s="177"/>
      <c r="B51" s="131">
        <f>DATE(2024,1,1)</f>
        <v>45292</v>
      </c>
      <c r="C51" s="204">
        <v>13747903</v>
      </c>
      <c r="D51" s="204">
        <v>2763966.36</v>
      </c>
      <c r="E51" s="204">
        <v>2951407.99</v>
      </c>
      <c r="F51" s="132">
        <f>(+D51-E51)/E51</f>
        <v>-6.3509223609576365E-2</v>
      </c>
      <c r="G51" s="215">
        <f>D51/C51</f>
        <v>0.20104639667591487</v>
      </c>
      <c r="H51" s="123"/>
    </row>
    <row r="52" spans="1:8" ht="15.75" x14ac:dyDescent="0.25">
      <c r="A52" s="177"/>
      <c r="B52" s="131">
        <f>DATE(2024,2,1)</f>
        <v>45323</v>
      </c>
      <c r="C52" s="204">
        <v>15696429.5</v>
      </c>
      <c r="D52" s="204">
        <v>3510721.02</v>
      </c>
      <c r="E52" s="204">
        <v>2375220.2999999998</v>
      </c>
      <c r="F52" s="132">
        <f>(+D52-E52)/E52</f>
        <v>0.47806122236324788</v>
      </c>
      <c r="G52" s="215">
        <f>D52/C52</f>
        <v>0.22366366949885005</v>
      </c>
      <c r="H52" s="123"/>
    </row>
    <row r="53" spans="1:8" ht="15.75" x14ac:dyDescent="0.25">
      <c r="A53" s="177"/>
      <c r="B53" s="131">
        <f>DATE(2024,3,1)</f>
        <v>45352</v>
      </c>
      <c r="C53" s="204">
        <v>14704021</v>
      </c>
      <c r="D53" s="204">
        <v>3147062.97</v>
      </c>
      <c r="E53" s="204">
        <v>3353751.65</v>
      </c>
      <c r="F53" s="132">
        <f>(+D53-E53)/E53</f>
        <v>-6.1629095284977259E-2</v>
      </c>
      <c r="G53" s="215">
        <f>D53/C53</f>
        <v>0.21402737183250758</v>
      </c>
      <c r="H53" s="123"/>
    </row>
    <row r="54" spans="1:8" ht="15.75" customHeight="1" thickBot="1" x14ac:dyDescent="0.25">
      <c r="A54" s="133"/>
      <c r="B54" s="134"/>
      <c r="C54" s="204"/>
      <c r="D54" s="204"/>
      <c r="E54" s="204"/>
      <c r="F54" s="132"/>
      <c r="G54" s="215"/>
      <c r="H54" s="123"/>
    </row>
    <row r="55" spans="1:8" ht="17.25" customHeight="1" thickTop="1" thickBot="1" x14ac:dyDescent="0.3">
      <c r="A55" s="141" t="s">
        <v>14</v>
      </c>
      <c r="B55" s="142"/>
      <c r="C55" s="206">
        <f>SUM(C45:C54)</f>
        <v>140702926.5</v>
      </c>
      <c r="D55" s="206">
        <f>SUM(D45:D54)</f>
        <v>28354822.649999995</v>
      </c>
      <c r="E55" s="206">
        <f>SUM(E45:E54)</f>
        <v>26908907.329999994</v>
      </c>
      <c r="F55" s="143">
        <f>(+D55-E55)/E55</f>
        <v>5.3733706176467055E-2</v>
      </c>
      <c r="G55" s="217">
        <f>D55/C55</f>
        <v>0.20152262184823849</v>
      </c>
      <c r="H55" s="123"/>
    </row>
    <row r="56" spans="1:8" ht="15.75" customHeight="1" thickTop="1" x14ac:dyDescent="0.2">
      <c r="A56" s="133"/>
      <c r="B56" s="134"/>
      <c r="C56" s="204"/>
      <c r="D56" s="204"/>
      <c r="E56" s="204"/>
      <c r="F56" s="132"/>
      <c r="G56" s="218"/>
      <c r="H56" s="123"/>
    </row>
    <row r="57" spans="1:8" ht="15" customHeight="1" x14ac:dyDescent="0.25">
      <c r="A57" s="130" t="s">
        <v>60</v>
      </c>
      <c r="B57" s="131">
        <f>DATE(2023,7,1)</f>
        <v>45108</v>
      </c>
      <c r="C57" s="204">
        <v>12723732</v>
      </c>
      <c r="D57" s="204">
        <v>3308388.5</v>
      </c>
      <c r="E57" s="204">
        <v>3195567.5</v>
      </c>
      <c r="F57" s="132">
        <f t="shared" ref="F57:F62" si="8">(+D57-E57)/E57</f>
        <v>3.5305466087009588E-2</v>
      </c>
      <c r="G57" s="215">
        <f t="shared" ref="G57:G62" si="9">D57/C57</f>
        <v>0.26001714748471594</v>
      </c>
      <c r="H57" s="123"/>
    </row>
    <row r="58" spans="1:8" ht="15" customHeight="1" x14ac:dyDescent="0.25">
      <c r="A58" s="130"/>
      <c r="B58" s="131">
        <f>DATE(2023,8,1)</f>
        <v>45139</v>
      </c>
      <c r="C58" s="204">
        <v>11628258</v>
      </c>
      <c r="D58" s="204">
        <v>3099426.5</v>
      </c>
      <c r="E58" s="204">
        <v>3909171</v>
      </c>
      <c r="F58" s="132">
        <f t="shared" si="8"/>
        <v>-0.20713969790525918</v>
      </c>
      <c r="G58" s="215">
        <f t="shared" si="9"/>
        <v>0.26654263261100675</v>
      </c>
      <c r="H58" s="123"/>
    </row>
    <row r="59" spans="1:8" ht="15" customHeight="1" x14ac:dyDescent="0.25">
      <c r="A59" s="130"/>
      <c r="B59" s="131">
        <f>DATE(2023,9,1)</f>
        <v>45170</v>
      </c>
      <c r="C59" s="204">
        <v>11873656</v>
      </c>
      <c r="D59" s="204">
        <v>3032057</v>
      </c>
      <c r="E59" s="204">
        <v>3778062.5</v>
      </c>
      <c r="F59" s="132">
        <f t="shared" si="8"/>
        <v>-0.19745716223593443</v>
      </c>
      <c r="G59" s="215">
        <f t="shared" si="9"/>
        <v>0.25536001716741669</v>
      </c>
      <c r="H59" s="123"/>
    </row>
    <row r="60" spans="1:8" ht="15" customHeight="1" x14ac:dyDescent="0.25">
      <c r="A60" s="130"/>
      <c r="B60" s="131">
        <f>DATE(2023,10,1)</f>
        <v>45200</v>
      </c>
      <c r="C60" s="204">
        <v>12435915</v>
      </c>
      <c r="D60" s="204">
        <v>2838722.5</v>
      </c>
      <c r="E60" s="204">
        <v>1234436</v>
      </c>
      <c r="F60" s="132">
        <f t="shared" si="8"/>
        <v>1.2996109154302045</v>
      </c>
      <c r="G60" s="215">
        <f t="shared" si="9"/>
        <v>0.22826808481724103</v>
      </c>
      <c r="H60" s="123"/>
    </row>
    <row r="61" spans="1:8" ht="15" customHeight="1" x14ac:dyDescent="0.25">
      <c r="A61" s="130"/>
      <c r="B61" s="131">
        <f>DATE(2023,11,1)</f>
        <v>45231</v>
      </c>
      <c r="C61" s="204">
        <v>12500603</v>
      </c>
      <c r="D61" s="204">
        <v>2777794</v>
      </c>
      <c r="E61" s="204">
        <v>3487549</v>
      </c>
      <c r="F61" s="132">
        <f t="shared" si="8"/>
        <v>-0.2035111191269284</v>
      </c>
      <c r="G61" s="215">
        <f t="shared" si="9"/>
        <v>0.22221280045450609</v>
      </c>
      <c r="H61" s="123"/>
    </row>
    <row r="62" spans="1:8" ht="15" customHeight="1" x14ac:dyDescent="0.25">
      <c r="A62" s="130"/>
      <c r="B62" s="131">
        <f>DATE(2023,12,1)</f>
        <v>45261</v>
      </c>
      <c r="C62" s="204">
        <v>13701598</v>
      </c>
      <c r="D62" s="204">
        <v>3754286.5</v>
      </c>
      <c r="E62" s="204">
        <v>3689598</v>
      </c>
      <c r="F62" s="132">
        <f t="shared" si="8"/>
        <v>1.7532668870700818E-2</v>
      </c>
      <c r="G62" s="215">
        <f t="shared" si="9"/>
        <v>0.27400355053476244</v>
      </c>
      <c r="H62" s="123"/>
    </row>
    <row r="63" spans="1:8" ht="15" customHeight="1" x14ac:dyDescent="0.25">
      <c r="A63" s="130"/>
      <c r="B63" s="131">
        <f>DATE(2024,1,1)</f>
        <v>45292</v>
      </c>
      <c r="C63" s="204">
        <v>11556877</v>
      </c>
      <c r="D63" s="204">
        <v>2662409</v>
      </c>
      <c r="E63" s="204">
        <v>3432704.75</v>
      </c>
      <c r="F63" s="132">
        <f>(+D63-E63)/E63</f>
        <v>-0.22439906898488721</v>
      </c>
      <c r="G63" s="215">
        <f>D63/C63</f>
        <v>0.23037443420051973</v>
      </c>
      <c r="H63" s="123"/>
    </row>
    <row r="64" spans="1:8" ht="15" customHeight="1" x14ac:dyDescent="0.25">
      <c r="A64" s="130"/>
      <c r="B64" s="131">
        <f>DATE(2024,2,1)</f>
        <v>45323</v>
      </c>
      <c r="C64" s="204">
        <v>11951229.5</v>
      </c>
      <c r="D64" s="204">
        <v>3058546</v>
      </c>
      <c r="E64" s="204">
        <v>3123761.5</v>
      </c>
      <c r="F64" s="132">
        <f>(+D64-E64)/E64</f>
        <v>-2.0877234065404801E-2</v>
      </c>
      <c r="G64" s="215">
        <f>D64/C64</f>
        <v>0.25591894122692566</v>
      </c>
      <c r="H64" s="123"/>
    </row>
    <row r="65" spans="1:8" ht="15" customHeight="1" x14ac:dyDescent="0.25">
      <c r="A65" s="130"/>
      <c r="B65" s="131">
        <f>DATE(2024,3,1)</f>
        <v>45352</v>
      </c>
      <c r="C65" s="204">
        <v>13848065</v>
      </c>
      <c r="D65" s="204">
        <v>3219364.5</v>
      </c>
      <c r="E65" s="204">
        <v>3779533.5</v>
      </c>
      <c r="F65" s="132">
        <f>(+D65-E65)/E65</f>
        <v>-0.14821114828060131</v>
      </c>
      <c r="G65" s="215">
        <f>D65/C65</f>
        <v>0.23247756997096705</v>
      </c>
      <c r="H65" s="123"/>
    </row>
    <row r="66" spans="1:8" ht="15.75" thickBot="1" x14ac:dyDescent="0.25">
      <c r="A66" s="133"/>
      <c r="B66" s="131"/>
      <c r="C66" s="204"/>
      <c r="D66" s="204"/>
      <c r="E66" s="204"/>
      <c r="F66" s="132"/>
      <c r="G66" s="215"/>
      <c r="H66" s="123"/>
    </row>
    <row r="67" spans="1:8" ht="17.25" customHeight="1" thickTop="1" thickBot="1" x14ac:dyDescent="0.3">
      <c r="A67" s="141" t="s">
        <v>14</v>
      </c>
      <c r="B67" s="142"/>
      <c r="C67" s="207">
        <f>SUM(C57:C66)</f>
        <v>112219933.5</v>
      </c>
      <c r="D67" s="261">
        <f>SUM(D57:D66)</f>
        <v>27750994.5</v>
      </c>
      <c r="E67" s="206">
        <f>SUM(E57:E66)</f>
        <v>29630383.75</v>
      </c>
      <c r="F67" s="268">
        <f>(+D67-E67)/E67</f>
        <v>-6.3427772851575026E-2</v>
      </c>
      <c r="G67" s="267">
        <f>D67/C67</f>
        <v>0.24729113299643865</v>
      </c>
      <c r="H67" s="123"/>
    </row>
    <row r="68" spans="1:8" ht="15.75" customHeight="1" thickTop="1" x14ac:dyDescent="0.25">
      <c r="A68" s="130"/>
      <c r="B68" s="134"/>
      <c r="C68" s="204"/>
      <c r="D68" s="204"/>
      <c r="E68" s="204"/>
      <c r="F68" s="132"/>
      <c r="G68" s="218"/>
      <c r="H68" s="123"/>
    </row>
    <row r="69" spans="1:8" ht="15.75" x14ac:dyDescent="0.25">
      <c r="A69" s="130" t="s">
        <v>64</v>
      </c>
      <c r="B69" s="131">
        <f>DATE(2023,7,1)</f>
        <v>45108</v>
      </c>
      <c r="C69" s="204">
        <v>3361117</v>
      </c>
      <c r="D69" s="204">
        <v>707897</v>
      </c>
      <c r="E69" s="204">
        <v>700930</v>
      </c>
      <c r="F69" s="132">
        <f t="shared" ref="F69:F74" si="10">(+D69-E69)/E69</f>
        <v>9.9396516057238243E-3</v>
      </c>
      <c r="G69" s="215">
        <f t="shared" ref="G69:G74" si="11">D69/C69</f>
        <v>0.21061361446209698</v>
      </c>
      <c r="H69" s="123"/>
    </row>
    <row r="70" spans="1:8" ht="15.75" x14ac:dyDescent="0.25">
      <c r="A70" s="130"/>
      <c r="B70" s="131">
        <f>DATE(2023,8,1)</f>
        <v>45139</v>
      </c>
      <c r="C70" s="204">
        <v>2951366</v>
      </c>
      <c r="D70" s="204">
        <v>871889</v>
      </c>
      <c r="E70" s="204">
        <v>630145.5</v>
      </c>
      <c r="F70" s="132">
        <f t="shared" si="10"/>
        <v>0.38363124072138893</v>
      </c>
      <c r="G70" s="215">
        <f t="shared" si="11"/>
        <v>0.29541879929497056</v>
      </c>
      <c r="H70" s="123"/>
    </row>
    <row r="71" spans="1:8" ht="15.75" x14ac:dyDescent="0.25">
      <c r="A71" s="130"/>
      <c r="B71" s="131">
        <f>DATE(2023,9,1)</f>
        <v>45170</v>
      </c>
      <c r="C71" s="204">
        <v>2512048</v>
      </c>
      <c r="D71" s="204">
        <v>529240.5</v>
      </c>
      <c r="E71" s="204">
        <v>538940</v>
      </c>
      <c r="F71" s="132">
        <f t="shared" si="10"/>
        <v>-1.7997365198352322E-2</v>
      </c>
      <c r="G71" s="215">
        <f t="shared" si="11"/>
        <v>0.21068088667095533</v>
      </c>
      <c r="H71" s="123"/>
    </row>
    <row r="72" spans="1:8" ht="15.75" x14ac:dyDescent="0.25">
      <c r="A72" s="130"/>
      <c r="B72" s="131">
        <f>DATE(2023,10,1)</f>
        <v>45200</v>
      </c>
      <c r="C72" s="204">
        <v>2477871</v>
      </c>
      <c r="D72" s="204">
        <v>555726</v>
      </c>
      <c r="E72" s="204">
        <v>664586</v>
      </c>
      <c r="F72" s="132">
        <f t="shared" si="10"/>
        <v>-0.16380122361891464</v>
      </c>
      <c r="G72" s="215">
        <f t="shared" si="11"/>
        <v>0.22427559788221421</v>
      </c>
      <c r="H72" s="123"/>
    </row>
    <row r="73" spans="1:8" ht="15.75" x14ac:dyDescent="0.25">
      <c r="A73" s="130"/>
      <c r="B73" s="131">
        <f>DATE(2023,11,1)</f>
        <v>45231</v>
      </c>
      <c r="C73" s="204">
        <v>2620270</v>
      </c>
      <c r="D73" s="204">
        <v>618313.5</v>
      </c>
      <c r="E73" s="204">
        <v>644592.5</v>
      </c>
      <c r="F73" s="132">
        <f t="shared" si="10"/>
        <v>-4.076839243397961E-2</v>
      </c>
      <c r="G73" s="215">
        <f t="shared" si="11"/>
        <v>0.23597320123498725</v>
      </c>
      <c r="H73" s="123"/>
    </row>
    <row r="74" spans="1:8" ht="15.75" x14ac:dyDescent="0.25">
      <c r="A74" s="130"/>
      <c r="B74" s="131">
        <f>DATE(2023,12,1)</f>
        <v>45261</v>
      </c>
      <c r="C74" s="204">
        <v>3237541</v>
      </c>
      <c r="D74" s="204">
        <v>684848</v>
      </c>
      <c r="E74" s="204">
        <v>621789.5</v>
      </c>
      <c r="F74" s="132">
        <f t="shared" si="10"/>
        <v>0.10141454624113144</v>
      </c>
      <c r="G74" s="215">
        <f t="shared" si="11"/>
        <v>0.21153338289769921</v>
      </c>
      <c r="H74" s="123"/>
    </row>
    <row r="75" spans="1:8" ht="15.75" x14ac:dyDescent="0.25">
      <c r="A75" s="130"/>
      <c r="B75" s="131">
        <f>DATE(2024,1,1)</f>
        <v>45292</v>
      </c>
      <c r="C75" s="204">
        <v>2483414</v>
      </c>
      <c r="D75" s="204">
        <v>610254.26</v>
      </c>
      <c r="E75" s="204">
        <v>561543</v>
      </c>
      <c r="F75" s="132">
        <f>(+D75-E75)/E75</f>
        <v>8.6745378359270806E-2</v>
      </c>
      <c r="G75" s="215">
        <f>D75/C75</f>
        <v>0.24573198830319876</v>
      </c>
      <c r="H75" s="123"/>
    </row>
    <row r="76" spans="1:8" ht="15.75" x14ac:dyDescent="0.25">
      <c r="A76" s="130"/>
      <c r="B76" s="131">
        <f>DATE(2024,2,1)</f>
        <v>45323</v>
      </c>
      <c r="C76" s="204">
        <v>3182905</v>
      </c>
      <c r="D76" s="204">
        <v>692581.7</v>
      </c>
      <c r="E76" s="204">
        <v>653096</v>
      </c>
      <c r="F76" s="132">
        <f>(+D76-E76)/E76</f>
        <v>6.0459258669475782E-2</v>
      </c>
      <c r="G76" s="215">
        <f>D76/C76</f>
        <v>0.21759421032044624</v>
      </c>
      <c r="H76" s="123"/>
    </row>
    <row r="77" spans="1:8" ht="15.75" x14ac:dyDescent="0.25">
      <c r="A77" s="130"/>
      <c r="B77" s="131">
        <f>DATE(2024,3,1)</f>
        <v>45352</v>
      </c>
      <c r="C77" s="204">
        <v>3597454</v>
      </c>
      <c r="D77" s="204">
        <v>1048030</v>
      </c>
      <c r="E77" s="204">
        <v>665245.5</v>
      </c>
      <c r="F77" s="132">
        <f>(+D77-E77)/E77</f>
        <v>0.5754033661257385</v>
      </c>
      <c r="G77" s="215">
        <f>D77/C77</f>
        <v>0.29132547629517985</v>
      </c>
      <c r="H77" s="123"/>
    </row>
    <row r="78" spans="1:8" ht="15.75" customHeight="1" thickBot="1" x14ac:dyDescent="0.3">
      <c r="A78" s="130"/>
      <c r="B78" s="131"/>
      <c r="C78" s="204"/>
      <c r="D78" s="204"/>
      <c r="E78" s="204"/>
      <c r="F78" s="132"/>
      <c r="G78" s="215"/>
      <c r="H78" s="123"/>
    </row>
    <row r="79" spans="1:8" ht="17.25" thickTop="1" thickBot="1" x14ac:dyDescent="0.3">
      <c r="A79" s="141" t="s">
        <v>14</v>
      </c>
      <c r="B79" s="142"/>
      <c r="C79" s="207">
        <f>SUM(C69:C78)</f>
        <v>26423986</v>
      </c>
      <c r="D79" s="261">
        <f>SUM(D69:D78)</f>
        <v>6318779.96</v>
      </c>
      <c r="E79" s="207">
        <f>SUM(E69:E78)</f>
        <v>5680868</v>
      </c>
      <c r="F79" s="268">
        <f>(+D79-E79)/E79</f>
        <v>0.11229128365594834</v>
      </c>
      <c r="G79" s="267">
        <f>D79/C79</f>
        <v>0.23913046124078327</v>
      </c>
      <c r="H79" s="123"/>
    </row>
    <row r="80" spans="1:8" ht="15.75" customHeight="1" thickTop="1" x14ac:dyDescent="0.25">
      <c r="A80" s="130"/>
      <c r="B80" s="134"/>
      <c r="C80" s="204"/>
      <c r="D80" s="204"/>
      <c r="E80" s="204"/>
      <c r="F80" s="132"/>
      <c r="G80" s="218"/>
      <c r="H80" s="123"/>
    </row>
    <row r="81" spans="1:8" ht="15.75" x14ac:dyDescent="0.25">
      <c r="A81" s="130" t="s">
        <v>67</v>
      </c>
      <c r="B81" s="131">
        <f>DATE(2023,7,1)</f>
        <v>45108</v>
      </c>
      <c r="C81" s="204">
        <v>8239268</v>
      </c>
      <c r="D81" s="204">
        <v>826564</v>
      </c>
      <c r="E81" s="204">
        <v>951854</v>
      </c>
      <c r="F81" s="132">
        <f t="shared" ref="F81:F86" si="12">(+D81-E81)/E81</f>
        <v>-0.13162732940135777</v>
      </c>
      <c r="G81" s="215">
        <f t="shared" ref="G81:G86" si="13">D81/C81</f>
        <v>0.1003200769777121</v>
      </c>
      <c r="H81" s="123"/>
    </row>
    <row r="82" spans="1:8" ht="15.75" x14ac:dyDescent="0.25">
      <c r="A82" s="130"/>
      <c r="B82" s="131">
        <f>DATE(2023,8,1)</f>
        <v>45139</v>
      </c>
      <c r="C82" s="204">
        <v>7087572</v>
      </c>
      <c r="D82" s="204">
        <v>916100.5</v>
      </c>
      <c r="E82" s="204">
        <v>1029739</v>
      </c>
      <c r="F82" s="132">
        <f t="shared" si="12"/>
        <v>-0.11035660492610264</v>
      </c>
      <c r="G82" s="215">
        <f t="shared" si="13"/>
        <v>0.1292544894076561</v>
      </c>
      <c r="H82" s="123"/>
    </row>
    <row r="83" spans="1:8" ht="15.75" x14ac:dyDescent="0.25">
      <c r="A83" s="130"/>
      <c r="B83" s="131">
        <f>DATE(2023,9,1)</f>
        <v>45170</v>
      </c>
      <c r="C83" s="204">
        <v>7246519</v>
      </c>
      <c r="D83" s="204">
        <v>1270044.5</v>
      </c>
      <c r="E83" s="204">
        <v>389281</v>
      </c>
      <c r="F83" s="132">
        <f t="shared" si="12"/>
        <v>2.2625391426758563</v>
      </c>
      <c r="G83" s="215">
        <f t="shared" si="13"/>
        <v>0.17526270199526145</v>
      </c>
      <c r="H83" s="123"/>
    </row>
    <row r="84" spans="1:8" ht="15.75" x14ac:dyDescent="0.25">
      <c r="A84" s="130"/>
      <c r="B84" s="131">
        <f>DATE(2023,10,1)</f>
        <v>45200</v>
      </c>
      <c r="C84" s="204">
        <v>7936605</v>
      </c>
      <c r="D84" s="204">
        <v>1035111.5</v>
      </c>
      <c r="E84" s="204">
        <v>1134882.5</v>
      </c>
      <c r="F84" s="132">
        <f t="shared" si="12"/>
        <v>-8.7913065890081132E-2</v>
      </c>
      <c r="G84" s="215">
        <f t="shared" si="13"/>
        <v>0.13042245393338839</v>
      </c>
      <c r="H84" s="123"/>
    </row>
    <row r="85" spans="1:8" ht="15.75" x14ac:dyDescent="0.25">
      <c r="A85" s="130"/>
      <c r="B85" s="131">
        <f>DATE(2023,11,1)</f>
        <v>45231</v>
      </c>
      <c r="C85" s="204">
        <v>7753074</v>
      </c>
      <c r="D85" s="204">
        <v>1066773</v>
      </c>
      <c r="E85" s="204">
        <v>1197761</v>
      </c>
      <c r="F85" s="132">
        <f t="shared" si="12"/>
        <v>-0.10936071553506918</v>
      </c>
      <c r="G85" s="215">
        <f t="shared" si="13"/>
        <v>0.13759355321515054</v>
      </c>
      <c r="H85" s="123"/>
    </row>
    <row r="86" spans="1:8" ht="15.75" x14ac:dyDescent="0.25">
      <c r="A86" s="130"/>
      <c r="B86" s="131">
        <f>DATE(2023,12,1)</f>
        <v>45261</v>
      </c>
      <c r="C86" s="204">
        <v>7263263</v>
      </c>
      <c r="D86" s="204">
        <v>1133563</v>
      </c>
      <c r="E86" s="204">
        <v>867843</v>
      </c>
      <c r="F86" s="132">
        <f t="shared" si="12"/>
        <v>0.30618441354023712</v>
      </c>
      <c r="G86" s="215">
        <f t="shared" si="13"/>
        <v>0.15606800965351247</v>
      </c>
      <c r="H86" s="123"/>
    </row>
    <row r="87" spans="1:8" ht="15.75" x14ac:dyDescent="0.25">
      <c r="A87" s="130"/>
      <c r="B87" s="131">
        <f>DATE(2024,1,1)</f>
        <v>45292</v>
      </c>
      <c r="C87" s="204">
        <v>5843655</v>
      </c>
      <c r="D87" s="204">
        <v>937413.5</v>
      </c>
      <c r="E87" s="204">
        <v>1084536.5</v>
      </c>
      <c r="F87" s="132">
        <f>(+D87-E87)/E87</f>
        <v>-0.13565518541791816</v>
      </c>
      <c r="G87" s="215">
        <f>D87/C87</f>
        <v>0.16041561317360453</v>
      </c>
      <c r="H87" s="123"/>
    </row>
    <row r="88" spans="1:8" ht="15.75" x14ac:dyDescent="0.25">
      <c r="A88" s="130"/>
      <c r="B88" s="131">
        <f>DATE(2024,2,1)</f>
        <v>45323</v>
      </c>
      <c r="C88" s="204">
        <v>6756303</v>
      </c>
      <c r="D88" s="204">
        <v>1237946</v>
      </c>
      <c r="E88" s="204">
        <v>924380.5</v>
      </c>
      <c r="F88" s="132">
        <f>(+D88-E88)/E88</f>
        <v>0.33921691338144844</v>
      </c>
      <c r="G88" s="215">
        <f>D88/C88</f>
        <v>0.18322831288057981</v>
      </c>
      <c r="H88" s="123"/>
    </row>
    <row r="89" spans="1:8" ht="15.75" x14ac:dyDescent="0.25">
      <c r="A89" s="130"/>
      <c r="B89" s="131">
        <f>DATE(2024,3,1)</f>
        <v>45352</v>
      </c>
      <c r="C89" s="204">
        <v>9480030</v>
      </c>
      <c r="D89" s="204">
        <v>1487693</v>
      </c>
      <c r="E89" s="204">
        <v>1007342.5</v>
      </c>
      <c r="F89" s="132">
        <f>(+D89-E89)/E89</f>
        <v>0.4768492344957152</v>
      </c>
      <c r="G89" s="215">
        <f>D89/C89</f>
        <v>0.15692914473899344</v>
      </c>
      <c r="H89" s="123"/>
    </row>
    <row r="90" spans="1:8" ht="15.75" customHeight="1" thickBot="1" x14ac:dyDescent="0.3">
      <c r="A90" s="130"/>
      <c r="B90" s="131"/>
      <c r="C90" s="204"/>
      <c r="D90" s="204"/>
      <c r="E90" s="204"/>
      <c r="F90" s="132"/>
      <c r="G90" s="215"/>
      <c r="H90" s="123"/>
    </row>
    <row r="91" spans="1:8" ht="17.25" thickTop="1" thickBot="1" x14ac:dyDescent="0.3">
      <c r="A91" s="141" t="s">
        <v>14</v>
      </c>
      <c r="B91" s="142"/>
      <c r="C91" s="207">
        <f>SUM(C81:C90)</f>
        <v>67606289</v>
      </c>
      <c r="D91" s="261">
        <f>SUM(D81:D90)</f>
        <v>9911209</v>
      </c>
      <c r="E91" s="207">
        <f>SUM(E81:E90)</f>
        <v>8587620</v>
      </c>
      <c r="F91" s="269">
        <f>(+D91-E91)/E91</f>
        <v>0.15412756968752692</v>
      </c>
      <c r="G91" s="267">
        <f>D91/C91</f>
        <v>0.14660187900566468</v>
      </c>
      <c r="H91" s="123"/>
    </row>
    <row r="92" spans="1:8" ht="15.75" customHeight="1" thickTop="1" x14ac:dyDescent="0.25">
      <c r="A92" s="130"/>
      <c r="B92" s="139"/>
      <c r="C92" s="205"/>
      <c r="D92" s="205"/>
      <c r="E92" s="205"/>
      <c r="F92" s="140"/>
      <c r="G92" s="216"/>
      <c r="H92" s="123"/>
    </row>
    <row r="93" spans="1:8" ht="15.75" x14ac:dyDescent="0.25">
      <c r="A93" s="130" t="s">
        <v>69</v>
      </c>
      <c r="B93" s="131">
        <f>DATE(2023,7,1)</f>
        <v>45108</v>
      </c>
      <c r="C93" s="204">
        <v>6583612</v>
      </c>
      <c r="D93" s="204">
        <v>1705016.95</v>
      </c>
      <c r="E93" s="204">
        <v>1405783</v>
      </c>
      <c r="F93" s="132">
        <f t="shared" ref="F93:F98" si="14">(+D93-E93)/E93</f>
        <v>0.21285927486674683</v>
      </c>
      <c r="G93" s="215">
        <f t="shared" ref="G93:G98" si="15">D93/C93</f>
        <v>0.25897895410604393</v>
      </c>
      <c r="H93" s="123"/>
    </row>
    <row r="94" spans="1:8" ht="15.75" x14ac:dyDescent="0.25">
      <c r="A94" s="130"/>
      <c r="B94" s="131">
        <f>DATE(2023,8,1)</f>
        <v>45139</v>
      </c>
      <c r="C94" s="204">
        <v>6682064</v>
      </c>
      <c r="D94" s="204">
        <v>1401382.35</v>
      </c>
      <c r="E94" s="204">
        <v>1387184.42</v>
      </c>
      <c r="F94" s="132">
        <f t="shared" si="14"/>
        <v>1.0235070258358415E-2</v>
      </c>
      <c r="G94" s="215">
        <f t="shared" si="15"/>
        <v>0.20972297631390541</v>
      </c>
      <c r="H94" s="123"/>
    </row>
    <row r="95" spans="1:8" ht="15.75" x14ac:dyDescent="0.25">
      <c r="A95" s="130"/>
      <c r="B95" s="131">
        <f>DATE(2023,9,1)</f>
        <v>45170</v>
      </c>
      <c r="C95" s="204">
        <v>6212275</v>
      </c>
      <c r="D95" s="204">
        <v>1626153.96</v>
      </c>
      <c r="E95" s="204">
        <v>1318470</v>
      </c>
      <c r="F95" s="132">
        <f t="shared" si="14"/>
        <v>0.2333643996450431</v>
      </c>
      <c r="G95" s="215">
        <f t="shared" si="15"/>
        <v>0.26176464499720309</v>
      </c>
      <c r="H95" s="123"/>
    </row>
    <row r="96" spans="1:8" ht="15.75" x14ac:dyDescent="0.25">
      <c r="A96" s="130"/>
      <c r="B96" s="131">
        <f>DATE(2023,10,1)</f>
        <v>45200</v>
      </c>
      <c r="C96" s="204">
        <v>5515298</v>
      </c>
      <c r="D96" s="204">
        <v>1039539</v>
      </c>
      <c r="E96" s="204">
        <v>1379988.01</v>
      </c>
      <c r="F96" s="132">
        <f t="shared" si="14"/>
        <v>-0.24670432462670455</v>
      </c>
      <c r="G96" s="215">
        <f t="shared" si="15"/>
        <v>0.18848283447240746</v>
      </c>
      <c r="H96" s="123"/>
    </row>
    <row r="97" spans="1:8" ht="15.75" x14ac:dyDescent="0.25">
      <c r="A97" s="130"/>
      <c r="B97" s="131">
        <f>DATE(2023,11,1)</f>
        <v>45231</v>
      </c>
      <c r="C97" s="204">
        <v>5590365</v>
      </c>
      <c r="D97" s="204">
        <v>1359520</v>
      </c>
      <c r="E97" s="204">
        <v>1234881.42</v>
      </c>
      <c r="F97" s="132">
        <f t="shared" si="14"/>
        <v>0.10093161819537302</v>
      </c>
      <c r="G97" s="215">
        <f t="shared" si="15"/>
        <v>0.24318984538576641</v>
      </c>
      <c r="H97" s="123"/>
    </row>
    <row r="98" spans="1:8" ht="15.75" x14ac:dyDescent="0.25">
      <c r="A98" s="130"/>
      <c r="B98" s="131">
        <f>DATE(2023,12,1)</f>
        <v>45261</v>
      </c>
      <c r="C98" s="204">
        <v>6722180</v>
      </c>
      <c r="D98" s="204">
        <v>1397248.95</v>
      </c>
      <c r="E98" s="204">
        <v>1290058.78</v>
      </c>
      <c r="F98" s="132">
        <f t="shared" si="14"/>
        <v>8.3089368997589341E-2</v>
      </c>
      <c r="G98" s="215">
        <f t="shared" si="15"/>
        <v>0.20785652124757145</v>
      </c>
      <c r="H98" s="123"/>
    </row>
    <row r="99" spans="1:8" ht="15.75" x14ac:dyDescent="0.25">
      <c r="A99" s="130"/>
      <c r="B99" s="131">
        <f>DATE(2024,1,1)</f>
        <v>45292</v>
      </c>
      <c r="C99" s="204">
        <v>5789716</v>
      </c>
      <c r="D99" s="204">
        <v>1471960.42</v>
      </c>
      <c r="E99" s="204">
        <v>1422588.36</v>
      </c>
      <c r="F99" s="132">
        <f>(+D99-E99)/E99</f>
        <v>3.4705795005942425E-2</v>
      </c>
      <c r="G99" s="215">
        <f>D99/C99</f>
        <v>0.25423706793217488</v>
      </c>
      <c r="H99" s="123"/>
    </row>
    <row r="100" spans="1:8" ht="15.75" x14ac:dyDescent="0.25">
      <c r="A100" s="130"/>
      <c r="B100" s="131">
        <f>DATE(2024,2,1)</f>
        <v>45323</v>
      </c>
      <c r="C100" s="204">
        <v>6194369</v>
      </c>
      <c r="D100" s="204">
        <v>1426796.76</v>
      </c>
      <c r="E100" s="204">
        <v>1163658.3</v>
      </c>
      <c r="F100" s="132">
        <f>(+D100-E100)/E100</f>
        <v>0.22613035115205207</v>
      </c>
      <c r="G100" s="215">
        <f>D100/C100</f>
        <v>0.23033770832832207</v>
      </c>
      <c r="H100" s="123"/>
    </row>
    <row r="101" spans="1:8" ht="15.75" x14ac:dyDescent="0.25">
      <c r="A101" s="130"/>
      <c r="B101" s="131">
        <f>DATE(2024,3,1)</f>
        <v>45352</v>
      </c>
      <c r="C101" s="204">
        <v>6754359</v>
      </c>
      <c r="D101" s="204">
        <v>1623782.5</v>
      </c>
      <c r="E101" s="204">
        <v>1328707.6599999999</v>
      </c>
      <c r="F101" s="132">
        <f>(+D101-E101)/E101</f>
        <v>0.22207657025172875</v>
      </c>
      <c r="G101" s="215">
        <f>D101/C101</f>
        <v>0.240405122084864</v>
      </c>
      <c r="H101" s="123"/>
    </row>
    <row r="102" spans="1:8" ht="15.75" customHeight="1" thickBot="1" x14ac:dyDescent="0.3">
      <c r="A102" s="130"/>
      <c r="B102" s="131"/>
      <c r="C102" s="204"/>
      <c r="D102" s="204"/>
      <c r="E102" s="204"/>
      <c r="F102" s="132"/>
      <c r="G102" s="215"/>
      <c r="H102" s="123"/>
    </row>
    <row r="103" spans="1:8" ht="17.25" thickTop="1" thickBot="1" x14ac:dyDescent="0.3">
      <c r="A103" s="141" t="s">
        <v>14</v>
      </c>
      <c r="B103" s="142"/>
      <c r="C103" s="206">
        <f>SUM(C93:C102)</f>
        <v>56044238</v>
      </c>
      <c r="D103" s="206">
        <f>SUM(D93:D102)</f>
        <v>13051400.889999999</v>
      </c>
      <c r="E103" s="206">
        <f>SUM(E93:E102)</f>
        <v>11931319.950000001</v>
      </c>
      <c r="F103" s="143">
        <f>(+D103-E103)/E103</f>
        <v>9.3877370206638167E-2</v>
      </c>
      <c r="G103" s="217">
        <f>D103/C103</f>
        <v>0.23287676585057679</v>
      </c>
      <c r="H103" s="123"/>
    </row>
    <row r="104" spans="1:8" ht="15.75" customHeight="1" thickTop="1" x14ac:dyDescent="0.25">
      <c r="A104" s="138"/>
      <c r="B104" s="139"/>
      <c r="C104" s="205"/>
      <c r="D104" s="205"/>
      <c r="E104" s="205"/>
      <c r="F104" s="140"/>
      <c r="G104" s="216"/>
      <c r="H104" s="123"/>
    </row>
    <row r="105" spans="1:8" ht="15.75" x14ac:dyDescent="0.25">
      <c r="A105" s="130" t="s">
        <v>16</v>
      </c>
      <c r="B105" s="131">
        <f>DATE(2023,7,1)</f>
        <v>45108</v>
      </c>
      <c r="C105" s="204">
        <v>10870339</v>
      </c>
      <c r="D105" s="204">
        <v>2105009.5</v>
      </c>
      <c r="E105" s="204">
        <v>2289729.5</v>
      </c>
      <c r="F105" s="132">
        <f t="shared" ref="F105:F110" si="16">(+D105-E105)/E105</f>
        <v>-8.0673284770100578E-2</v>
      </c>
      <c r="G105" s="215">
        <f t="shared" ref="G105:G110" si="17">D105/C105</f>
        <v>0.1936470886510531</v>
      </c>
      <c r="H105" s="123"/>
    </row>
    <row r="106" spans="1:8" ht="15.75" x14ac:dyDescent="0.25">
      <c r="A106" s="130"/>
      <c r="B106" s="131">
        <f>DATE(2023,8,1)</f>
        <v>45139</v>
      </c>
      <c r="C106" s="204">
        <v>10577694.15</v>
      </c>
      <c r="D106" s="204">
        <v>1767561.15</v>
      </c>
      <c r="E106" s="204">
        <v>2099615</v>
      </c>
      <c r="F106" s="132">
        <f t="shared" si="16"/>
        <v>-0.15814987509614861</v>
      </c>
      <c r="G106" s="215">
        <f t="shared" si="17"/>
        <v>0.16710269033445252</v>
      </c>
      <c r="H106" s="123"/>
    </row>
    <row r="107" spans="1:8" ht="15.75" x14ac:dyDescent="0.25">
      <c r="A107" s="130"/>
      <c r="B107" s="131">
        <f>DATE(2023,9,1)</f>
        <v>45170</v>
      </c>
      <c r="C107" s="204">
        <v>11010233</v>
      </c>
      <c r="D107" s="204">
        <v>2123175</v>
      </c>
      <c r="E107" s="204">
        <v>1892853.5</v>
      </c>
      <c r="F107" s="132">
        <f t="shared" si="16"/>
        <v>0.12167951719454252</v>
      </c>
      <c r="G107" s="215">
        <f t="shared" si="17"/>
        <v>0.19283651853689199</v>
      </c>
      <c r="H107" s="123"/>
    </row>
    <row r="108" spans="1:8" ht="15.75" x14ac:dyDescent="0.25">
      <c r="A108" s="130"/>
      <c r="B108" s="131">
        <f>DATE(2023,10,1)</f>
        <v>45200</v>
      </c>
      <c r="C108" s="204">
        <v>10359340</v>
      </c>
      <c r="D108" s="204">
        <v>1980886.5</v>
      </c>
      <c r="E108" s="204">
        <v>1720920</v>
      </c>
      <c r="F108" s="132">
        <f t="shared" si="16"/>
        <v>0.15106251307440208</v>
      </c>
      <c r="G108" s="215">
        <f t="shared" si="17"/>
        <v>0.19121744242393821</v>
      </c>
      <c r="H108" s="123"/>
    </row>
    <row r="109" spans="1:8" ht="15.75" x14ac:dyDescent="0.25">
      <c r="A109" s="130"/>
      <c r="B109" s="131">
        <f>DATE(2023,11,1)</f>
        <v>45231</v>
      </c>
      <c r="C109" s="204">
        <v>10158371</v>
      </c>
      <c r="D109" s="204">
        <v>1968225</v>
      </c>
      <c r="E109" s="204">
        <v>1878662</v>
      </c>
      <c r="F109" s="132">
        <f t="shared" si="16"/>
        <v>4.7673823178411019E-2</v>
      </c>
      <c r="G109" s="215">
        <f t="shared" si="17"/>
        <v>0.19375399854957059</v>
      </c>
      <c r="H109" s="123"/>
    </row>
    <row r="110" spans="1:8" ht="15.75" x14ac:dyDescent="0.25">
      <c r="A110" s="130"/>
      <c r="B110" s="131">
        <f>DATE(2023,12,1)</f>
        <v>45261</v>
      </c>
      <c r="C110" s="204">
        <v>11753235</v>
      </c>
      <c r="D110" s="204">
        <v>2810336.5</v>
      </c>
      <c r="E110" s="204">
        <v>2169033.7999999998</v>
      </c>
      <c r="F110" s="132">
        <f t="shared" si="16"/>
        <v>0.29566284305943052</v>
      </c>
      <c r="G110" s="215">
        <f t="shared" si="17"/>
        <v>0.23911174242665956</v>
      </c>
      <c r="H110" s="123"/>
    </row>
    <row r="111" spans="1:8" ht="15.75" x14ac:dyDescent="0.25">
      <c r="A111" s="130"/>
      <c r="B111" s="131">
        <f>DATE(2024,1,1)</f>
        <v>45292</v>
      </c>
      <c r="C111" s="204">
        <v>9271778</v>
      </c>
      <c r="D111" s="204">
        <v>1768692.5</v>
      </c>
      <c r="E111" s="204">
        <v>2093677.04</v>
      </c>
      <c r="F111" s="132">
        <f>(+D111-E111)/E111</f>
        <v>-0.1552219056669791</v>
      </c>
      <c r="G111" s="215">
        <f>D111/C111</f>
        <v>0.19076087671641836</v>
      </c>
      <c r="H111" s="123"/>
    </row>
    <row r="112" spans="1:8" ht="15.75" x14ac:dyDescent="0.25">
      <c r="A112" s="130"/>
      <c r="B112" s="131">
        <f>DATE(2024,2,1)</f>
        <v>45323</v>
      </c>
      <c r="C112" s="204">
        <v>9943689</v>
      </c>
      <c r="D112" s="204">
        <v>2319014</v>
      </c>
      <c r="E112" s="204">
        <v>1592170</v>
      </c>
      <c r="F112" s="132">
        <f>(+D112-E112)/E112</f>
        <v>0.45651155341452232</v>
      </c>
      <c r="G112" s="215">
        <f>D112/C112</f>
        <v>0.23321465504401837</v>
      </c>
      <c r="H112" s="123"/>
    </row>
    <row r="113" spans="1:8" ht="15.75" x14ac:dyDescent="0.25">
      <c r="A113" s="130"/>
      <c r="B113" s="131">
        <f>DATE(2024,3,1)</f>
        <v>45352</v>
      </c>
      <c r="C113" s="204">
        <v>11419979</v>
      </c>
      <c r="D113" s="204">
        <v>1989362</v>
      </c>
      <c r="E113" s="204">
        <v>1970288.5</v>
      </c>
      <c r="F113" s="132">
        <f>(+D113-E113)/E113</f>
        <v>9.6805620090661855E-3</v>
      </c>
      <c r="G113" s="215">
        <f>D113/C113</f>
        <v>0.17420014520166807</v>
      </c>
      <c r="H113" s="123"/>
    </row>
    <row r="114" spans="1:8" ht="15.75" customHeight="1" thickBot="1" x14ac:dyDescent="0.3">
      <c r="A114" s="130"/>
      <c r="B114" s="131"/>
      <c r="C114" s="204"/>
      <c r="D114" s="204"/>
      <c r="E114" s="204"/>
      <c r="F114" s="132"/>
      <c r="G114" s="215"/>
      <c r="H114" s="123"/>
    </row>
    <row r="115" spans="1:8" ht="17.25" thickTop="1" thickBot="1" x14ac:dyDescent="0.3">
      <c r="A115" s="141" t="s">
        <v>14</v>
      </c>
      <c r="B115" s="142"/>
      <c r="C115" s="206">
        <f>SUM(C105:C114)</f>
        <v>95364658.150000006</v>
      </c>
      <c r="D115" s="206">
        <f>SUM(D105:D114)</f>
        <v>18832262.149999999</v>
      </c>
      <c r="E115" s="206">
        <f>SUM(E105:E114)</f>
        <v>17706949.34</v>
      </c>
      <c r="F115" s="143">
        <f>(+D115-E115)/E115</f>
        <v>6.3552043234116951E-2</v>
      </c>
      <c r="G115" s="217">
        <f>D115/C115</f>
        <v>0.19747632419945918</v>
      </c>
      <c r="H115" s="123"/>
    </row>
    <row r="116" spans="1:8" ht="15.75" customHeight="1" thickTop="1" x14ac:dyDescent="0.25">
      <c r="A116" s="138"/>
      <c r="B116" s="139"/>
      <c r="C116" s="205"/>
      <c r="D116" s="205"/>
      <c r="E116" s="205"/>
      <c r="F116" s="140"/>
      <c r="G116" s="216"/>
      <c r="H116" s="123"/>
    </row>
    <row r="117" spans="1:8" ht="15.75" x14ac:dyDescent="0.25">
      <c r="A117" s="130" t="s">
        <v>53</v>
      </c>
      <c r="B117" s="131">
        <f>DATE(2023,7,1)</f>
        <v>45108</v>
      </c>
      <c r="C117" s="204">
        <v>14493632</v>
      </c>
      <c r="D117" s="204">
        <v>2697018.32</v>
      </c>
      <c r="E117" s="204">
        <v>2740415.54</v>
      </c>
      <c r="F117" s="132">
        <f t="shared" ref="F117:F122" si="18">(+D117-E117)/E117</f>
        <v>-1.5835999820669609E-2</v>
      </c>
      <c r="G117" s="215">
        <f t="shared" ref="G117:G122" si="19">D117/C117</f>
        <v>0.18608298596238679</v>
      </c>
      <c r="H117" s="123"/>
    </row>
    <row r="118" spans="1:8" ht="15.75" x14ac:dyDescent="0.25">
      <c r="A118" s="130"/>
      <c r="B118" s="131">
        <f>DATE(2023,8,1)</f>
        <v>45139</v>
      </c>
      <c r="C118" s="204">
        <v>13342517</v>
      </c>
      <c r="D118" s="204">
        <v>2176274.1</v>
      </c>
      <c r="E118" s="204">
        <v>2942976.84</v>
      </c>
      <c r="F118" s="132">
        <f t="shared" si="18"/>
        <v>-0.26051946096864281</v>
      </c>
      <c r="G118" s="215">
        <f t="shared" si="19"/>
        <v>0.1631082126408383</v>
      </c>
      <c r="H118" s="123"/>
    </row>
    <row r="119" spans="1:8" ht="15.75" x14ac:dyDescent="0.25">
      <c r="A119" s="130"/>
      <c r="B119" s="131">
        <f>DATE(2023,9,1)</f>
        <v>45170</v>
      </c>
      <c r="C119" s="204">
        <v>12919096</v>
      </c>
      <c r="D119" s="204">
        <v>3641267.7</v>
      </c>
      <c r="E119" s="204">
        <v>2470080.11</v>
      </c>
      <c r="F119" s="132">
        <f t="shared" si="18"/>
        <v>0.47414963800506066</v>
      </c>
      <c r="G119" s="215">
        <f t="shared" si="19"/>
        <v>0.28185158621005679</v>
      </c>
      <c r="H119" s="123"/>
    </row>
    <row r="120" spans="1:8" ht="15.75" x14ac:dyDescent="0.25">
      <c r="A120" s="130"/>
      <c r="B120" s="131">
        <f>DATE(2023,10,1)</f>
        <v>45200</v>
      </c>
      <c r="C120" s="204">
        <v>12747730</v>
      </c>
      <c r="D120" s="204">
        <v>2255484.27</v>
      </c>
      <c r="E120" s="204">
        <v>3215532.42</v>
      </c>
      <c r="F120" s="132">
        <f t="shared" si="18"/>
        <v>-0.29856584372425637</v>
      </c>
      <c r="G120" s="215">
        <f t="shared" si="19"/>
        <v>0.1769322279339145</v>
      </c>
      <c r="H120" s="123"/>
    </row>
    <row r="121" spans="1:8" ht="15.75" x14ac:dyDescent="0.25">
      <c r="A121" s="130"/>
      <c r="B121" s="131">
        <f>DATE(2023,11,1)</f>
        <v>45231</v>
      </c>
      <c r="C121" s="204">
        <v>12382493</v>
      </c>
      <c r="D121" s="204">
        <v>2883631.5</v>
      </c>
      <c r="E121" s="204">
        <v>3258473.52</v>
      </c>
      <c r="F121" s="132">
        <f t="shared" si="18"/>
        <v>-0.11503607983900388</v>
      </c>
      <c r="G121" s="215">
        <f t="shared" si="19"/>
        <v>0.23287971977856156</v>
      </c>
      <c r="H121" s="123"/>
    </row>
    <row r="122" spans="1:8" ht="15.75" x14ac:dyDescent="0.25">
      <c r="A122" s="130"/>
      <c r="B122" s="131">
        <f>DATE(2023,12,1)</f>
        <v>45261</v>
      </c>
      <c r="C122" s="204">
        <v>13069344</v>
      </c>
      <c r="D122" s="204">
        <v>2283089.39</v>
      </c>
      <c r="E122" s="204">
        <v>2403855.66</v>
      </c>
      <c r="F122" s="132">
        <f t="shared" si="18"/>
        <v>-5.0238569648562013E-2</v>
      </c>
      <c r="G122" s="215">
        <f t="shared" si="19"/>
        <v>0.17469043511288709</v>
      </c>
      <c r="H122" s="123"/>
    </row>
    <row r="123" spans="1:8" ht="15.75" x14ac:dyDescent="0.25">
      <c r="A123" s="130"/>
      <c r="B123" s="131">
        <f>DATE(2024,1,1)</f>
        <v>45292</v>
      </c>
      <c r="C123" s="204">
        <v>11538016</v>
      </c>
      <c r="D123" s="204">
        <v>1993320.36</v>
      </c>
      <c r="E123" s="204">
        <v>3153729.45</v>
      </c>
      <c r="F123" s="132">
        <f>(+D123-E123)/E123</f>
        <v>-0.36794820494192992</v>
      </c>
      <c r="G123" s="215">
        <f>D123/C123</f>
        <v>0.17276110208202172</v>
      </c>
      <c r="H123" s="123"/>
    </row>
    <row r="124" spans="1:8" ht="15.75" x14ac:dyDescent="0.25">
      <c r="A124" s="130"/>
      <c r="B124" s="131">
        <f>DATE(2024,2,1)</f>
        <v>45323</v>
      </c>
      <c r="C124" s="204">
        <v>11252008</v>
      </c>
      <c r="D124" s="204">
        <v>2104947.1800000002</v>
      </c>
      <c r="E124" s="204">
        <v>2846898.89</v>
      </c>
      <c r="F124" s="132">
        <f>(+D124-E124)/E124</f>
        <v>-0.26061751353593027</v>
      </c>
      <c r="G124" s="215">
        <f>D124/C124</f>
        <v>0.18707302554352967</v>
      </c>
      <c r="H124" s="123"/>
    </row>
    <row r="125" spans="1:8" ht="15.75" x14ac:dyDescent="0.25">
      <c r="A125" s="130"/>
      <c r="B125" s="131">
        <f>DATE(2024,3,1)</f>
        <v>45352</v>
      </c>
      <c r="C125" s="204">
        <v>13330207.1</v>
      </c>
      <c r="D125" s="204">
        <v>2683009.0099999998</v>
      </c>
      <c r="E125" s="204">
        <v>3199533</v>
      </c>
      <c r="F125" s="132">
        <f>(+D125-E125)/E125</f>
        <v>-0.16143730663193667</v>
      </c>
      <c r="G125" s="215">
        <f>D125/C125</f>
        <v>0.20127286769610653</v>
      </c>
      <c r="H125" s="123"/>
    </row>
    <row r="126" spans="1:8" ht="15.75" thickBot="1" x14ac:dyDescent="0.25">
      <c r="A126" s="133"/>
      <c r="B126" s="131"/>
      <c r="C126" s="204"/>
      <c r="D126" s="204"/>
      <c r="E126" s="204"/>
      <c r="F126" s="132"/>
      <c r="G126" s="215"/>
      <c r="H126" s="123"/>
    </row>
    <row r="127" spans="1:8" ht="17.25" thickTop="1" thickBot="1" x14ac:dyDescent="0.3">
      <c r="A127" s="141" t="s">
        <v>14</v>
      </c>
      <c r="B127" s="142"/>
      <c r="C127" s="207">
        <f>SUM(C117:C126)</f>
        <v>115075043.09999999</v>
      </c>
      <c r="D127" s="207">
        <f>SUM(D117:D126)</f>
        <v>22718041.829999998</v>
      </c>
      <c r="E127" s="207">
        <f>SUM(E117:E126)</f>
        <v>26231495.43</v>
      </c>
      <c r="F127" s="143">
        <f>(+D127-E127)/E127</f>
        <v>-0.133940270747271</v>
      </c>
      <c r="G127" s="267">
        <f>D127/C127</f>
        <v>0.19741936407756167</v>
      </c>
      <c r="H127" s="123"/>
    </row>
    <row r="128" spans="1:8" ht="15.75" customHeight="1" thickTop="1" x14ac:dyDescent="0.25">
      <c r="A128" s="138"/>
      <c r="B128" s="139"/>
      <c r="C128" s="205"/>
      <c r="D128" s="205"/>
      <c r="E128" s="205"/>
      <c r="F128" s="140"/>
      <c r="G128" s="219"/>
      <c r="H128" s="123"/>
    </row>
    <row r="129" spans="1:8" ht="15.75" x14ac:dyDescent="0.25">
      <c r="A129" s="130" t="s">
        <v>54</v>
      </c>
      <c r="B129" s="131">
        <f>DATE(2023,7,1)</f>
        <v>45108</v>
      </c>
      <c r="C129" s="204">
        <v>199161</v>
      </c>
      <c r="D129" s="204">
        <v>54168.5</v>
      </c>
      <c r="E129" s="204">
        <v>33672.5</v>
      </c>
      <c r="F129" s="132">
        <f t="shared" ref="F129:F134" si="20">(+D129-E129)/E129</f>
        <v>0.60868661370554611</v>
      </c>
      <c r="G129" s="215">
        <f>D129/C129</f>
        <v>0.27198347065941625</v>
      </c>
      <c r="H129" s="123"/>
    </row>
    <row r="130" spans="1:8" ht="15.75" x14ac:dyDescent="0.25">
      <c r="A130" s="130"/>
      <c r="B130" s="131">
        <f>DATE(2023,8,1)</f>
        <v>45139</v>
      </c>
      <c r="C130" s="204">
        <v>175878</v>
      </c>
      <c r="D130" s="204">
        <v>48279.5</v>
      </c>
      <c r="E130" s="204">
        <v>43554</v>
      </c>
      <c r="F130" s="132">
        <f t="shared" si="20"/>
        <v>0.10849749735959957</v>
      </c>
      <c r="G130" s="215">
        <f>D130/C130</f>
        <v>0.27450562321609295</v>
      </c>
      <c r="H130" s="123"/>
    </row>
    <row r="131" spans="1:8" ht="15.75" x14ac:dyDescent="0.25">
      <c r="A131" s="130"/>
      <c r="B131" s="131">
        <f>DATE(2023,9,1)</f>
        <v>45170</v>
      </c>
      <c r="C131" s="204">
        <v>172935</v>
      </c>
      <c r="D131" s="204">
        <v>44777.5</v>
      </c>
      <c r="E131" s="204">
        <v>21940.5</v>
      </c>
      <c r="F131" s="132">
        <f t="shared" si="20"/>
        <v>1.0408605091041681</v>
      </c>
      <c r="G131" s="215">
        <f>D131/C131</f>
        <v>0.25892676439124529</v>
      </c>
      <c r="H131" s="123"/>
    </row>
    <row r="132" spans="1:8" ht="15.75" x14ac:dyDescent="0.25">
      <c r="A132" s="130"/>
      <c r="B132" s="131">
        <f>DATE(2023,10,1)</f>
        <v>45200</v>
      </c>
      <c r="C132" s="204">
        <v>199343</v>
      </c>
      <c r="D132" s="204">
        <v>43819.5</v>
      </c>
      <c r="E132" s="204">
        <v>23452.5</v>
      </c>
      <c r="F132" s="132">
        <f t="shared" si="20"/>
        <v>0.86843620083146789</v>
      </c>
      <c r="G132" s="215">
        <f>D132/C132</f>
        <v>0.21981960741034298</v>
      </c>
      <c r="H132" s="123"/>
    </row>
    <row r="133" spans="1:8" ht="15.75" x14ac:dyDescent="0.25">
      <c r="A133" s="130"/>
      <c r="B133" s="131">
        <f>DATE(2023,11,1)</f>
        <v>45231</v>
      </c>
      <c r="C133" s="204">
        <v>159884</v>
      </c>
      <c r="D133" s="204">
        <v>38077.5</v>
      </c>
      <c r="E133" s="204">
        <v>27986</v>
      </c>
      <c r="F133" s="132">
        <f t="shared" si="20"/>
        <v>0.3605910097906096</v>
      </c>
      <c r="G133" s="215">
        <f>D133/C133</f>
        <v>0.23815703885316855</v>
      </c>
      <c r="H133" s="123"/>
    </row>
    <row r="134" spans="1:8" ht="15.75" x14ac:dyDescent="0.25">
      <c r="A134" s="130"/>
      <c r="B134" s="131">
        <f>DATE(2023,12,1)</f>
        <v>45261</v>
      </c>
      <c r="C134" s="204">
        <v>0</v>
      </c>
      <c r="D134" s="204">
        <v>0</v>
      </c>
      <c r="E134" s="204">
        <v>31936</v>
      </c>
      <c r="F134" s="132">
        <f t="shared" si="20"/>
        <v>-1</v>
      </c>
      <c r="G134" s="215">
        <v>0</v>
      </c>
      <c r="H134" s="123"/>
    </row>
    <row r="135" spans="1:8" ht="15.75" x14ac:dyDescent="0.25">
      <c r="A135" s="130"/>
      <c r="B135" s="131">
        <f>DATE(2024,1,1)</f>
        <v>45292</v>
      </c>
      <c r="C135" s="204">
        <v>0</v>
      </c>
      <c r="D135" s="204">
        <v>0</v>
      </c>
      <c r="E135" s="204">
        <v>19398.5</v>
      </c>
      <c r="F135" s="132">
        <f>(+D135-E135)/E135</f>
        <v>-1</v>
      </c>
      <c r="G135" s="215">
        <v>0</v>
      </c>
      <c r="H135" s="123"/>
    </row>
    <row r="136" spans="1:8" ht="15.75" x14ac:dyDescent="0.25">
      <c r="A136" s="130"/>
      <c r="B136" s="131">
        <f>DATE(2024,2,1)</f>
        <v>45323</v>
      </c>
      <c r="C136" s="204">
        <v>0</v>
      </c>
      <c r="D136" s="204">
        <v>0</v>
      </c>
      <c r="E136" s="204">
        <v>38642.5</v>
      </c>
      <c r="F136" s="132">
        <f>(+D136-E136)/E136</f>
        <v>-1</v>
      </c>
      <c r="G136" s="215">
        <v>0</v>
      </c>
      <c r="H136" s="123"/>
    </row>
    <row r="137" spans="1:8" ht="15.75" x14ac:dyDescent="0.25">
      <c r="A137" s="130"/>
      <c r="B137" s="131">
        <f>DATE(2024,3,1)</f>
        <v>45352</v>
      </c>
      <c r="C137" s="204">
        <v>0</v>
      </c>
      <c r="D137" s="204">
        <v>0</v>
      </c>
      <c r="E137" s="204">
        <v>57536.5</v>
      </c>
      <c r="F137" s="132">
        <f>(+D137-E137)/E137</f>
        <v>-1</v>
      </c>
      <c r="G137" s="215">
        <v>0</v>
      </c>
      <c r="H137" s="123"/>
    </row>
    <row r="138" spans="1:8" ht="15.75" thickBot="1" x14ac:dyDescent="0.25">
      <c r="A138" s="133"/>
      <c r="B138" s="134"/>
      <c r="C138" s="204"/>
      <c r="D138" s="204"/>
      <c r="E138" s="204"/>
      <c r="F138" s="132"/>
      <c r="G138" s="215"/>
      <c r="H138" s="123"/>
    </row>
    <row r="139" spans="1:8" ht="17.25" thickTop="1" thickBot="1" x14ac:dyDescent="0.3">
      <c r="A139" s="144" t="s">
        <v>14</v>
      </c>
      <c r="B139" s="145"/>
      <c r="C139" s="207">
        <f>SUM(C129:C138)</f>
        <v>907201</v>
      </c>
      <c r="D139" s="207">
        <f>SUM(D129:D138)</f>
        <v>229122.5</v>
      </c>
      <c r="E139" s="207">
        <f>SUM(E129:E138)</f>
        <v>298119</v>
      </c>
      <c r="F139" s="143">
        <f>(+D139-E139)/E139</f>
        <v>-0.23143945873963082</v>
      </c>
      <c r="G139" s="217">
        <f>D139/C139</f>
        <v>0.2525597965610708</v>
      </c>
      <c r="H139" s="123"/>
    </row>
    <row r="140" spans="1:8" ht="15.75" customHeight="1" thickTop="1" x14ac:dyDescent="0.25">
      <c r="A140" s="130"/>
      <c r="B140" s="134"/>
      <c r="C140" s="204"/>
      <c r="D140" s="204"/>
      <c r="E140" s="204"/>
      <c r="F140" s="132"/>
      <c r="G140" s="218"/>
      <c r="H140" s="123"/>
    </row>
    <row r="141" spans="1:8" ht="15.75" x14ac:dyDescent="0.25">
      <c r="A141" s="130" t="s">
        <v>37</v>
      </c>
      <c r="B141" s="131">
        <f>DATE(2023,7,1)</f>
        <v>45108</v>
      </c>
      <c r="C141" s="204">
        <v>20709684</v>
      </c>
      <c r="D141" s="204">
        <v>4690410.88</v>
      </c>
      <c r="E141" s="204">
        <v>4747644.93</v>
      </c>
      <c r="F141" s="132">
        <f t="shared" ref="F141:F146" si="21">(+D141-E141)/E141</f>
        <v>-1.2055250728280519E-2</v>
      </c>
      <c r="G141" s="215">
        <f t="shared" ref="G141:G146" si="22">D141/C141</f>
        <v>0.22648394248796844</v>
      </c>
      <c r="H141" s="123"/>
    </row>
    <row r="142" spans="1:8" ht="15.75" x14ac:dyDescent="0.25">
      <c r="A142" s="130"/>
      <c r="B142" s="131">
        <f>DATE(2023,8,1)</f>
        <v>45139</v>
      </c>
      <c r="C142" s="204">
        <v>20362139</v>
      </c>
      <c r="D142" s="204">
        <v>3109199.97</v>
      </c>
      <c r="E142" s="204">
        <v>5944421.2300000004</v>
      </c>
      <c r="F142" s="132">
        <f t="shared" si="21"/>
        <v>-0.47695497177948137</v>
      </c>
      <c r="G142" s="215">
        <f t="shared" si="22"/>
        <v>0.15269515496382774</v>
      </c>
      <c r="H142" s="123"/>
    </row>
    <row r="143" spans="1:8" ht="15.75" x14ac:dyDescent="0.25">
      <c r="A143" s="130"/>
      <c r="B143" s="131">
        <f>DATE(2023,9,1)</f>
        <v>45170</v>
      </c>
      <c r="C143" s="204">
        <v>21392075</v>
      </c>
      <c r="D143" s="204">
        <v>4835353.0999999996</v>
      </c>
      <c r="E143" s="204">
        <v>4482002.3499999996</v>
      </c>
      <c r="F143" s="132">
        <f t="shared" si="21"/>
        <v>7.8837698512139343E-2</v>
      </c>
      <c r="G143" s="215">
        <f t="shared" si="22"/>
        <v>0.22603478624677595</v>
      </c>
      <c r="H143" s="123"/>
    </row>
    <row r="144" spans="1:8" ht="15.75" x14ac:dyDescent="0.25">
      <c r="A144" s="130"/>
      <c r="B144" s="131">
        <f>DATE(2023,10,1)</f>
        <v>45200</v>
      </c>
      <c r="C144" s="204">
        <v>19934793</v>
      </c>
      <c r="D144" s="204">
        <v>4925406.22</v>
      </c>
      <c r="E144" s="204">
        <v>4856222.42</v>
      </c>
      <c r="F144" s="132">
        <f t="shared" si="21"/>
        <v>1.4246423251758681E-2</v>
      </c>
      <c r="G144" s="215">
        <f t="shared" si="22"/>
        <v>0.24707586479578694</v>
      </c>
      <c r="H144" s="123"/>
    </row>
    <row r="145" spans="1:8" ht="15.75" x14ac:dyDescent="0.25">
      <c r="A145" s="130"/>
      <c r="B145" s="131">
        <f>DATE(2023,11,1)</f>
        <v>45231</v>
      </c>
      <c r="C145" s="204">
        <v>20304922</v>
      </c>
      <c r="D145" s="204">
        <v>3628470.69</v>
      </c>
      <c r="E145" s="204">
        <v>4475648.3499999996</v>
      </c>
      <c r="F145" s="132">
        <f t="shared" si="21"/>
        <v>-0.18928601930935879</v>
      </c>
      <c r="G145" s="215">
        <f t="shared" si="22"/>
        <v>0.17869907059972945</v>
      </c>
      <c r="H145" s="123"/>
    </row>
    <row r="146" spans="1:8" ht="15.75" x14ac:dyDescent="0.25">
      <c r="A146" s="130"/>
      <c r="B146" s="131">
        <f>DATE(2023,12,1)</f>
        <v>45261</v>
      </c>
      <c r="C146" s="204">
        <v>23730013</v>
      </c>
      <c r="D146" s="204">
        <v>5043873.1500000004</v>
      </c>
      <c r="E146" s="204">
        <v>4385866.74</v>
      </c>
      <c r="F146" s="132">
        <f t="shared" si="21"/>
        <v>0.15002881961707759</v>
      </c>
      <c r="G146" s="215">
        <f t="shared" si="22"/>
        <v>0.21255248153467091</v>
      </c>
      <c r="H146" s="123"/>
    </row>
    <row r="147" spans="1:8" ht="15.75" x14ac:dyDescent="0.25">
      <c r="A147" s="130"/>
      <c r="B147" s="131">
        <f>DATE(2024,1,1)</f>
        <v>45292</v>
      </c>
      <c r="C147" s="204">
        <v>22155236</v>
      </c>
      <c r="D147" s="204">
        <v>4031282.04</v>
      </c>
      <c r="E147" s="204">
        <v>4078609.4</v>
      </c>
      <c r="F147" s="132">
        <f>(+D147-E147)/E147</f>
        <v>-1.1603798098440088E-2</v>
      </c>
      <c r="G147" s="215">
        <f>D147/C147</f>
        <v>0.18195617686040447</v>
      </c>
      <c r="H147" s="123"/>
    </row>
    <row r="148" spans="1:8" ht="15.75" x14ac:dyDescent="0.25">
      <c r="A148" s="130"/>
      <c r="B148" s="131">
        <f>DATE(2024,2,1)</f>
        <v>45323</v>
      </c>
      <c r="C148" s="204">
        <v>20554023</v>
      </c>
      <c r="D148" s="204">
        <v>4101154.55</v>
      </c>
      <c r="E148" s="204">
        <v>5567189.9299999997</v>
      </c>
      <c r="F148" s="132">
        <f>(+D148-E148)/E148</f>
        <v>-0.26333489577927871</v>
      </c>
      <c r="G148" s="215">
        <f>D148/C148</f>
        <v>0.19953050310394221</v>
      </c>
      <c r="H148" s="123"/>
    </row>
    <row r="149" spans="1:8" ht="15.75" x14ac:dyDescent="0.25">
      <c r="A149" s="130"/>
      <c r="B149" s="131">
        <f>DATE(2024,3,1)</f>
        <v>45352</v>
      </c>
      <c r="C149" s="204">
        <v>23574838</v>
      </c>
      <c r="D149" s="204">
        <v>4751168.29</v>
      </c>
      <c r="E149" s="204">
        <v>4791404.6399999997</v>
      </c>
      <c r="F149" s="132">
        <f>(+D149-E149)/E149</f>
        <v>-8.397610517820852E-3</v>
      </c>
      <c r="G149" s="215">
        <f>D149/C149</f>
        <v>0.20153556474067819</v>
      </c>
      <c r="H149" s="123"/>
    </row>
    <row r="150" spans="1:8" ht="15.75" thickBot="1" x14ac:dyDescent="0.25">
      <c r="A150" s="133"/>
      <c r="B150" s="134"/>
      <c r="C150" s="204"/>
      <c r="D150" s="204"/>
      <c r="E150" s="204"/>
      <c r="F150" s="132"/>
      <c r="G150" s="215"/>
      <c r="H150" s="123"/>
    </row>
    <row r="151" spans="1:8" ht="17.25" thickTop="1" thickBot="1" x14ac:dyDescent="0.3">
      <c r="A151" s="141" t="s">
        <v>14</v>
      </c>
      <c r="B151" s="142"/>
      <c r="C151" s="206">
        <f>SUM(C141:C150)</f>
        <v>192717723</v>
      </c>
      <c r="D151" s="207">
        <f>SUM(D141:D150)</f>
        <v>39116318.889999993</v>
      </c>
      <c r="E151" s="206">
        <f>SUM(E141:E150)</f>
        <v>43329009.990000002</v>
      </c>
      <c r="F151" s="143">
        <f>(+D151-E151)/E151</f>
        <v>-9.7225648612148427E-2</v>
      </c>
      <c r="G151" s="217">
        <f>D151/C151</f>
        <v>0.20297208933918337</v>
      </c>
      <c r="H151" s="123"/>
    </row>
    <row r="152" spans="1:8" ht="15.75" customHeight="1" thickTop="1" x14ac:dyDescent="0.25">
      <c r="A152" s="130"/>
      <c r="B152" s="134"/>
      <c r="C152" s="204"/>
      <c r="D152" s="204"/>
      <c r="E152" s="204"/>
      <c r="F152" s="132"/>
      <c r="G152" s="218"/>
      <c r="H152" s="123"/>
    </row>
    <row r="153" spans="1:8" ht="15.75" x14ac:dyDescent="0.25">
      <c r="A153" s="130" t="s">
        <v>57</v>
      </c>
      <c r="B153" s="131">
        <f>DATE(2023,7,1)</f>
        <v>45108</v>
      </c>
      <c r="C153" s="204">
        <v>667022</v>
      </c>
      <c r="D153" s="204">
        <v>167507.5</v>
      </c>
      <c r="E153" s="204">
        <v>196833</v>
      </c>
      <c r="F153" s="132">
        <f t="shared" ref="F153:F158" si="23">(+D153-E153)/E153</f>
        <v>-0.14898670446520654</v>
      </c>
      <c r="G153" s="215">
        <f t="shared" ref="G153:G158" si="24">D153/C153</f>
        <v>0.25112739909628168</v>
      </c>
      <c r="H153" s="123"/>
    </row>
    <row r="154" spans="1:8" ht="15.75" x14ac:dyDescent="0.25">
      <c r="A154" s="130"/>
      <c r="B154" s="131">
        <f>DATE(2023,8,1)</f>
        <v>45139</v>
      </c>
      <c r="C154" s="204">
        <v>610032</v>
      </c>
      <c r="D154" s="204">
        <v>211410</v>
      </c>
      <c r="E154" s="204">
        <v>151280.5</v>
      </c>
      <c r="F154" s="132">
        <f t="shared" si="23"/>
        <v>0.39747026219506149</v>
      </c>
      <c r="G154" s="215">
        <f t="shared" si="24"/>
        <v>0.34655559052639862</v>
      </c>
      <c r="H154" s="123"/>
    </row>
    <row r="155" spans="1:8" ht="15.75" x14ac:dyDescent="0.25">
      <c r="A155" s="130"/>
      <c r="B155" s="131">
        <f>DATE(2023,9,1)</f>
        <v>45170</v>
      </c>
      <c r="C155" s="204">
        <v>532466</v>
      </c>
      <c r="D155" s="204">
        <v>169350</v>
      </c>
      <c r="E155" s="204">
        <v>193974</v>
      </c>
      <c r="F155" s="132">
        <f t="shared" si="23"/>
        <v>-0.12694484827863528</v>
      </c>
      <c r="G155" s="215">
        <f t="shared" si="24"/>
        <v>0.31804847633463923</v>
      </c>
      <c r="H155" s="123"/>
    </row>
    <row r="156" spans="1:8" ht="15.75" x14ac:dyDescent="0.25">
      <c r="A156" s="130"/>
      <c r="B156" s="131">
        <f>DATE(2023,10,1)</f>
        <v>45200</v>
      </c>
      <c r="C156" s="204">
        <v>417867</v>
      </c>
      <c r="D156" s="204">
        <v>88179.5</v>
      </c>
      <c r="E156" s="204">
        <v>196489.5</v>
      </c>
      <c r="F156" s="132">
        <f t="shared" si="23"/>
        <v>-0.55122538354466777</v>
      </c>
      <c r="G156" s="215">
        <f t="shared" si="24"/>
        <v>0.21102288527210811</v>
      </c>
      <c r="H156" s="123"/>
    </row>
    <row r="157" spans="1:8" ht="15.75" x14ac:dyDescent="0.25">
      <c r="A157" s="130"/>
      <c r="B157" s="131">
        <f>DATE(2023,11,1)</f>
        <v>45231</v>
      </c>
      <c r="C157" s="204">
        <v>535756</v>
      </c>
      <c r="D157" s="204">
        <v>133089.5</v>
      </c>
      <c r="E157" s="204">
        <v>205853.5</v>
      </c>
      <c r="F157" s="132">
        <f t="shared" si="23"/>
        <v>-0.3534746798086989</v>
      </c>
      <c r="G157" s="215">
        <f t="shared" si="24"/>
        <v>0.24841439013282166</v>
      </c>
      <c r="H157" s="123"/>
    </row>
    <row r="158" spans="1:8" ht="15.75" x14ac:dyDescent="0.25">
      <c r="A158" s="130"/>
      <c r="B158" s="131">
        <f>DATE(2023,12,1)</f>
        <v>45261</v>
      </c>
      <c r="C158" s="204">
        <v>646232</v>
      </c>
      <c r="D158" s="204">
        <v>263841.5</v>
      </c>
      <c r="E158" s="204">
        <v>179648</v>
      </c>
      <c r="F158" s="132">
        <f t="shared" si="23"/>
        <v>0.46865815372283576</v>
      </c>
      <c r="G158" s="215">
        <f t="shared" si="24"/>
        <v>0.40827674890751309</v>
      </c>
      <c r="H158" s="123"/>
    </row>
    <row r="159" spans="1:8" ht="15.75" x14ac:dyDescent="0.25">
      <c r="A159" s="130"/>
      <c r="B159" s="131">
        <f>DATE(2024,1,1)</f>
        <v>45292</v>
      </c>
      <c r="C159" s="204">
        <v>452540</v>
      </c>
      <c r="D159" s="204">
        <v>139110</v>
      </c>
      <c r="E159" s="204">
        <v>120250</v>
      </c>
      <c r="F159" s="132">
        <f>(+D159-E159)/E159</f>
        <v>0.15683991683991683</v>
      </c>
      <c r="G159" s="215">
        <f>D159/C159</f>
        <v>0.30739824103946611</v>
      </c>
      <c r="H159" s="123"/>
    </row>
    <row r="160" spans="1:8" ht="15.75" x14ac:dyDescent="0.25">
      <c r="A160" s="130"/>
      <c r="B160" s="131">
        <f>DATE(2024,2,1)</f>
        <v>45323</v>
      </c>
      <c r="C160" s="204">
        <v>556739</v>
      </c>
      <c r="D160" s="204">
        <v>167570.5</v>
      </c>
      <c r="E160" s="204">
        <v>189664</v>
      </c>
      <c r="F160" s="132">
        <f>(+D160-E160)/E160</f>
        <v>-0.11648757803273156</v>
      </c>
      <c r="G160" s="215">
        <f>D160/C160</f>
        <v>0.3009857401762765</v>
      </c>
      <c r="H160" s="123"/>
    </row>
    <row r="161" spans="1:8" ht="15.75" x14ac:dyDescent="0.25">
      <c r="A161" s="130"/>
      <c r="B161" s="131">
        <f>DATE(2024,3,1)</f>
        <v>45352</v>
      </c>
      <c r="C161" s="204">
        <v>709180</v>
      </c>
      <c r="D161" s="204">
        <v>169974.5</v>
      </c>
      <c r="E161" s="204">
        <v>187974</v>
      </c>
      <c r="F161" s="132">
        <f>(+D161-E161)/E161</f>
        <v>-9.5755264025875919E-2</v>
      </c>
      <c r="G161" s="215">
        <f>D161/C161</f>
        <v>0.23967751487633604</v>
      </c>
      <c r="H161" s="123"/>
    </row>
    <row r="162" spans="1:8" ht="15.75" thickBot="1" x14ac:dyDescent="0.25">
      <c r="A162" s="133"/>
      <c r="B162" s="134"/>
      <c r="C162" s="204"/>
      <c r="D162" s="204"/>
      <c r="E162" s="204"/>
      <c r="F162" s="132"/>
      <c r="G162" s="215"/>
      <c r="H162" s="123"/>
    </row>
    <row r="163" spans="1:8" ht="17.25" thickTop="1" thickBot="1" x14ac:dyDescent="0.3">
      <c r="A163" s="135" t="s">
        <v>14</v>
      </c>
      <c r="B163" s="136"/>
      <c r="C163" s="201">
        <f>SUM(C153:C162)</f>
        <v>5127834</v>
      </c>
      <c r="D163" s="207">
        <f>SUM(D153:D162)</f>
        <v>1510033</v>
      </c>
      <c r="E163" s="207">
        <f>SUM(E153:E162)</f>
        <v>1621966.5</v>
      </c>
      <c r="F163" s="143">
        <f>(+D163-E163)/E163</f>
        <v>-6.9010981422859233E-2</v>
      </c>
      <c r="G163" s="217">
        <f>D163/C163</f>
        <v>0.29447774635450369</v>
      </c>
      <c r="H163" s="123"/>
    </row>
    <row r="164" spans="1:8" ht="16.5" thickTop="1" thickBot="1" x14ac:dyDescent="0.25">
      <c r="A164" s="146"/>
      <c r="B164" s="139"/>
      <c r="C164" s="205"/>
      <c r="D164" s="205"/>
      <c r="E164" s="205"/>
      <c r="F164" s="140"/>
      <c r="G164" s="216"/>
      <c r="H164" s="123"/>
    </row>
    <row r="165" spans="1:8" ht="17.25" thickTop="1" thickBot="1" x14ac:dyDescent="0.3">
      <c r="A165" s="147" t="s">
        <v>38</v>
      </c>
      <c r="B165" s="121"/>
      <c r="C165" s="201">
        <f>C163+C151+C115+C91+C67+C43+C19+C55+C139+C31+C103+C127+C79</f>
        <v>987147272.25</v>
      </c>
      <c r="D165" s="201">
        <f>D163+D151+D115+D91+D67+D43+D19+D55+D139+D31+D103+D127+D79</f>
        <v>197653076.86999997</v>
      </c>
      <c r="E165" s="201">
        <f>E163+E151+E115+E91+E67+E43+E19+E55+E139+E31+E103+E127+E79</f>
        <v>204874417.63999999</v>
      </c>
      <c r="F165" s="137">
        <f>(+D165-E165)/E165</f>
        <v>-3.5247645133953051E-2</v>
      </c>
      <c r="G165" s="212">
        <f>D165/C165</f>
        <v>0.20022653399982585</v>
      </c>
      <c r="H165" s="123"/>
    </row>
    <row r="166" spans="1:8" ht="17.25" thickTop="1" thickBot="1" x14ac:dyDescent="0.3">
      <c r="A166" s="147"/>
      <c r="B166" s="121"/>
      <c r="C166" s="201"/>
      <c r="D166" s="201"/>
      <c r="E166" s="201"/>
      <c r="F166" s="137"/>
      <c r="G166" s="212"/>
      <c r="H166" s="123"/>
    </row>
    <row r="167" spans="1:8" ht="17.25" thickTop="1" thickBot="1" x14ac:dyDescent="0.3">
      <c r="A167" s="265" t="s">
        <v>39</v>
      </c>
      <c r="B167" s="266"/>
      <c r="C167" s="206">
        <f>+C17+C29+C41+C53+C65+C77+C89+C101+C113+C125+C137+C149+C161</f>
        <v>118269577.09999999</v>
      </c>
      <c r="D167" s="206">
        <f>+D17+D29+D41+D53+D65+D77+D89+D101+D113+D125+D137+D149+D161</f>
        <v>24218914.27</v>
      </c>
      <c r="E167" s="206">
        <f>+E17+E29+E41+E53+E65+E77+E89+E101+E113+E125+E137+E149+E161</f>
        <v>23908577.450000003</v>
      </c>
      <c r="F167" s="268">
        <f>(+D167-E167)/E167</f>
        <v>1.2980145750996847E-2</v>
      </c>
      <c r="G167" s="217">
        <f>D167/C167</f>
        <v>0.20477721205955002</v>
      </c>
      <c r="H167" s="123"/>
    </row>
    <row r="168" spans="1:8" ht="16.5" thickTop="1" x14ac:dyDescent="0.25">
      <c r="A168" s="256"/>
      <c r="B168" s="258"/>
      <c r="C168" s="259"/>
      <c r="D168" s="259"/>
      <c r="E168" s="259"/>
      <c r="F168" s="260"/>
      <c r="G168" s="257"/>
      <c r="H168" s="257"/>
    </row>
    <row r="169" spans="1:8" ht="18.75" x14ac:dyDescent="0.3">
      <c r="A169" s="263" t="s">
        <v>40</v>
      </c>
      <c r="B169" s="117"/>
      <c r="C169" s="208"/>
      <c r="D169" s="208"/>
      <c r="E169" s="208"/>
      <c r="F169" s="148"/>
      <c r="G169" s="220"/>
    </row>
    <row r="170" spans="1:8" ht="15.75" x14ac:dyDescent="0.25">
      <c r="A170" s="72"/>
    </row>
  </sheetData>
  <phoneticPr fontId="0" type="noConversion"/>
  <printOptions horizontalCentered="1"/>
  <pageMargins left="0.45" right="0.25" top="0.31944444444444398" bottom="0.2" header="0.5" footer="0.5"/>
  <pageSetup scale="65" orientation="landscape" r:id="rId1"/>
  <headerFooter alignWithMargins="0"/>
  <rowBreaks count="3" manualBreakCount="3">
    <brk id="55" max="7" man="1"/>
    <brk id="103" max="7" man="1"/>
    <brk id="151" max="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1"/>
  <sheetViews>
    <sheetView zoomScaleNormal="100" workbookViewId="0">
      <selection activeCell="A6" sqref="A6"/>
    </sheetView>
  </sheetViews>
  <sheetFormatPr defaultRowHeight="15" x14ac:dyDescent="0.2"/>
  <cols>
    <col min="1" max="1" width="27.6640625" customWidth="1"/>
    <col min="2" max="2" width="9.6640625" customWidth="1"/>
    <col min="3" max="3" width="18.33203125" customWidth="1"/>
    <col min="4" max="4" width="15.77734375" customWidth="1"/>
    <col min="5" max="5" width="15.6640625" customWidth="1"/>
    <col min="6" max="6" width="8.6640625" customWidth="1"/>
    <col min="7" max="7" width="9.6640625" customWidth="1"/>
    <col min="8" max="8" width="10.6640625" customWidth="1"/>
  </cols>
  <sheetData>
    <row r="1" spans="1:8" ht="18" x14ac:dyDescent="0.25">
      <c r="A1" s="149" t="s">
        <v>0</v>
      </c>
      <c r="B1" s="150"/>
      <c r="C1" s="222"/>
      <c r="D1" s="222"/>
      <c r="E1" s="222"/>
      <c r="F1" s="150"/>
      <c r="G1" s="234"/>
      <c r="H1" s="234"/>
    </row>
    <row r="2" spans="1:8" ht="18.75" x14ac:dyDescent="0.3">
      <c r="A2" s="153" t="s">
        <v>59</v>
      </c>
      <c r="B2" s="150"/>
      <c r="C2" s="222"/>
      <c r="D2" s="222"/>
      <c r="E2" s="222"/>
      <c r="F2" s="150"/>
      <c r="G2" s="234"/>
      <c r="H2" s="234"/>
    </row>
    <row r="3" spans="1:8" ht="18" x14ac:dyDescent="0.25">
      <c r="A3" s="149" t="s">
        <v>42</v>
      </c>
      <c r="B3" s="150"/>
      <c r="C3" s="222"/>
      <c r="D3" s="222"/>
      <c r="E3" s="222"/>
      <c r="F3" s="150"/>
      <c r="G3" s="234"/>
      <c r="H3" s="234"/>
    </row>
    <row r="4" spans="1:8" ht="18" x14ac:dyDescent="0.25">
      <c r="A4" s="285" t="s">
        <v>76</v>
      </c>
      <c r="B4" s="150"/>
      <c r="C4" s="222"/>
      <c r="D4" s="222"/>
      <c r="E4" s="222"/>
      <c r="F4" s="150"/>
      <c r="G4" s="234"/>
      <c r="H4" s="234"/>
    </row>
    <row r="5" spans="1:8" x14ac:dyDescent="0.2">
      <c r="A5" s="286" t="s">
        <v>73</v>
      </c>
      <c r="B5" s="150"/>
      <c r="C5" s="222"/>
      <c r="D5" s="222"/>
      <c r="E5" s="222"/>
      <c r="F5" s="150"/>
      <c r="G5" s="234"/>
      <c r="H5" s="234"/>
    </row>
    <row r="6" spans="1:8" ht="16.5" thickBot="1" x14ac:dyDescent="0.3">
      <c r="A6" s="150"/>
      <c r="B6" s="150"/>
      <c r="C6" s="222"/>
      <c r="D6" s="222"/>
      <c r="E6" s="222"/>
      <c r="F6" s="150"/>
      <c r="G6" s="235" t="s">
        <v>43</v>
      </c>
      <c r="H6" s="235"/>
    </row>
    <row r="7" spans="1:8" ht="16.5" thickTop="1" x14ac:dyDescent="0.25">
      <c r="A7" s="154"/>
      <c r="B7" s="155" t="s">
        <v>2</v>
      </c>
      <c r="C7" s="223" t="s">
        <v>65</v>
      </c>
      <c r="D7" s="223" t="s">
        <v>31</v>
      </c>
      <c r="E7" s="223" t="s">
        <v>3</v>
      </c>
      <c r="F7" s="156"/>
      <c r="G7" s="236" t="s">
        <v>32</v>
      </c>
      <c r="H7" s="253" t="s">
        <v>32</v>
      </c>
    </row>
    <row r="8" spans="1:8" ht="16.5" thickBot="1" x14ac:dyDescent="0.3">
      <c r="A8" s="158" t="s">
        <v>5</v>
      </c>
      <c r="B8" s="159" t="s">
        <v>6</v>
      </c>
      <c r="C8" s="224" t="s">
        <v>45</v>
      </c>
      <c r="D8" s="224" t="s">
        <v>66</v>
      </c>
      <c r="E8" s="224" t="s">
        <v>66</v>
      </c>
      <c r="F8" s="160" t="s">
        <v>8</v>
      </c>
      <c r="G8" s="238" t="s">
        <v>35</v>
      </c>
      <c r="H8" s="254" t="s">
        <v>47</v>
      </c>
    </row>
    <row r="9" spans="1:8" ht="16.5" thickTop="1" x14ac:dyDescent="0.25">
      <c r="A9" s="161"/>
      <c r="B9" s="162"/>
      <c r="C9" s="225"/>
      <c r="D9" s="225"/>
      <c r="E9" s="225"/>
      <c r="F9" s="163"/>
      <c r="G9" s="239"/>
      <c r="H9" s="240"/>
    </row>
    <row r="10" spans="1:8" ht="15.75" x14ac:dyDescent="0.25">
      <c r="A10" s="164" t="s">
        <v>36</v>
      </c>
      <c r="B10" s="165">
        <f>DATE(23,7,1)</f>
        <v>8583</v>
      </c>
      <c r="C10" s="226">
        <v>0</v>
      </c>
      <c r="D10" s="226">
        <v>0</v>
      </c>
      <c r="E10" s="226">
        <v>120141.72</v>
      </c>
      <c r="F10" s="166">
        <v>-1</v>
      </c>
      <c r="G10" s="241">
        <v>0</v>
      </c>
      <c r="H10" s="289">
        <v>0</v>
      </c>
    </row>
    <row r="11" spans="1:8" ht="15.75" x14ac:dyDescent="0.25">
      <c r="A11" s="164"/>
      <c r="B11" s="165">
        <f>DATE(23,8,1)</f>
        <v>8614</v>
      </c>
      <c r="C11" s="226">
        <v>0</v>
      </c>
      <c r="D11" s="226">
        <v>0</v>
      </c>
      <c r="E11" s="226">
        <v>119034.53</v>
      </c>
      <c r="F11" s="166">
        <v>-1</v>
      </c>
      <c r="G11" s="241">
        <v>0</v>
      </c>
      <c r="H11" s="289">
        <v>0</v>
      </c>
    </row>
    <row r="12" spans="1:8" ht="15.75" x14ac:dyDescent="0.25">
      <c r="A12" s="164"/>
      <c r="B12" s="165">
        <f>DATE(23,9,1)</f>
        <v>8645</v>
      </c>
      <c r="C12" s="226">
        <v>0</v>
      </c>
      <c r="D12" s="226">
        <v>0</v>
      </c>
      <c r="E12" s="226">
        <v>77282.02</v>
      </c>
      <c r="F12" s="166">
        <v>-1</v>
      </c>
      <c r="G12" s="241">
        <v>0</v>
      </c>
      <c r="H12" s="289">
        <v>0</v>
      </c>
    </row>
    <row r="13" spans="1:8" ht="15.75" x14ac:dyDescent="0.25">
      <c r="A13" s="164"/>
      <c r="B13" s="165">
        <f>DATE(23,10,1)</f>
        <v>8675</v>
      </c>
      <c r="C13" s="226">
        <v>0</v>
      </c>
      <c r="D13" s="226">
        <v>0</v>
      </c>
      <c r="E13" s="226">
        <v>97377.75</v>
      </c>
      <c r="F13" s="166">
        <v>-1</v>
      </c>
      <c r="G13" s="241">
        <v>0</v>
      </c>
      <c r="H13" s="289">
        <v>0</v>
      </c>
    </row>
    <row r="14" spans="1:8" ht="15.75" x14ac:dyDescent="0.25">
      <c r="A14" s="164"/>
      <c r="B14" s="165">
        <f>DATE(23,11,1)</f>
        <v>8706</v>
      </c>
      <c r="C14" s="226">
        <v>0</v>
      </c>
      <c r="D14" s="226">
        <v>0</v>
      </c>
      <c r="E14" s="226">
        <v>92934.27</v>
      </c>
      <c r="F14" s="166">
        <v>-1</v>
      </c>
      <c r="G14" s="241">
        <v>0</v>
      </c>
      <c r="H14" s="289">
        <v>0</v>
      </c>
    </row>
    <row r="15" spans="1:8" ht="15.75" x14ac:dyDescent="0.25">
      <c r="A15" s="164"/>
      <c r="B15" s="165">
        <f>DATE(23,12,1)</f>
        <v>8736</v>
      </c>
      <c r="C15" s="226">
        <v>0</v>
      </c>
      <c r="D15" s="226">
        <v>0</v>
      </c>
      <c r="E15" s="226">
        <v>0</v>
      </c>
      <c r="F15" s="166">
        <v>0</v>
      </c>
      <c r="G15" s="241">
        <v>0</v>
      </c>
      <c r="H15" s="242">
        <v>0</v>
      </c>
    </row>
    <row r="16" spans="1:8" ht="15.75" x14ac:dyDescent="0.25">
      <c r="A16" s="164"/>
      <c r="B16" s="165">
        <f>DATE(24,1,1)</f>
        <v>8767</v>
      </c>
      <c r="C16" s="226">
        <v>0</v>
      </c>
      <c r="D16" s="226">
        <v>0</v>
      </c>
      <c r="E16" s="226">
        <v>0</v>
      </c>
      <c r="F16" s="166">
        <v>0</v>
      </c>
      <c r="G16" s="241">
        <v>0</v>
      </c>
      <c r="H16" s="242">
        <v>0</v>
      </c>
    </row>
    <row r="17" spans="1:8" ht="15.75" x14ac:dyDescent="0.25">
      <c r="A17" s="164"/>
      <c r="B17" s="165">
        <f>DATE(24,2,1)</f>
        <v>8798</v>
      </c>
      <c r="C17" s="226">
        <v>0</v>
      </c>
      <c r="D17" s="226">
        <v>0</v>
      </c>
      <c r="E17" s="226">
        <v>0</v>
      </c>
      <c r="F17" s="166">
        <v>0</v>
      </c>
      <c r="G17" s="241">
        <v>0</v>
      </c>
      <c r="H17" s="242">
        <v>0</v>
      </c>
    </row>
    <row r="18" spans="1:8" ht="15.75" x14ac:dyDescent="0.25">
      <c r="A18" s="164"/>
      <c r="B18" s="165">
        <f>DATE(24,3,1)</f>
        <v>8827</v>
      </c>
      <c r="C18" s="226">
        <v>0</v>
      </c>
      <c r="D18" s="226">
        <v>0</v>
      </c>
      <c r="E18" s="226">
        <v>0</v>
      </c>
      <c r="F18" s="166">
        <v>0</v>
      </c>
      <c r="G18" s="241">
        <v>0</v>
      </c>
      <c r="H18" s="242">
        <v>0</v>
      </c>
    </row>
    <row r="19" spans="1:8" ht="15.75" thickBot="1" x14ac:dyDescent="0.25">
      <c r="A19" s="167"/>
      <c r="B19" s="168"/>
      <c r="C19" s="226"/>
      <c r="D19" s="226"/>
      <c r="E19" s="226"/>
      <c r="F19" s="166"/>
      <c r="G19" s="241"/>
      <c r="H19" s="242"/>
    </row>
    <row r="20" spans="1:8" ht="17.25" thickTop="1" thickBot="1" x14ac:dyDescent="0.3">
      <c r="A20" s="169" t="s">
        <v>14</v>
      </c>
      <c r="B20" s="155"/>
      <c r="C20" s="223">
        <f>SUM(C10:C19)</f>
        <v>0</v>
      </c>
      <c r="D20" s="223">
        <f>SUM(D10:D19)</f>
        <v>0</v>
      </c>
      <c r="E20" s="223">
        <f>SUM(E10:E19)</f>
        <v>506770.29000000004</v>
      </c>
      <c r="F20" s="176">
        <f>+(D20-E20)/E20</f>
        <v>-1</v>
      </c>
      <c r="G20" s="245">
        <v>0</v>
      </c>
      <c r="H20" s="246">
        <v>0</v>
      </c>
    </row>
    <row r="21" spans="1:8" ht="15.75" thickTop="1" x14ac:dyDescent="0.2">
      <c r="A21" s="171"/>
      <c r="B21" s="172"/>
      <c r="C21" s="227"/>
      <c r="D21" s="227"/>
      <c r="E21" s="227"/>
      <c r="F21" s="173"/>
      <c r="G21" s="243"/>
      <c r="H21" s="244"/>
    </row>
    <row r="22" spans="1:8" ht="15.75" x14ac:dyDescent="0.25">
      <c r="A22" s="19" t="s">
        <v>48</v>
      </c>
      <c r="B22" s="165">
        <f>DATE(23,7,1)</f>
        <v>8583</v>
      </c>
      <c r="C22" s="226">
        <v>0</v>
      </c>
      <c r="D22" s="226">
        <v>0</v>
      </c>
      <c r="E22" s="226">
        <v>0</v>
      </c>
      <c r="F22" s="166">
        <v>0</v>
      </c>
      <c r="G22" s="241">
        <v>0</v>
      </c>
      <c r="H22" s="242">
        <v>0</v>
      </c>
    </row>
    <row r="23" spans="1:8" ht="15.75" x14ac:dyDescent="0.25">
      <c r="A23" s="19"/>
      <c r="B23" s="165">
        <f>DATE(23,8,1)</f>
        <v>8614</v>
      </c>
      <c r="C23" s="226">
        <v>0</v>
      </c>
      <c r="D23" s="226">
        <v>0</v>
      </c>
      <c r="E23" s="226">
        <v>0</v>
      </c>
      <c r="F23" s="166">
        <v>0</v>
      </c>
      <c r="G23" s="241">
        <v>0</v>
      </c>
      <c r="H23" s="242">
        <v>0</v>
      </c>
    </row>
    <row r="24" spans="1:8" ht="15.75" x14ac:dyDescent="0.25">
      <c r="A24" s="19"/>
      <c r="B24" s="165">
        <f>DATE(23,9,1)</f>
        <v>8645</v>
      </c>
      <c r="C24" s="226">
        <v>0</v>
      </c>
      <c r="D24" s="226">
        <v>0</v>
      </c>
      <c r="E24" s="226">
        <v>0</v>
      </c>
      <c r="F24" s="166">
        <v>0</v>
      </c>
      <c r="G24" s="241">
        <v>0</v>
      </c>
      <c r="H24" s="242">
        <v>0</v>
      </c>
    </row>
    <row r="25" spans="1:8" ht="15.75" x14ac:dyDescent="0.25">
      <c r="A25" s="19"/>
      <c r="B25" s="165">
        <f>DATE(23,10,1)</f>
        <v>8675</v>
      </c>
      <c r="C25" s="226">
        <v>0</v>
      </c>
      <c r="D25" s="226">
        <v>0</v>
      </c>
      <c r="E25" s="226">
        <v>0</v>
      </c>
      <c r="F25" s="166">
        <v>0</v>
      </c>
      <c r="G25" s="241">
        <v>0</v>
      </c>
      <c r="H25" s="242">
        <v>0</v>
      </c>
    </row>
    <row r="26" spans="1:8" ht="15.75" x14ac:dyDescent="0.25">
      <c r="A26" s="19"/>
      <c r="B26" s="165">
        <f>DATE(23,11,1)</f>
        <v>8706</v>
      </c>
      <c r="C26" s="226">
        <v>0</v>
      </c>
      <c r="D26" s="226">
        <v>0</v>
      </c>
      <c r="E26" s="226">
        <v>0</v>
      </c>
      <c r="F26" s="166">
        <v>0</v>
      </c>
      <c r="G26" s="241">
        <v>0</v>
      </c>
      <c r="H26" s="242">
        <v>0</v>
      </c>
    </row>
    <row r="27" spans="1:8" ht="15.75" x14ac:dyDescent="0.25">
      <c r="A27" s="19"/>
      <c r="B27" s="165">
        <f>DATE(23,12,1)</f>
        <v>8736</v>
      </c>
      <c r="C27" s="226">
        <v>0</v>
      </c>
      <c r="D27" s="226">
        <v>0</v>
      </c>
      <c r="E27" s="226">
        <v>0</v>
      </c>
      <c r="F27" s="166">
        <v>0</v>
      </c>
      <c r="G27" s="241">
        <v>0</v>
      </c>
      <c r="H27" s="242">
        <v>0</v>
      </c>
    </row>
    <row r="28" spans="1:8" ht="15.75" x14ac:dyDescent="0.25">
      <c r="A28" s="19"/>
      <c r="B28" s="165">
        <f>DATE(24,1,1)</f>
        <v>8767</v>
      </c>
      <c r="C28" s="226">
        <v>0</v>
      </c>
      <c r="D28" s="226">
        <v>0</v>
      </c>
      <c r="E28" s="226">
        <v>0</v>
      </c>
      <c r="F28" s="166">
        <v>0</v>
      </c>
      <c r="G28" s="241">
        <v>0</v>
      </c>
      <c r="H28" s="242">
        <v>0</v>
      </c>
    </row>
    <row r="29" spans="1:8" ht="15.75" x14ac:dyDescent="0.25">
      <c r="A29" s="19"/>
      <c r="B29" s="165">
        <f>DATE(24,2,1)</f>
        <v>8798</v>
      </c>
      <c r="C29" s="226">
        <v>0</v>
      </c>
      <c r="D29" s="226">
        <v>0</v>
      </c>
      <c r="E29" s="226">
        <v>0</v>
      </c>
      <c r="F29" s="166">
        <v>0</v>
      </c>
      <c r="G29" s="241">
        <v>0</v>
      </c>
      <c r="H29" s="242">
        <v>0</v>
      </c>
    </row>
    <row r="30" spans="1:8" ht="15.75" x14ac:dyDescent="0.25">
      <c r="A30" s="19"/>
      <c r="B30" s="165">
        <f>DATE(24,3,1)</f>
        <v>8827</v>
      </c>
      <c r="C30" s="226">
        <v>0</v>
      </c>
      <c r="D30" s="226">
        <v>0</v>
      </c>
      <c r="E30" s="226">
        <v>0</v>
      </c>
      <c r="F30" s="166">
        <v>0</v>
      </c>
      <c r="G30" s="241">
        <v>0</v>
      </c>
      <c r="H30" s="242">
        <v>0</v>
      </c>
    </row>
    <row r="31" spans="1:8" ht="15.75" thickBot="1" x14ac:dyDescent="0.25">
      <c r="A31" s="167"/>
      <c r="B31" s="165"/>
      <c r="C31" s="226"/>
      <c r="D31" s="226"/>
      <c r="E31" s="226"/>
      <c r="F31" s="166"/>
      <c r="G31" s="241"/>
      <c r="H31" s="242"/>
    </row>
    <row r="32" spans="1:8" ht="17.25" thickTop="1" thickBot="1" x14ac:dyDescent="0.3">
      <c r="A32" s="169" t="s">
        <v>14</v>
      </c>
      <c r="B32" s="155"/>
      <c r="C32" s="223">
        <f>SUM(C22:C31)</f>
        <v>0</v>
      </c>
      <c r="D32" s="223">
        <f>SUM(D22:D31)</f>
        <v>0</v>
      </c>
      <c r="E32" s="223">
        <f>SUM(E22:E31)</f>
        <v>0</v>
      </c>
      <c r="F32" s="170">
        <v>0</v>
      </c>
      <c r="G32" s="236">
        <v>0</v>
      </c>
      <c r="H32" s="237">
        <v>0</v>
      </c>
    </row>
    <row r="33" spans="1:8" ht="15.75" thickTop="1" x14ac:dyDescent="0.2">
      <c r="A33" s="171"/>
      <c r="B33" s="172"/>
      <c r="C33" s="227"/>
      <c r="D33" s="227"/>
      <c r="E33" s="227"/>
      <c r="F33" s="173"/>
      <c r="G33" s="243"/>
      <c r="H33" s="244"/>
    </row>
    <row r="34" spans="1:8" ht="15.75" x14ac:dyDescent="0.25">
      <c r="A34" s="19" t="s">
        <v>62</v>
      </c>
      <c r="B34" s="165">
        <f>DATE(23,7,1)</f>
        <v>8583</v>
      </c>
      <c r="C34" s="226">
        <v>0</v>
      </c>
      <c r="D34" s="226">
        <v>0</v>
      </c>
      <c r="E34" s="226">
        <v>0</v>
      </c>
      <c r="F34" s="166">
        <v>0</v>
      </c>
      <c r="G34" s="241">
        <v>0</v>
      </c>
      <c r="H34" s="242">
        <v>0</v>
      </c>
    </row>
    <row r="35" spans="1:8" ht="15.75" x14ac:dyDescent="0.25">
      <c r="A35" s="19"/>
      <c r="B35" s="165">
        <f>DATE(23,8,1)</f>
        <v>8614</v>
      </c>
      <c r="C35" s="226">
        <v>0</v>
      </c>
      <c r="D35" s="226">
        <v>0</v>
      </c>
      <c r="E35" s="226">
        <v>0</v>
      </c>
      <c r="F35" s="166">
        <v>0</v>
      </c>
      <c r="G35" s="241">
        <v>0</v>
      </c>
      <c r="H35" s="242">
        <v>0</v>
      </c>
    </row>
    <row r="36" spans="1:8" ht="15.75" x14ac:dyDescent="0.25">
      <c r="A36" s="19"/>
      <c r="B36" s="165">
        <f>DATE(23,9,1)</f>
        <v>8645</v>
      </c>
      <c r="C36" s="226">
        <v>0</v>
      </c>
      <c r="D36" s="226">
        <v>0</v>
      </c>
      <c r="E36" s="226">
        <v>0</v>
      </c>
      <c r="F36" s="166">
        <v>0</v>
      </c>
      <c r="G36" s="241">
        <v>0</v>
      </c>
      <c r="H36" s="242">
        <v>0</v>
      </c>
    </row>
    <row r="37" spans="1:8" ht="15.75" x14ac:dyDescent="0.25">
      <c r="A37" s="19"/>
      <c r="B37" s="165">
        <f>DATE(23,10,1)</f>
        <v>8675</v>
      </c>
      <c r="C37" s="226">
        <v>0</v>
      </c>
      <c r="D37" s="226">
        <v>0</v>
      </c>
      <c r="E37" s="226">
        <v>0</v>
      </c>
      <c r="F37" s="166">
        <v>0</v>
      </c>
      <c r="G37" s="241">
        <v>0</v>
      </c>
      <c r="H37" s="242">
        <v>0</v>
      </c>
    </row>
    <row r="38" spans="1:8" ht="15.75" x14ac:dyDescent="0.25">
      <c r="A38" s="19"/>
      <c r="B38" s="165">
        <f>DATE(23,11,1)</f>
        <v>8706</v>
      </c>
      <c r="C38" s="226">
        <v>0</v>
      </c>
      <c r="D38" s="226">
        <v>0</v>
      </c>
      <c r="E38" s="226">
        <v>0</v>
      </c>
      <c r="F38" s="166">
        <v>0</v>
      </c>
      <c r="G38" s="241">
        <v>0</v>
      </c>
      <c r="H38" s="242">
        <v>0</v>
      </c>
    </row>
    <row r="39" spans="1:8" ht="15.75" x14ac:dyDescent="0.25">
      <c r="A39" s="19"/>
      <c r="B39" s="165">
        <f>DATE(23,12,1)</f>
        <v>8736</v>
      </c>
      <c r="C39" s="226">
        <v>0</v>
      </c>
      <c r="D39" s="226">
        <v>0</v>
      </c>
      <c r="E39" s="226">
        <v>0</v>
      </c>
      <c r="F39" s="166">
        <v>0</v>
      </c>
      <c r="G39" s="241">
        <v>0</v>
      </c>
      <c r="H39" s="242">
        <v>0</v>
      </c>
    </row>
    <row r="40" spans="1:8" ht="15.75" x14ac:dyDescent="0.25">
      <c r="A40" s="19"/>
      <c r="B40" s="165">
        <f>DATE(24,1,1)</f>
        <v>8767</v>
      </c>
      <c r="C40" s="226">
        <v>0</v>
      </c>
      <c r="D40" s="226">
        <v>0</v>
      </c>
      <c r="E40" s="226">
        <v>0</v>
      </c>
      <c r="F40" s="166">
        <v>0</v>
      </c>
      <c r="G40" s="241">
        <v>0</v>
      </c>
      <c r="H40" s="242">
        <v>0</v>
      </c>
    </row>
    <row r="41" spans="1:8" ht="15.75" x14ac:dyDescent="0.25">
      <c r="A41" s="19"/>
      <c r="B41" s="165">
        <f>DATE(24,2,1)</f>
        <v>8798</v>
      </c>
      <c r="C41" s="226">
        <v>0</v>
      </c>
      <c r="D41" s="226">
        <v>0</v>
      </c>
      <c r="E41" s="226">
        <v>0</v>
      </c>
      <c r="F41" s="166">
        <v>0</v>
      </c>
      <c r="G41" s="241">
        <v>0</v>
      </c>
      <c r="H41" s="242">
        <v>0</v>
      </c>
    </row>
    <row r="42" spans="1:8" ht="15.75" x14ac:dyDescent="0.25">
      <c r="A42" s="19"/>
      <c r="B42" s="165">
        <f>DATE(24,3,1)</f>
        <v>8827</v>
      </c>
      <c r="C42" s="226">
        <v>0</v>
      </c>
      <c r="D42" s="226">
        <v>0</v>
      </c>
      <c r="E42" s="226">
        <v>0</v>
      </c>
      <c r="F42" s="166">
        <v>0</v>
      </c>
      <c r="G42" s="241">
        <v>0</v>
      </c>
      <c r="H42" s="242">
        <v>0</v>
      </c>
    </row>
    <row r="43" spans="1:8" ht="15.75" thickBot="1" x14ac:dyDescent="0.25">
      <c r="A43" s="167"/>
      <c r="B43" s="165"/>
      <c r="C43" s="226"/>
      <c r="D43" s="226"/>
      <c r="E43" s="226"/>
      <c r="F43" s="166"/>
      <c r="G43" s="241"/>
      <c r="H43" s="242"/>
    </row>
    <row r="44" spans="1:8" ht="17.25" thickTop="1" thickBot="1" x14ac:dyDescent="0.3">
      <c r="A44" s="174" t="s">
        <v>14</v>
      </c>
      <c r="B44" s="175"/>
      <c r="C44" s="228">
        <f>SUM(C34:C43)</f>
        <v>0</v>
      </c>
      <c r="D44" s="228">
        <f>SUM(D34:D43)</f>
        <v>0</v>
      </c>
      <c r="E44" s="228">
        <f>SUM(E34:E43)</f>
        <v>0</v>
      </c>
      <c r="F44" s="176">
        <v>0</v>
      </c>
      <c r="G44" s="245">
        <v>0</v>
      </c>
      <c r="H44" s="246">
        <v>0</v>
      </c>
    </row>
    <row r="45" spans="1:8" ht="15.75" thickTop="1" x14ac:dyDescent="0.2">
      <c r="A45" s="167"/>
      <c r="B45" s="168"/>
      <c r="C45" s="226"/>
      <c r="D45" s="226"/>
      <c r="E45" s="226"/>
      <c r="F45" s="166"/>
      <c r="G45" s="241"/>
      <c r="H45" s="242"/>
    </row>
    <row r="46" spans="1:8" ht="15.75" x14ac:dyDescent="0.25">
      <c r="A46" s="296" t="s">
        <v>58</v>
      </c>
      <c r="B46" s="165">
        <f>DATE(23,7,1)</f>
        <v>8583</v>
      </c>
      <c r="C46" s="226">
        <v>0</v>
      </c>
      <c r="D46" s="226">
        <v>0</v>
      </c>
      <c r="E46" s="226">
        <v>133555.04</v>
      </c>
      <c r="F46" s="166">
        <v>-1</v>
      </c>
      <c r="G46" s="241">
        <v>0</v>
      </c>
      <c r="H46" s="289">
        <v>0</v>
      </c>
    </row>
    <row r="47" spans="1:8" ht="15.75" x14ac:dyDescent="0.25">
      <c r="A47" s="177"/>
      <c r="B47" s="165">
        <f>DATE(23,8,1)</f>
        <v>8614</v>
      </c>
      <c r="C47" s="226">
        <v>0</v>
      </c>
      <c r="D47" s="226">
        <v>0</v>
      </c>
      <c r="E47" s="226">
        <v>183477.77</v>
      </c>
      <c r="F47" s="166">
        <v>-1</v>
      </c>
      <c r="G47" s="241">
        <v>0</v>
      </c>
      <c r="H47" s="289">
        <v>0</v>
      </c>
    </row>
    <row r="48" spans="1:8" ht="15.75" x14ac:dyDescent="0.25">
      <c r="A48" s="177"/>
      <c r="B48" s="165">
        <f>DATE(23,9,1)</f>
        <v>8645</v>
      </c>
      <c r="C48" s="226">
        <v>0</v>
      </c>
      <c r="D48" s="226">
        <v>0</v>
      </c>
      <c r="E48" s="226">
        <v>155342.66</v>
      </c>
      <c r="F48" s="166">
        <v>-1</v>
      </c>
      <c r="G48" s="241">
        <v>0</v>
      </c>
      <c r="H48" s="289">
        <v>0</v>
      </c>
    </row>
    <row r="49" spans="1:8" ht="15.75" x14ac:dyDescent="0.25">
      <c r="A49" s="177"/>
      <c r="B49" s="165">
        <f>DATE(23,10,1)</f>
        <v>8675</v>
      </c>
      <c r="C49" s="226">
        <v>0</v>
      </c>
      <c r="D49" s="226">
        <v>0</v>
      </c>
      <c r="E49" s="226">
        <v>95342.11</v>
      </c>
      <c r="F49" s="166">
        <v>-1</v>
      </c>
      <c r="G49" s="241">
        <v>0</v>
      </c>
      <c r="H49" s="289">
        <v>0</v>
      </c>
    </row>
    <row r="50" spans="1:8" ht="15.75" x14ac:dyDescent="0.25">
      <c r="A50" s="177"/>
      <c r="B50" s="165">
        <f>DATE(23,11,1)</f>
        <v>8706</v>
      </c>
      <c r="C50" s="226">
        <v>0</v>
      </c>
      <c r="D50" s="226">
        <v>0</v>
      </c>
      <c r="E50" s="226">
        <v>123201.53</v>
      </c>
      <c r="F50" s="166">
        <v>-1</v>
      </c>
      <c r="G50" s="241">
        <v>0</v>
      </c>
      <c r="H50" s="289">
        <v>0</v>
      </c>
    </row>
    <row r="51" spans="1:8" ht="15.75" x14ac:dyDescent="0.25">
      <c r="A51" s="177"/>
      <c r="B51" s="165">
        <f>DATE(23,12,1)</f>
        <v>8736</v>
      </c>
      <c r="C51" s="226">
        <v>0</v>
      </c>
      <c r="D51" s="226">
        <v>0</v>
      </c>
      <c r="E51" s="226">
        <v>124084.02</v>
      </c>
      <c r="F51" s="166">
        <v>-1</v>
      </c>
      <c r="G51" s="241">
        <v>0</v>
      </c>
      <c r="H51" s="289">
        <v>0</v>
      </c>
    </row>
    <row r="52" spans="1:8" ht="15.75" x14ac:dyDescent="0.25">
      <c r="A52" s="177"/>
      <c r="B52" s="165">
        <f>DATE(24,1,1)</f>
        <v>8767</v>
      </c>
      <c r="C52" s="226">
        <v>0</v>
      </c>
      <c r="D52" s="226">
        <v>0</v>
      </c>
      <c r="E52" s="226">
        <v>43801.09</v>
      </c>
      <c r="F52" s="166">
        <v>-1</v>
      </c>
      <c r="G52" s="241">
        <v>0</v>
      </c>
      <c r="H52" s="289">
        <v>0</v>
      </c>
    </row>
    <row r="53" spans="1:8" ht="15.75" x14ac:dyDescent="0.25">
      <c r="A53" s="177"/>
      <c r="B53" s="292">
        <f>DATE(24,2,1)</f>
        <v>8798</v>
      </c>
      <c r="C53" s="226">
        <v>0</v>
      </c>
      <c r="D53" s="226">
        <v>0</v>
      </c>
      <c r="E53" s="295">
        <v>0</v>
      </c>
      <c r="F53" s="166">
        <v>0</v>
      </c>
      <c r="G53" s="241">
        <v>0</v>
      </c>
      <c r="H53" s="242">
        <v>0</v>
      </c>
    </row>
    <row r="54" spans="1:8" ht="15.75" x14ac:dyDescent="0.25">
      <c r="A54" s="177"/>
      <c r="B54" s="165">
        <f>DATE(24,3,1)</f>
        <v>8827</v>
      </c>
      <c r="C54" s="226">
        <v>0</v>
      </c>
      <c r="D54" s="226">
        <v>0</v>
      </c>
      <c r="E54" s="295">
        <v>0</v>
      </c>
      <c r="F54" s="166">
        <v>0</v>
      </c>
      <c r="G54" s="241">
        <v>0</v>
      </c>
      <c r="H54" s="242">
        <v>0</v>
      </c>
    </row>
    <row r="55" spans="1:8" ht="15.75" thickBot="1" x14ac:dyDescent="0.25">
      <c r="A55" s="167"/>
      <c r="B55" s="168"/>
      <c r="C55" s="226"/>
      <c r="D55" s="226"/>
      <c r="E55" s="226"/>
      <c r="F55" s="166"/>
      <c r="G55" s="241"/>
      <c r="H55" s="242"/>
    </row>
    <row r="56" spans="1:8" ht="17.25" thickTop="1" thickBot="1" x14ac:dyDescent="0.3">
      <c r="A56" s="174" t="s">
        <v>14</v>
      </c>
      <c r="B56" s="178"/>
      <c r="C56" s="228">
        <f>SUM(C46:C55)</f>
        <v>0</v>
      </c>
      <c r="D56" s="228">
        <f>SUM(D46:D55)</f>
        <v>0</v>
      </c>
      <c r="E56" s="228">
        <f>SUM(E46:E55)</f>
        <v>858804.22</v>
      </c>
      <c r="F56" s="176">
        <f>+(D56-E56)/E56</f>
        <v>-1</v>
      </c>
      <c r="G56" s="245">
        <v>0</v>
      </c>
      <c r="H56" s="246">
        <v>0</v>
      </c>
    </row>
    <row r="57" spans="1:8" ht="15.75" thickTop="1" x14ac:dyDescent="0.2">
      <c r="A57" s="167"/>
      <c r="B57" s="168"/>
      <c r="C57" s="226"/>
      <c r="D57" s="226"/>
      <c r="E57" s="226"/>
      <c r="F57" s="166"/>
      <c r="G57" s="241"/>
      <c r="H57" s="242"/>
    </row>
    <row r="58" spans="1:8" ht="15.75" x14ac:dyDescent="0.25">
      <c r="A58" s="164" t="s">
        <v>60</v>
      </c>
      <c r="B58" s="165">
        <f>DATE(23,7,1)</f>
        <v>8583</v>
      </c>
      <c r="C58" s="226">
        <v>0</v>
      </c>
      <c r="D58" s="226">
        <v>0</v>
      </c>
      <c r="E58" s="226">
        <v>0</v>
      </c>
      <c r="F58" s="166">
        <v>0</v>
      </c>
      <c r="G58" s="241">
        <v>0</v>
      </c>
      <c r="H58" s="242">
        <v>0</v>
      </c>
    </row>
    <row r="59" spans="1:8" ht="15.75" x14ac:dyDescent="0.25">
      <c r="A59" s="164"/>
      <c r="B59" s="165">
        <f>DATE(23,8,1)</f>
        <v>8614</v>
      </c>
      <c r="C59" s="226">
        <v>0</v>
      </c>
      <c r="D59" s="226">
        <v>0</v>
      </c>
      <c r="E59" s="226">
        <v>0</v>
      </c>
      <c r="F59" s="166">
        <v>0</v>
      </c>
      <c r="G59" s="241">
        <v>0</v>
      </c>
      <c r="H59" s="242">
        <v>0</v>
      </c>
    </row>
    <row r="60" spans="1:8" ht="15.75" x14ac:dyDescent="0.25">
      <c r="A60" s="164"/>
      <c r="B60" s="165">
        <f>DATE(23,9,1)</f>
        <v>8645</v>
      </c>
      <c r="C60" s="226">
        <v>0</v>
      </c>
      <c r="D60" s="226">
        <v>0</v>
      </c>
      <c r="E60" s="226">
        <v>0</v>
      </c>
      <c r="F60" s="166">
        <v>0</v>
      </c>
      <c r="G60" s="241">
        <v>0</v>
      </c>
      <c r="H60" s="242">
        <v>0</v>
      </c>
    </row>
    <row r="61" spans="1:8" ht="15.75" x14ac:dyDescent="0.25">
      <c r="A61" s="164"/>
      <c r="B61" s="165">
        <f>DATE(23,10,1)</f>
        <v>8675</v>
      </c>
      <c r="C61" s="226">
        <v>0</v>
      </c>
      <c r="D61" s="226">
        <v>0</v>
      </c>
      <c r="E61" s="226">
        <v>0</v>
      </c>
      <c r="F61" s="166">
        <v>0</v>
      </c>
      <c r="G61" s="241">
        <v>0</v>
      </c>
      <c r="H61" s="242">
        <v>0</v>
      </c>
    </row>
    <row r="62" spans="1:8" ht="15.75" x14ac:dyDescent="0.25">
      <c r="A62" s="164"/>
      <c r="B62" s="165">
        <f>DATE(23,11,1)</f>
        <v>8706</v>
      </c>
      <c r="C62" s="226">
        <v>0</v>
      </c>
      <c r="D62" s="226">
        <v>0</v>
      </c>
      <c r="E62" s="226">
        <v>0</v>
      </c>
      <c r="F62" s="166">
        <v>0</v>
      </c>
      <c r="G62" s="241">
        <v>0</v>
      </c>
      <c r="H62" s="242">
        <v>0</v>
      </c>
    </row>
    <row r="63" spans="1:8" ht="15.75" x14ac:dyDescent="0.25">
      <c r="A63" s="164"/>
      <c r="B63" s="165">
        <f>DATE(23,12,1)</f>
        <v>8736</v>
      </c>
      <c r="C63" s="226">
        <v>0</v>
      </c>
      <c r="D63" s="226">
        <v>0</v>
      </c>
      <c r="E63" s="226">
        <v>0</v>
      </c>
      <c r="F63" s="166">
        <v>0</v>
      </c>
      <c r="G63" s="241">
        <v>0</v>
      </c>
      <c r="H63" s="242">
        <v>0</v>
      </c>
    </row>
    <row r="64" spans="1:8" ht="15.75" x14ac:dyDescent="0.25">
      <c r="A64" s="164"/>
      <c r="B64" s="165">
        <f>DATE(24,1,1)</f>
        <v>8767</v>
      </c>
      <c r="C64" s="226">
        <v>0</v>
      </c>
      <c r="D64" s="226">
        <v>0</v>
      </c>
      <c r="E64" s="226">
        <v>0</v>
      </c>
      <c r="F64" s="166">
        <v>0</v>
      </c>
      <c r="G64" s="241">
        <v>0</v>
      </c>
      <c r="H64" s="242">
        <v>0</v>
      </c>
    </row>
    <row r="65" spans="1:8" ht="15.75" x14ac:dyDescent="0.25">
      <c r="A65" s="164"/>
      <c r="B65" s="165">
        <f>DATE(24,2,1)</f>
        <v>8798</v>
      </c>
      <c r="C65" s="226">
        <v>0</v>
      </c>
      <c r="D65" s="226">
        <v>0</v>
      </c>
      <c r="E65" s="226">
        <v>0</v>
      </c>
      <c r="F65" s="166">
        <v>0</v>
      </c>
      <c r="G65" s="241">
        <v>0</v>
      </c>
      <c r="H65" s="242">
        <v>0</v>
      </c>
    </row>
    <row r="66" spans="1:8" ht="15.75" x14ac:dyDescent="0.25">
      <c r="A66" s="164"/>
      <c r="B66" s="165">
        <f>DATE(24,3,1)</f>
        <v>8827</v>
      </c>
      <c r="C66" s="226">
        <v>0</v>
      </c>
      <c r="D66" s="226">
        <v>0</v>
      </c>
      <c r="E66" s="226">
        <v>0</v>
      </c>
      <c r="F66" s="166">
        <v>0</v>
      </c>
      <c r="G66" s="241">
        <v>0</v>
      </c>
      <c r="H66" s="242">
        <v>0</v>
      </c>
    </row>
    <row r="67" spans="1:8" ht="15.75" thickBot="1" x14ac:dyDescent="0.25">
      <c r="A67" s="167"/>
      <c r="B67" s="165"/>
      <c r="C67" s="226"/>
      <c r="D67" s="226"/>
      <c r="E67" s="226"/>
      <c r="F67" s="166"/>
      <c r="G67" s="241"/>
      <c r="H67" s="242"/>
    </row>
    <row r="68" spans="1:8" ht="17.25" thickTop="1" thickBot="1" x14ac:dyDescent="0.3">
      <c r="A68" s="174" t="s">
        <v>14</v>
      </c>
      <c r="B68" s="175"/>
      <c r="C68" s="228">
        <f>SUM(C58:C67)</f>
        <v>0</v>
      </c>
      <c r="D68" s="230">
        <f>SUM(D58:D67)</f>
        <v>0</v>
      </c>
      <c r="E68" s="271">
        <f>SUM(E58:E67)</f>
        <v>0</v>
      </c>
      <c r="F68" s="176">
        <v>0</v>
      </c>
      <c r="G68" s="245">
        <v>0</v>
      </c>
      <c r="H68" s="246">
        <v>0</v>
      </c>
    </row>
    <row r="69" spans="1:8" ht="15.75" thickTop="1" x14ac:dyDescent="0.2">
      <c r="A69" s="167"/>
      <c r="B69" s="168"/>
      <c r="C69" s="226"/>
      <c r="D69" s="226"/>
      <c r="E69" s="226"/>
      <c r="F69" s="166"/>
      <c r="G69" s="241"/>
      <c r="H69" s="242"/>
    </row>
    <row r="70" spans="1:8" ht="15.75" x14ac:dyDescent="0.25">
      <c r="A70" s="164" t="s">
        <v>64</v>
      </c>
      <c r="B70" s="165">
        <f>DATE(23,7,1)</f>
        <v>8583</v>
      </c>
      <c r="C70" s="226">
        <v>0</v>
      </c>
      <c r="D70" s="226">
        <v>0</v>
      </c>
      <c r="E70" s="226">
        <v>0</v>
      </c>
      <c r="F70" s="166">
        <v>0</v>
      </c>
      <c r="G70" s="241">
        <v>0</v>
      </c>
      <c r="H70" s="242">
        <v>0</v>
      </c>
    </row>
    <row r="71" spans="1:8" ht="15.75" x14ac:dyDescent="0.25">
      <c r="A71" s="164"/>
      <c r="B71" s="165">
        <f>DATE(23,8,1)</f>
        <v>8614</v>
      </c>
      <c r="C71" s="226">
        <v>0</v>
      </c>
      <c r="D71" s="226">
        <v>0</v>
      </c>
      <c r="E71" s="226">
        <v>0</v>
      </c>
      <c r="F71" s="166">
        <v>0</v>
      </c>
      <c r="G71" s="241">
        <v>0</v>
      </c>
      <c r="H71" s="242">
        <v>0</v>
      </c>
    </row>
    <row r="72" spans="1:8" ht="15.75" x14ac:dyDescent="0.25">
      <c r="A72" s="164"/>
      <c r="B72" s="165">
        <f>DATE(23,9,1)</f>
        <v>8645</v>
      </c>
      <c r="C72" s="226">
        <v>0</v>
      </c>
      <c r="D72" s="226">
        <v>0</v>
      </c>
      <c r="E72" s="226">
        <v>0</v>
      </c>
      <c r="F72" s="166">
        <v>0</v>
      </c>
      <c r="G72" s="241">
        <v>0</v>
      </c>
      <c r="H72" s="242">
        <v>0</v>
      </c>
    </row>
    <row r="73" spans="1:8" ht="15.75" x14ac:dyDescent="0.25">
      <c r="A73" s="164"/>
      <c r="B73" s="165">
        <f>DATE(23,10,1)</f>
        <v>8675</v>
      </c>
      <c r="C73" s="226">
        <v>0</v>
      </c>
      <c r="D73" s="226">
        <v>0</v>
      </c>
      <c r="E73" s="226">
        <v>0</v>
      </c>
      <c r="F73" s="166">
        <v>0</v>
      </c>
      <c r="G73" s="241">
        <v>0</v>
      </c>
      <c r="H73" s="242">
        <v>0</v>
      </c>
    </row>
    <row r="74" spans="1:8" ht="15.75" x14ac:dyDescent="0.25">
      <c r="A74" s="164"/>
      <c r="B74" s="165">
        <f>DATE(23,11,1)</f>
        <v>8706</v>
      </c>
      <c r="C74" s="226">
        <v>0</v>
      </c>
      <c r="D74" s="226">
        <v>0</v>
      </c>
      <c r="E74" s="226">
        <v>0</v>
      </c>
      <c r="F74" s="166">
        <v>0</v>
      </c>
      <c r="G74" s="241">
        <v>0</v>
      </c>
      <c r="H74" s="242">
        <v>0</v>
      </c>
    </row>
    <row r="75" spans="1:8" ht="15.75" x14ac:dyDescent="0.25">
      <c r="A75" s="164"/>
      <c r="B75" s="165">
        <f>DATE(23,12,1)</f>
        <v>8736</v>
      </c>
      <c r="C75" s="226">
        <v>0</v>
      </c>
      <c r="D75" s="226">
        <v>0</v>
      </c>
      <c r="E75" s="226">
        <v>0</v>
      </c>
      <c r="F75" s="166">
        <v>0</v>
      </c>
      <c r="G75" s="241">
        <v>0</v>
      </c>
      <c r="H75" s="242">
        <v>0</v>
      </c>
    </row>
    <row r="76" spans="1:8" ht="15.75" x14ac:dyDescent="0.25">
      <c r="A76" s="164"/>
      <c r="B76" s="165">
        <f>DATE(24,1,1)</f>
        <v>8767</v>
      </c>
      <c r="C76" s="226">
        <v>0</v>
      </c>
      <c r="D76" s="226">
        <v>0</v>
      </c>
      <c r="E76" s="226">
        <v>0</v>
      </c>
      <c r="F76" s="166">
        <v>0</v>
      </c>
      <c r="G76" s="241">
        <v>0</v>
      </c>
      <c r="H76" s="242">
        <v>0</v>
      </c>
    </row>
    <row r="77" spans="1:8" ht="15.75" x14ac:dyDescent="0.25">
      <c r="A77" s="164"/>
      <c r="B77" s="165">
        <f>DATE(24,2,1)</f>
        <v>8798</v>
      </c>
      <c r="C77" s="226">
        <v>0</v>
      </c>
      <c r="D77" s="226">
        <v>0</v>
      </c>
      <c r="E77" s="226">
        <v>0</v>
      </c>
      <c r="F77" s="166">
        <v>0</v>
      </c>
      <c r="G77" s="241">
        <v>0</v>
      </c>
      <c r="H77" s="242">
        <v>0</v>
      </c>
    </row>
    <row r="78" spans="1:8" ht="15.75" x14ac:dyDescent="0.25">
      <c r="A78" s="164"/>
      <c r="B78" s="165">
        <f>DATE(24,3,1)</f>
        <v>8827</v>
      </c>
      <c r="C78" s="226">
        <v>0</v>
      </c>
      <c r="D78" s="226">
        <v>0</v>
      </c>
      <c r="E78" s="226">
        <v>0</v>
      </c>
      <c r="F78" s="166">
        <v>0</v>
      </c>
      <c r="G78" s="241">
        <v>0</v>
      </c>
      <c r="H78" s="242">
        <v>0</v>
      </c>
    </row>
    <row r="79" spans="1:8" ht="15.75" thickBot="1" x14ac:dyDescent="0.25">
      <c r="A79" s="167"/>
      <c r="B79" s="165"/>
      <c r="C79" s="226"/>
      <c r="D79" s="226"/>
      <c r="E79" s="226"/>
      <c r="F79" s="166"/>
      <c r="G79" s="241"/>
      <c r="H79" s="242"/>
    </row>
    <row r="80" spans="1:8" ht="17.25" thickTop="1" thickBot="1" x14ac:dyDescent="0.3">
      <c r="A80" s="174" t="s">
        <v>14</v>
      </c>
      <c r="B80" s="175"/>
      <c r="C80" s="228">
        <f>SUM(C70:C79)</f>
        <v>0</v>
      </c>
      <c r="D80" s="230">
        <f>SUM(D70:D79)</f>
        <v>0</v>
      </c>
      <c r="E80" s="271">
        <f>SUM(E70:E79)</f>
        <v>0</v>
      </c>
      <c r="F80" s="176">
        <v>0</v>
      </c>
      <c r="G80" s="245">
        <v>0</v>
      </c>
      <c r="H80" s="246">
        <v>0</v>
      </c>
    </row>
    <row r="81" spans="1:8" ht="15.75" thickTop="1" x14ac:dyDescent="0.2">
      <c r="A81" s="167"/>
      <c r="B81" s="168"/>
      <c r="C81" s="226"/>
      <c r="D81" s="226"/>
      <c r="E81" s="226"/>
      <c r="F81" s="166"/>
      <c r="G81" s="241"/>
      <c r="H81" s="242"/>
    </row>
    <row r="82" spans="1:8" ht="15.75" x14ac:dyDescent="0.25">
      <c r="A82" s="164" t="s">
        <v>67</v>
      </c>
      <c r="B82" s="165">
        <f>DATE(23,7,1)</f>
        <v>8583</v>
      </c>
      <c r="C82" s="226">
        <v>0</v>
      </c>
      <c r="D82" s="226">
        <v>0</v>
      </c>
      <c r="E82" s="226">
        <v>0</v>
      </c>
      <c r="F82" s="166">
        <v>0</v>
      </c>
      <c r="G82" s="241">
        <v>0</v>
      </c>
      <c r="H82" s="242">
        <v>0</v>
      </c>
    </row>
    <row r="83" spans="1:8" ht="15.75" x14ac:dyDescent="0.25">
      <c r="A83" s="164"/>
      <c r="B83" s="165">
        <f>DATE(23,8,1)</f>
        <v>8614</v>
      </c>
      <c r="C83" s="226">
        <v>0</v>
      </c>
      <c r="D83" s="226">
        <v>0</v>
      </c>
      <c r="E83" s="226">
        <v>0</v>
      </c>
      <c r="F83" s="166">
        <v>0</v>
      </c>
      <c r="G83" s="241">
        <v>0</v>
      </c>
      <c r="H83" s="242">
        <v>0</v>
      </c>
    </row>
    <row r="84" spans="1:8" ht="15.75" x14ac:dyDescent="0.25">
      <c r="A84" s="164"/>
      <c r="B84" s="165">
        <f>DATE(23,9,1)</f>
        <v>8645</v>
      </c>
      <c r="C84" s="226">
        <v>0</v>
      </c>
      <c r="D84" s="226">
        <v>0</v>
      </c>
      <c r="E84" s="226">
        <v>0</v>
      </c>
      <c r="F84" s="166">
        <v>0</v>
      </c>
      <c r="G84" s="241">
        <v>0</v>
      </c>
      <c r="H84" s="242">
        <v>0</v>
      </c>
    </row>
    <row r="85" spans="1:8" ht="15.75" x14ac:dyDescent="0.25">
      <c r="A85" s="164"/>
      <c r="B85" s="165">
        <f>DATE(23,10,1)</f>
        <v>8675</v>
      </c>
      <c r="C85" s="226">
        <v>0</v>
      </c>
      <c r="D85" s="226">
        <v>0</v>
      </c>
      <c r="E85" s="226">
        <v>0</v>
      </c>
      <c r="F85" s="166">
        <v>0</v>
      </c>
      <c r="G85" s="241">
        <v>0</v>
      </c>
      <c r="H85" s="242">
        <v>0</v>
      </c>
    </row>
    <row r="86" spans="1:8" ht="15.75" x14ac:dyDescent="0.25">
      <c r="A86" s="164"/>
      <c r="B86" s="165">
        <f>DATE(23,11,1)</f>
        <v>8706</v>
      </c>
      <c r="C86" s="226">
        <v>0</v>
      </c>
      <c r="D86" s="226">
        <v>0</v>
      </c>
      <c r="E86" s="226">
        <v>0</v>
      </c>
      <c r="F86" s="166">
        <v>0</v>
      </c>
      <c r="G86" s="241">
        <v>0</v>
      </c>
      <c r="H86" s="242">
        <v>0</v>
      </c>
    </row>
    <row r="87" spans="1:8" ht="15.75" x14ac:dyDescent="0.25">
      <c r="A87" s="164"/>
      <c r="B87" s="165">
        <f>DATE(23,12,1)</f>
        <v>8736</v>
      </c>
      <c r="C87" s="226">
        <v>0</v>
      </c>
      <c r="D87" s="226">
        <v>0</v>
      </c>
      <c r="E87" s="226">
        <v>0</v>
      </c>
      <c r="F87" s="166">
        <v>0</v>
      </c>
      <c r="G87" s="241">
        <v>0</v>
      </c>
      <c r="H87" s="242">
        <v>0</v>
      </c>
    </row>
    <row r="88" spans="1:8" ht="15.75" x14ac:dyDescent="0.25">
      <c r="A88" s="164"/>
      <c r="B88" s="165">
        <f>DATE(24,1,1)</f>
        <v>8767</v>
      </c>
      <c r="C88" s="226">
        <v>0</v>
      </c>
      <c r="D88" s="226">
        <v>0</v>
      </c>
      <c r="E88" s="226">
        <v>0</v>
      </c>
      <c r="F88" s="166">
        <v>0</v>
      </c>
      <c r="G88" s="241">
        <v>0</v>
      </c>
      <c r="H88" s="242">
        <v>0</v>
      </c>
    </row>
    <row r="89" spans="1:8" ht="15.75" x14ac:dyDescent="0.25">
      <c r="A89" s="164"/>
      <c r="B89" s="165">
        <f>DATE(24,2,1)</f>
        <v>8798</v>
      </c>
      <c r="C89" s="226">
        <v>0</v>
      </c>
      <c r="D89" s="226">
        <v>0</v>
      </c>
      <c r="E89" s="226">
        <v>0</v>
      </c>
      <c r="F89" s="166">
        <v>0</v>
      </c>
      <c r="G89" s="241">
        <v>0</v>
      </c>
      <c r="H89" s="242">
        <v>0</v>
      </c>
    </row>
    <row r="90" spans="1:8" ht="15.75" x14ac:dyDescent="0.25">
      <c r="A90" s="164"/>
      <c r="B90" s="165">
        <f>DATE(24,3,1)</f>
        <v>8827</v>
      </c>
      <c r="C90" s="226">
        <v>0</v>
      </c>
      <c r="D90" s="226">
        <v>0</v>
      </c>
      <c r="E90" s="226">
        <v>0</v>
      </c>
      <c r="F90" s="166">
        <v>0</v>
      </c>
      <c r="G90" s="241">
        <v>0</v>
      </c>
      <c r="H90" s="242">
        <v>0</v>
      </c>
    </row>
    <row r="91" spans="1:8" ht="15.75" thickBot="1" x14ac:dyDescent="0.25">
      <c r="A91" s="167"/>
      <c r="B91" s="165"/>
      <c r="C91" s="226"/>
      <c r="D91" s="226"/>
      <c r="E91" s="226"/>
      <c r="F91" s="166"/>
      <c r="G91" s="241"/>
      <c r="H91" s="242"/>
    </row>
    <row r="92" spans="1:8" ht="17.25" thickTop="1" thickBot="1" x14ac:dyDescent="0.3">
      <c r="A92" s="174" t="s">
        <v>14</v>
      </c>
      <c r="B92" s="175"/>
      <c r="C92" s="228">
        <f>SUM(C82:C91)</f>
        <v>0</v>
      </c>
      <c r="D92" s="230">
        <f>SUM(D82:D91)</f>
        <v>0</v>
      </c>
      <c r="E92" s="271">
        <f>SUM(E82:E91)</f>
        <v>0</v>
      </c>
      <c r="F92" s="176">
        <v>0</v>
      </c>
      <c r="G92" s="245">
        <v>0</v>
      </c>
      <c r="H92" s="246">
        <v>0</v>
      </c>
    </row>
    <row r="93" spans="1:8" ht="15.75" thickTop="1" x14ac:dyDescent="0.2">
      <c r="A93" s="167"/>
      <c r="B93" s="168"/>
      <c r="C93" s="226"/>
      <c r="D93" s="226"/>
      <c r="E93" s="226"/>
      <c r="F93" s="166"/>
      <c r="G93" s="241"/>
      <c r="H93" s="242"/>
    </row>
    <row r="94" spans="1:8" ht="15.75" x14ac:dyDescent="0.25">
      <c r="A94" s="164" t="s">
        <v>69</v>
      </c>
      <c r="B94" s="165">
        <f>DATE(23,7,1)</f>
        <v>8583</v>
      </c>
      <c r="C94" s="226">
        <v>0</v>
      </c>
      <c r="D94" s="226">
        <v>0</v>
      </c>
      <c r="E94" s="226">
        <v>0</v>
      </c>
      <c r="F94" s="166">
        <v>0</v>
      </c>
      <c r="G94" s="241">
        <v>0</v>
      </c>
      <c r="H94" s="242">
        <v>0</v>
      </c>
    </row>
    <row r="95" spans="1:8" ht="15.75" x14ac:dyDescent="0.25">
      <c r="A95" s="164"/>
      <c r="B95" s="165">
        <f>DATE(23,8,1)</f>
        <v>8614</v>
      </c>
      <c r="C95" s="226">
        <v>0</v>
      </c>
      <c r="D95" s="226">
        <v>0</v>
      </c>
      <c r="E95" s="226">
        <v>0</v>
      </c>
      <c r="F95" s="166">
        <v>0</v>
      </c>
      <c r="G95" s="241">
        <v>0</v>
      </c>
      <c r="H95" s="242">
        <v>0</v>
      </c>
    </row>
    <row r="96" spans="1:8" ht="15.75" x14ac:dyDescent="0.25">
      <c r="A96" s="164"/>
      <c r="B96" s="165">
        <f>DATE(23,9,1)</f>
        <v>8645</v>
      </c>
      <c r="C96" s="226">
        <v>0</v>
      </c>
      <c r="D96" s="226">
        <v>0</v>
      </c>
      <c r="E96" s="226">
        <v>0</v>
      </c>
      <c r="F96" s="166">
        <v>0</v>
      </c>
      <c r="G96" s="241">
        <v>0</v>
      </c>
      <c r="H96" s="242">
        <v>0</v>
      </c>
    </row>
    <row r="97" spans="1:8" ht="15.75" x14ac:dyDescent="0.25">
      <c r="A97" s="164"/>
      <c r="B97" s="165">
        <f>DATE(23,10,1)</f>
        <v>8675</v>
      </c>
      <c r="C97" s="226">
        <v>0</v>
      </c>
      <c r="D97" s="226">
        <v>0</v>
      </c>
      <c r="E97" s="226">
        <v>0</v>
      </c>
      <c r="F97" s="166">
        <v>0</v>
      </c>
      <c r="G97" s="241">
        <v>0</v>
      </c>
      <c r="H97" s="242">
        <v>0</v>
      </c>
    </row>
    <row r="98" spans="1:8" ht="15.75" x14ac:dyDescent="0.25">
      <c r="A98" s="164"/>
      <c r="B98" s="165">
        <f>DATE(23,11,1)</f>
        <v>8706</v>
      </c>
      <c r="C98" s="226">
        <v>0</v>
      </c>
      <c r="D98" s="226">
        <v>0</v>
      </c>
      <c r="E98" s="226">
        <v>0</v>
      </c>
      <c r="F98" s="166">
        <v>0</v>
      </c>
      <c r="G98" s="241">
        <v>0</v>
      </c>
      <c r="H98" s="242">
        <v>0</v>
      </c>
    </row>
    <row r="99" spans="1:8" ht="15.75" x14ac:dyDescent="0.25">
      <c r="A99" s="164"/>
      <c r="B99" s="165">
        <f>DATE(23,12,1)</f>
        <v>8736</v>
      </c>
      <c r="C99" s="226">
        <v>0</v>
      </c>
      <c r="D99" s="226">
        <v>0</v>
      </c>
      <c r="E99" s="226">
        <v>0</v>
      </c>
      <c r="F99" s="166">
        <v>0</v>
      </c>
      <c r="G99" s="241">
        <v>0</v>
      </c>
      <c r="H99" s="242">
        <v>0</v>
      </c>
    </row>
    <row r="100" spans="1:8" ht="15.75" x14ac:dyDescent="0.25">
      <c r="A100" s="164"/>
      <c r="B100" s="165">
        <f>DATE(24,1,1)</f>
        <v>8767</v>
      </c>
      <c r="C100" s="226">
        <v>0</v>
      </c>
      <c r="D100" s="226">
        <v>0</v>
      </c>
      <c r="E100" s="226">
        <v>0</v>
      </c>
      <c r="F100" s="166">
        <v>0</v>
      </c>
      <c r="G100" s="241">
        <v>0</v>
      </c>
      <c r="H100" s="242">
        <v>0</v>
      </c>
    </row>
    <row r="101" spans="1:8" ht="15.75" x14ac:dyDescent="0.25">
      <c r="A101" s="164"/>
      <c r="B101" s="165">
        <f>DATE(24,2,1)</f>
        <v>8798</v>
      </c>
      <c r="C101" s="226">
        <v>0</v>
      </c>
      <c r="D101" s="226">
        <v>0</v>
      </c>
      <c r="E101" s="226">
        <v>0</v>
      </c>
      <c r="F101" s="166">
        <v>0</v>
      </c>
      <c r="G101" s="241">
        <v>0</v>
      </c>
      <c r="H101" s="242">
        <v>0</v>
      </c>
    </row>
    <row r="102" spans="1:8" ht="15.75" x14ac:dyDescent="0.25">
      <c r="A102" s="164"/>
      <c r="B102" s="165">
        <f>DATE(24,3,1)</f>
        <v>8827</v>
      </c>
      <c r="C102" s="226">
        <v>0</v>
      </c>
      <c r="D102" s="226">
        <v>0</v>
      </c>
      <c r="E102" s="226">
        <v>0</v>
      </c>
      <c r="F102" s="166">
        <v>0</v>
      </c>
      <c r="G102" s="241">
        <v>0</v>
      </c>
      <c r="H102" s="242">
        <v>0</v>
      </c>
    </row>
    <row r="103" spans="1:8" ht="15.75" thickBot="1" x14ac:dyDescent="0.25">
      <c r="A103" s="167"/>
      <c r="B103" s="165"/>
      <c r="C103" s="226"/>
      <c r="D103" s="226"/>
      <c r="E103" s="226"/>
      <c r="F103" s="166"/>
      <c r="G103" s="241"/>
      <c r="H103" s="242"/>
    </row>
    <row r="104" spans="1:8" ht="17.25" thickTop="1" thickBot="1" x14ac:dyDescent="0.3">
      <c r="A104" s="174" t="s">
        <v>14</v>
      </c>
      <c r="B104" s="175"/>
      <c r="C104" s="228">
        <f>SUM(C94:C103)</f>
        <v>0</v>
      </c>
      <c r="D104" s="230">
        <f>SUM(D94:D103)</f>
        <v>0</v>
      </c>
      <c r="E104" s="271">
        <f>SUM(E94:E103)</f>
        <v>0</v>
      </c>
      <c r="F104" s="176">
        <v>0</v>
      </c>
      <c r="G104" s="249">
        <v>0</v>
      </c>
      <c r="H104" s="270">
        <v>0</v>
      </c>
    </row>
    <row r="105" spans="1:8" ht="15.75" thickTop="1" x14ac:dyDescent="0.2">
      <c r="A105" s="167"/>
      <c r="B105" s="179"/>
      <c r="C105" s="229"/>
      <c r="D105" s="229"/>
      <c r="E105" s="229"/>
      <c r="F105" s="180"/>
      <c r="G105" s="247"/>
      <c r="H105" s="248"/>
    </row>
    <row r="106" spans="1:8" ht="15.75" x14ac:dyDescent="0.25">
      <c r="A106" s="164" t="s">
        <v>16</v>
      </c>
      <c r="B106" s="165">
        <f>DATE(23,7,1)</f>
        <v>8583</v>
      </c>
      <c r="C106" s="226">
        <v>0</v>
      </c>
      <c r="D106" s="226">
        <v>0</v>
      </c>
      <c r="E106" s="226">
        <v>0</v>
      </c>
      <c r="F106" s="166">
        <v>0</v>
      </c>
      <c r="G106" s="241">
        <v>0</v>
      </c>
      <c r="H106" s="242">
        <v>0</v>
      </c>
    </row>
    <row r="107" spans="1:8" ht="15.75" x14ac:dyDescent="0.25">
      <c r="A107" s="164"/>
      <c r="B107" s="165">
        <f>DATE(23,8,1)</f>
        <v>8614</v>
      </c>
      <c r="C107" s="226">
        <v>0</v>
      </c>
      <c r="D107" s="226">
        <v>0</v>
      </c>
      <c r="E107" s="226">
        <v>0</v>
      </c>
      <c r="F107" s="166">
        <v>0</v>
      </c>
      <c r="G107" s="241">
        <v>0</v>
      </c>
      <c r="H107" s="242">
        <v>0</v>
      </c>
    </row>
    <row r="108" spans="1:8" ht="15.75" x14ac:dyDescent="0.25">
      <c r="A108" s="164"/>
      <c r="B108" s="165">
        <f>DATE(23,9,1)</f>
        <v>8645</v>
      </c>
      <c r="C108" s="226">
        <v>0</v>
      </c>
      <c r="D108" s="226">
        <v>0</v>
      </c>
      <c r="E108" s="226">
        <v>0</v>
      </c>
      <c r="F108" s="166">
        <v>0</v>
      </c>
      <c r="G108" s="241">
        <v>0</v>
      </c>
      <c r="H108" s="242">
        <v>0</v>
      </c>
    </row>
    <row r="109" spans="1:8" ht="15.75" x14ac:dyDescent="0.25">
      <c r="A109" s="164"/>
      <c r="B109" s="165">
        <f>DATE(23,10,1)</f>
        <v>8675</v>
      </c>
      <c r="C109" s="226">
        <v>0</v>
      </c>
      <c r="D109" s="226">
        <v>0</v>
      </c>
      <c r="E109" s="226">
        <v>0</v>
      </c>
      <c r="F109" s="166">
        <v>0</v>
      </c>
      <c r="G109" s="241">
        <v>0</v>
      </c>
      <c r="H109" s="242">
        <v>0</v>
      </c>
    </row>
    <row r="110" spans="1:8" ht="15.75" x14ac:dyDescent="0.25">
      <c r="A110" s="164"/>
      <c r="B110" s="165">
        <f>DATE(23,11,1)</f>
        <v>8706</v>
      </c>
      <c r="C110" s="226">
        <v>0</v>
      </c>
      <c r="D110" s="226">
        <v>0</v>
      </c>
      <c r="E110" s="226">
        <v>0</v>
      </c>
      <c r="F110" s="166">
        <v>0</v>
      </c>
      <c r="G110" s="241">
        <v>0</v>
      </c>
      <c r="H110" s="242">
        <v>0</v>
      </c>
    </row>
    <row r="111" spans="1:8" ht="15.75" x14ac:dyDescent="0.25">
      <c r="A111" s="164"/>
      <c r="B111" s="165">
        <f>DATE(23,12,1)</f>
        <v>8736</v>
      </c>
      <c r="C111" s="226">
        <v>0</v>
      </c>
      <c r="D111" s="226">
        <v>0</v>
      </c>
      <c r="E111" s="226">
        <v>0</v>
      </c>
      <c r="F111" s="166">
        <v>0</v>
      </c>
      <c r="G111" s="241">
        <v>0</v>
      </c>
      <c r="H111" s="242">
        <v>0</v>
      </c>
    </row>
    <row r="112" spans="1:8" ht="15.75" x14ac:dyDescent="0.25">
      <c r="A112" s="164"/>
      <c r="B112" s="165">
        <f>DATE(24,1,1)</f>
        <v>8767</v>
      </c>
      <c r="C112" s="226">
        <v>0</v>
      </c>
      <c r="D112" s="226">
        <v>0</v>
      </c>
      <c r="E112" s="226">
        <v>0</v>
      </c>
      <c r="F112" s="166">
        <v>0</v>
      </c>
      <c r="G112" s="241">
        <v>0</v>
      </c>
      <c r="H112" s="242">
        <v>0</v>
      </c>
    </row>
    <row r="113" spans="1:8" ht="15.75" x14ac:dyDescent="0.25">
      <c r="A113" s="164"/>
      <c r="B113" s="165">
        <f>DATE(24,2,1)</f>
        <v>8798</v>
      </c>
      <c r="C113" s="226">
        <v>0</v>
      </c>
      <c r="D113" s="226">
        <v>0</v>
      </c>
      <c r="E113" s="226">
        <v>0</v>
      </c>
      <c r="F113" s="166">
        <v>0</v>
      </c>
      <c r="G113" s="241">
        <v>0</v>
      </c>
      <c r="H113" s="242">
        <v>0</v>
      </c>
    </row>
    <row r="114" spans="1:8" ht="15.75" x14ac:dyDescent="0.25">
      <c r="A114" s="164"/>
      <c r="B114" s="165">
        <f>DATE(24,3,1)</f>
        <v>8827</v>
      </c>
      <c r="C114" s="226">
        <v>0</v>
      </c>
      <c r="D114" s="226">
        <v>0</v>
      </c>
      <c r="E114" s="226">
        <v>0</v>
      </c>
      <c r="F114" s="166">
        <v>0</v>
      </c>
      <c r="G114" s="241">
        <v>0</v>
      </c>
      <c r="H114" s="242">
        <v>0</v>
      </c>
    </row>
    <row r="115" spans="1:8" ht="16.5" thickBot="1" x14ac:dyDescent="0.3">
      <c r="A115" s="164"/>
      <c r="B115" s="165"/>
      <c r="C115" s="226"/>
      <c r="D115" s="226"/>
      <c r="E115" s="226"/>
      <c r="F115" s="166"/>
      <c r="G115" s="241"/>
      <c r="H115" s="242"/>
    </row>
    <row r="116" spans="1:8" ht="17.25" thickTop="1" thickBot="1" x14ac:dyDescent="0.3">
      <c r="A116" s="174" t="s">
        <v>14</v>
      </c>
      <c r="B116" s="181"/>
      <c r="C116" s="228">
        <f>SUM(C106:C115)</f>
        <v>0</v>
      </c>
      <c r="D116" s="228">
        <f>SUM(D106:D115)</f>
        <v>0</v>
      </c>
      <c r="E116" s="228">
        <f>SUM(E106:E115)</f>
        <v>0</v>
      </c>
      <c r="F116" s="176">
        <v>0</v>
      </c>
      <c r="G116" s="245">
        <v>0</v>
      </c>
      <c r="H116" s="246">
        <v>0</v>
      </c>
    </row>
    <row r="117" spans="1:8" ht="15.75" thickTop="1" x14ac:dyDescent="0.2">
      <c r="A117" s="171"/>
      <c r="B117" s="172"/>
      <c r="C117" s="227"/>
      <c r="D117" s="227"/>
      <c r="E117" s="227"/>
      <c r="F117" s="173"/>
      <c r="G117" s="243"/>
      <c r="H117" s="244"/>
    </row>
    <row r="118" spans="1:8" ht="15.75" x14ac:dyDescent="0.25">
      <c r="A118" s="294" t="s">
        <v>53</v>
      </c>
      <c r="B118" s="165">
        <f>DATE(23,7,1)</f>
        <v>8583</v>
      </c>
      <c r="C118" s="226">
        <v>0</v>
      </c>
      <c r="D118" s="226">
        <v>0</v>
      </c>
      <c r="E118" s="226">
        <v>0</v>
      </c>
      <c r="F118" s="166">
        <v>0</v>
      </c>
      <c r="G118" s="241">
        <v>0</v>
      </c>
      <c r="H118" s="242">
        <v>0</v>
      </c>
    </row>
    <row r="119" spans="1:8" ht="15.75" x14ac:dyDescent="0.25">
      <c r="A119" s="164"/>
      <c r="B119" s="165">
        <f>DATE(23,8,1)</f>
        <v>8614</v>
      </c>
      <c r="C119" s="226">
        <v>0</v>
      </c>
      <c r="D119" s="226">
        <v>0</v>
      </c>
      <c r="E119" s="226">
        <v>0</v>
      </c>
      <c r="F119" s="166">
        <v>0</v>
      </c>
      <c r="G119" s="241">
        <v>0</v>
      </c>
      <c r="H119" s="242">
        <v>0</v>
      </c>
    </row>
    <row r="120" spans="1:8" ht="15.75" x14ac:dyDescent="0.25">
      <c r="A120" s="164"/>
      <c r="B120" s="165">
        <f>DATE(23,9,1)</f>
        <v>8645</v>
      </c>
      <c r="C120" s="226">
        <v>0</v>
      </c>
      <c r="D120" s="226">
        <v>0</v>
      </c>
      <c r="E120" s="226">
        <v>0</v>
      </c>
      <c r="F120" s="166">
        <v>0</v>
      </c>
      <c r="G120" s="241">
        <v>0</v>
      </c>
      <c r="H120" s="242">
        <v>0</v>
      </c>
    </row>
    <row r="121" spans="1:8" ht="15.75" x14ac:dyDescent="0.25">
      <c r="A121" s="164"/>
      <c r="B121" s="165">
        <f>DATE(23,10,1)</f>
        <v>8675</v>
      </c>
      <c r="C121" s="226">
        <v>0</v>
      </c>
      <c r="D121" s="226">
        <v>0</v>
      </c>
      <c r="E121" s="226">
        <v>0</v>
      </c>
      <c r="F121" s="166">
        <v>0</v>
      </c>
      <c r="G121" s="241">
        <v>0</v>
      </c>
      <c r="H121" s="242">
        <v>0</v>
      </c>
    </row>
    <row r="122" spans="1:8" ht="15.75" x14ac:dyDescent="0.25">
      <c r="A122" s="164"/>
      <c r="B122" s="165">
        <f>DATE(23,11,1)</f>
        <v>8706</v>
      </c>
      <c r="C122" s="226">
        <v>0</v>
      </c>
      <c r="D122" s="226">
        <v>0</v>
      </c>
      <c r="E122" s="226">
        <v>0</v>
      </c>
      <c r="F122" s="166">
        <v>0</v>
      </c>
      <c r="G122" s="241">
        <v>0</v>
      </c>
      <c r="H122" s="242">
        <v>0</v>
      </c>
    </row>
    <row r="123" spans="1:8" ht="15.75" x14ac:dyDescent="0.25">
      <c r="A123" s="164"/>
      <c r="B123" s="165">
        <f>DATE(23,12,1)</f>
        <v>8736</v>
      </c>
      <c r="C123" s="226">
        <v>0</v>
      </c>
      <c r="D123" s="226">
        <v>0</v>
      </c>
      <c r="E123" s="226">
        <v>0</v>
      </c>
      <c r="F123" s="166">
        <v>0</v>
      </c>
      <c r="G123" s="241">
        <v>0</v>
      </c>
      <c r="H123" s="242">
        <v>0</v>
      </c>
    </row>
    <row r="124" spans="1:8" ht="15.75" x14ac:dyDescent="0.25">
      <c r="A124" s="164"/>
      <c r="B124" s="165">
        <f>DATE(24,1,1)</f>
        <v>8767</v>
      </c>
      <c r="C124" s="226">
        <v>0</v>
      </c>
      <c r="D124" s="226">
        <v>0</v>
      </c>
      <c r="E124" s="226">
        <v>0</v>
      </c>
      <c r="F124" s="166">
        <v>0</v>
      </c>
      <c r="G124" s="241">
        <v>0</v>
      </c>
      <c r="H124" s="242">
        <v>0</v>
      </c>
    </row>
    <row r="125" spans="1:8" ht="15.75" x14ac:dyDescent="0.25">
      <c r="A125" s="164"/>
      <c r="B125" s="292">
        <f>DATE(24,2,1)</f>
        <v>8798</v>
      </c>
      <c r="C125" s="293">
        <v>1763767</v>
      </c>
      <c r="D125" s="293">
        <v>73367.44</v>
      </c>
      <c r="E125" s="226">
        <v>0</v>
      </c>
      <c r="F125" s="166">
        <v>1</v>
      </c>
      <c r="G125" s="241">
        <f>+D125/C125</f>
        <v>4.1597013664503309E-2</v>
      </c>
      <c r="H125" s="289">
        <f>1-G125</f>
        <v>0.9584029863354967</v>
      </c>
    </row>
    <row r="126" spans="1:8" ht="15.75" x14ac:dyDescent="0.25">
      <c r="A126" s="164"/>
      <c r="B126" s="165">
        <f>DATE(24,3,1)</f>
        <v>8827</v>
      </c>
      <c r="C126" s="293">
        <v>2765877</v>
      </c>
      <c r="D126" s="293">
        <v>135296.38</v>
      </c>
      <c r="E126" s="226">
        <v>0</v>
      </c>
      <c r="F126" s="166">
        <v>1</v>
      </c>
      <c r="G126" s="241">
        <f>+D126/C126</f>
        <v>4.8916267787757733E-2</v>
      </c>
      <c r="H126" s="289">
        <f>1-G126</f>
        <v>0.95108373221224229</v>
      </c>
    </row>
    <row r="127" spans="1:8" ht="15.75" thickBot="1" x14ac:dyDescent="0.25">
      <c r="A127" s="167"/>
      <c r="B127" s="168"/>
      <c r="C127" s="226"/>
      <c r="D127" s="226"/>
      <c r="E127" s="226"/>
      <c r="F127" s="166"/>
      <c r="G127" s="241"/>
      <c r="H127" s="242"/>
    </row>
    <row r="128" spans="1:8" ht="17.25" thickTop="1" thickBot="1" x14ac:dyDescent="0.3">
      <c r="A128" s="174" t="s">
        <v>14</v>
      </c>
      <c r="B128" s="175"/>
      <c r="C128" s="228">
        <f>SUM(C118:C127)</f>
        <v>4529644</v>
      </c>
      <c r="D128" s="228">
        <f>SUM(D118:D127)</f>
        <v>208663.82</v>
      </c>
      <c r="E128" s="228">
        <f>SUM(E118:E127)</f>
        <v>0</v>
      </c>
      <c r="F128" s="176">
        <v>1</v>
      </c>
      <c r="G128" s="245">
        <f>+D128/C128</f>
        <v>4.6066273640930723E-2</v>
      </c>
      <c r="H128" s="246">
        <f>1-G128</f>
        <v>0.95393372635906926</v>
      </c>
    </row>
    <row r="129" spans="1:8" ht="15.75" thickTop="1" x14ac:dyDescent="0.2">
      <c r="A129" s="167"/>
      <c r="B129" s="168"/>
      <c r="C129" s="226"/>
      <c r="D129" s="226"/>
      <c r="E129" s="226"/>
      <c r="F129" s="166"/>
      <c r="G129" s="241"/>
      <c r="H129" s="242"/>
    </row>
    <row r="130" spans="1:8" ht="15.75" x14ac:dyDescent="0.25">
      <c r="A130" s="164" t="s">
        <v>54</v>
      </c>
      <c r="B130" s="165">
        <f>DATE(23,7,1)</f>
        <v>8583</v>
      </c>
      <c r="C130" s="226">
        <v>0</v>
      </c>
      <c r="D130" s="226">
        <v>0</v>
      </c>
      <c r="E130" s="226">
        <v>0</v>
      </c>
      <c r="F130" s="166">
        <v>0</v>
      </c>
      <c r="G130" s="241">
        <v>0</v>
      </c>
      <c r="H130" s="242">
        <v>0</v>
      </c>
    </row>
    <row r="131" spans="1:8" ht="15.75" x14ac:dyDescent="0.25">
      <c r="A131" s="164"/>
      <c r="B131" s="165">
        <f>DATE(23,8,1)</f>
        <v>8614</v>
      </c>
      <c r="C131" s="226">
        <v>0</v>
      </c>
      <c r="D131" s="226">
        <v>0</v>
      </c>
      <c r="E131" s="226">
        <v>0</v>
      </c>
      <c r="F131" s="166">
        <v>0</v>
      </c>
      <c r="G131" s="241">
        <v>0</v>
      </c>
      <c r="H131" s="242">
        <v>0</v>
      </c>
    </row>
    <row r="132" spans="1:8" ht="15.75" x14ac:dyDescent="0.25">
      <c r="A132" s="164"/>
      <c r="B132" s="165">
        <f>DATE(23,9,1)</f>
        <v>8645</v>
      </c>
      <c r="C132" s="226">
        <v>0</v>
      </c>
      <c r="D132" s="226">
        <v>0</v>
      </c>
      <c r="E132" s="226">
        <v>0</v>
      </c>
      <c r="F132" s="166">
        <v>0</v>
      </c>
      <c r="G132" s="241">
        <v>0</v>
      </c>
      <c r="H132" s="242">
        <v>0</v>
      </c>
    </row>
    <row r="133" spans="1:8" ht="15.75" x14ac:dyDescent="0.25">
      <c r="A133" s="164"/>
      <c r="B133" s="165">
        <f>DATE(23,10,1)</f>
        <v>8675</v>
      </c>
      <c r="C133" s="226">
        <v>0</v>
      </c>
      <c r="D133" s="226">
        <v>0</v>
      </c>
      <c r="E133" s="226">
        <v>0</v>
      </c>
      <c r="F133" s="166">
        <v>0</v>
      </c>
      <c r="G133" s="241">
        <v>0</v>
      </c>
      <c r="H133" s="242">
        <v>0</v>
      </c>
    </row>
    <row r="134" spans="1:8" ht="15.75" x14ac:dyDescent="0.25">
      <c r="A134" s="164"/>
      <c r="B134" s="165">
        <f>DATE(23,11,1)</f>
        <v>8706</v>
      </c>
      <c r="C134" s="226">
        <v>0</v>
      </c>
      <c r="D134" s="226">
        <v>0</v>
      </c>
      <c r="E134" s="226">
        <v>0</v>
      </c>
      <c r="F134" s="166">
        <v>0</v>
      </c>
      <c r="G134" s="241">
        <v>0</v>
      </c>
      <c r="H134" s="242">
        <v>0</v>
      </c>
    </row>
    <row r="135" spans="1:8" ht="15.75" x14ac:dyDescent="0.25">
      <c r="A135" s="164"/>
      <c r="B135" s="165">
        <f>DATE(23,12,1)</f>
        <v>8736</v>
      </c>
      <c r="C135" s="226">
        <v>0</v>
      </c>
      <c r="D135" s="226">
        <v>0</v>
      </c>
      <c r="E135" s="226">
        <v>0</v>
      </c>
      <c r="F135" s="166">
        <v>0</v>
      </c>
      <c r="G135" s="241">
        <v>0</v>
      </c>
      <c r="H135" s="242">
        <v>0</v>
      </c>
    </row>
    <row r="136" spans="1:8" ht="15.75" x14ac:dyDescent="0.25">
      <c r="A136" s="164"/>
      <c r="B136" s="165">
        <f>DATE(24,1,1)</f>
        <v>8767</v>
      </c>
      <c r="C136" s="226">
        <v>0</v>
      </c>
      <c r="D136" s="226">
        <v>0</v>
      </c>
      <c r="E136" s="226">
        <v>0</v>
      </c>
      <c r="F136" s="166">
        <v>0</v>
      </c>
      <c r="G136" s="241">
        <v>0</v>
      </c>
      <c r="H136" s="242">
        <v>0</v>
      </c>
    </row>
    <row r="137" spans="1:8" ht="15.75" x14ac:dyDescent="0.25">
      <c r="A137" s="164"/>
      <c r="B137" s="165">
        <f>DATE(24,2,1)</f>
        <v>8798</v>
      </c>
      <c r="C137" s="226">
        <v>0</v>
      </c>
      <c r="D137" s="226">
        <v>0</v>
      </c>
      <c r="E137" s="226">
        <v>0</v>
      </c>
      <c r="F137" s="166">
        <v>0</v>
      </c>
      <c r="G137" s="241">
        <v>0</v>
      </c>
      <c r="H137" s="242">
        <v>0</v>
      </c>
    </row>
    <row r="138" spans="1:8" ht="15.75" x14ac:dyDescent="0.25">
      <c r="A138" s="164"/>
      <c r="B138" s="165">
        <f>DATE(24,3,1)</f>
        <v>8827</v>
      </c>
      <c r="C138" s="226">
        <v>0</v>
      </c>
      <c r="D138" s="226">
        <v>0</v>
      </c>
      <c r="E138" s="226">
        <v>0</v>
      </c>
      <c r="F138" s="166">
        <v>0</v>
      </c>
      <c r="G138" s="241">
        <v>0</v>
      </c>
      <c r="H138" s="242">
        <v>0</v>
      </c>
    </row>
    <row r="139" spans="1:8" ht="15.75" thickBot="1" x14ac:dyDescent="0.25">
      <c r="A139" s="167"/>
      <c r="B139" s="168"/>
      <c r="C139" s="226"/>
      <c r="D139" s="226"/>
      <c r="E139" s="226"/>
      <c r="F139" s="166"/>
      <c r="G139" s="241"/>
      <c r="H139" s="242"/>
    </row>
    <row r="140" spans="1:8" ht="17.25" thickTop="1" thickBot="1" x14ac:dyDescent="0.3">
      <c r="A140" s="182" t="s">
        <v>14</v>
      </c>
      <c r="B140" s="183"/>
      <c r="C140" s="230">
        <f>SUM(C130:C139)</f>
        <v>0</v>
      </c>
      <c r="D140" s="230">
        <f>SUM(D130:D139)</f>
        <v>0</v>
      </c>
      <c r="E140" s="230">
        <f>SUM(E130:E139)</f>
        <v>0</v>
      </c>
      <c r="F140" s="176">
        <v>0</v>
      </c>
      <c r="G140" s="245">
        <v>0</v>
      </c>
      <c r="H140" s="246">
        <v>0</v>
      </c>
    </row>
    <row r="141" spans="1:8" ht="15.75" thickTop="1" x14ac:dyDescent="0.2">
      <c r="A141" s="167"/>
      <c r="B141" s="168"/>
      <c r="C141" s="226"/>
      <c r="D141" s="226"/>
      <c r="E141" s="226"/>
      <c r="F141" s="166"/>
      <c r="G141" s="241"/>
      <c r="H141" s="242"/>
    </row>
    <row r="142" spans="1:8" ht="15.75" x14ac:dyDescent="0.25">
      <c r="A142" s="294" t="s">
        <v>37</v>
      </c>
      <c r="B142" s="165">
        <f>DATE(23,7,1)</f>
        <v>8583</v>
      </c>
      <c r="C142" s="226">
        <v>3921585</v>
      </c>
      <c r="D142" s="226">
        <v>179389.2</v>
      </c>
      <c r="E142" s="226">
        <v>215844.68</v>
      </c>
      <c r="F142" s="166">
        <f t="shared" ref="F142:F147" si="0">+(D142-E142)/E142</f>
        <v>-0.16889681969460624</v>
      </c>
      <c r="G142" s="241">
        <f>+D142/C142</f>
        <v>4.5744055018570304E-2</v>
      </c>
      <c r="H142" s="289">
        <f>1-G142</f>
        <v>0.95425594498142974</v>
      </c>
    </row>
    <row r="143" spans="1:8" ht="15.75" x14ac:dyDescent="0.25">
      <c r="A143" s="164"/>
      <c r="B143" s="165">
        <f>DATE(23,8,1)</f>
        <v>8614</v>
      </c>
      <c r="C143" s="226">
        <v>4810863</v>
      </c>
      <c r="D143" s="226">
        <v>198288.36</v>
      </c>
      <c r="E143" s="226">
        <v>222475.66</v>
      </c>
      <c r="F143" s="166">
        <f t="shared" si="0"/>
        <v>-0.10871885940241741</v>
      </c>
      <c r="G143" s="241">
        <f>+D143/C143</f>
        <v>4.1216796238013845E-2</v>
      </c>
      <c r="H143" s="289">
        <f>1-G143</f>
        <v>0.95878320376198611</v>
      </c>
    </row>
    <row r="144" spans="1:8" ht="15.75" x14ac:dyDescent="0.25">
      <c r="A144" s="164"/>
      <c r="B144" s="165">
        <f>DATE(23,9,1)</f>
        <v>8645</v>
      </c>
      <c r="C144" s="226">
        <v>4650603.5</v>
      </c>
      <c r="D144" s="226">
        <v>223122.42</v>
      </c>
      <c r="E144" s="226">
        <v>213180.35</v>
      </c>
      <c r="F144" s="166">
        <f t="shared" si="0"/>
        <v>4.6636896880974284E-2</v>
      </c>
      <c r="G144" s="241">
        <f>+D144/C144</f>
        <v>4.797708942506064E-2</v>
      </c>
      <c r="H144" s="289">
        <f>1-G144</f>
        <v>0.95202291057493937</v>
      </c>
    </row>
    <row r="145" spans="1:8" ht="15.75" x14ac:dyDescent="0.25">
      <c r="A145" s="164"/>
      <c r="B145" s="165">
        <f>DATE(23,10,1)</f>
        <v>8675</v>
      </c>
      <c r="C145" s="226">
        <v>5353656.5</v>
      </c>
      <c r="D145" s="226">
        <v>233641.67</v>
      </c>
      <c r="E145" s="226">
        <v>197241.83</v>
      </c>
      <c r="F145" s="166">
        <f t="shared" si="0"/>
        <v>0.18454422167954956</v>
      </c>
      <c r="G145" s="241">
        <f>+D145/C145</f>
        <v>4.3641513048138222E-2</v>
      </c>
      <c r="H145" s="289">
        <f>1-G145</f>
        <v>0.95635848695186176</v>
      </c>
    </row>
    <row r="146" spans="1:8" ht="15.75" x14ac:dyDescent="0.25">
      <c r="A146" s="164"/>
      <c r="B146" s="165">
        <f>DATE(23,11,1)</f>
        <v>8706</v>
      </c>
      <c r="C146" s="226">
        <v>945680</v>
      </c>
      <c r="D146" s="226">
        <v>43064.43</v>
      </c>
      <c r="E146" s="226">
        <v>191836.78</v>
      </c>
      <c r="F146" s="166">
        <f t="shared" si="0"/>
        <v>-0.77551525833575818</v>
      </c>
      <c r="G146" s="241">
        <f>+D146/C146</f>
        <v>4.5538057270958464E-2</v>
      </c>
      <c r="H146" s="289">
        <f>1-G146</f>
        <v>0.9544619427290415</v>
      </c>
    </row>
    <row r="147" spans="1:8" ht="15.75" x14ac:dyDescent="0.25">
      <c r="A147" s="164"/>
      <c r="B147" s="165">
        <f>DATE(23,12,1)</f>
        <v>8736</v>
      </c>
      <c r="C147" s="226">
        <v>0</v>
      </c>
      <c r="D147" s="226">
        <v>0</v>
      </c>
      <c r="E147" s="226">
        <v>198418.76</v>
      </c>
      <c r="F147" s="166">
        <f t="shared" si="0"/>
        <v>-1</v>
      </c>
      <c r="G147" s="241">
        <v>0</v>
      </c>
      <c r="H147" s="289">
        <v>0</v>
      </c>
    </row>
    <row r="148" spans="1:8" ht="15.75" x14ac:dyDescent="0.25">
      <c r="A148" s="164"/>
      <c r="B148" s="165">
        <f>DATE(24,1,1)</f>
        <v>8767</v>
      </c>
      <c r="C148" s="226">
        <v>0</v>
      </c>
      <c r="D148" s="226">
        <v>0</v>
      </c>
      <c r="E148" s="226">
        <v>161229.07</v>
      </c>
      <c r="F148" s="166">
        <f>+(D148-E148)/E148</f>
        <v>-1</v>
      </c>
      <c r="G148" s="241">
        <v>0</v>
      </c>
      <c r="H148" s="289">
        <v>0</v>
      </c>
    </row>
    <row r="149" spans="1:8" ht="15.75" x14ac:dyDescent="0.25">
      <c r="A149" s="164"/>
      <c r="B149" s="292">
        <f>DATE(24,2,1)</f>
        <v>8798</v>
      </c>
      <c r="C149" s="226">
        <v>0</v>
      </c>
      <c r="D149" s="226">
        <v>0</v>
      </c>
      <c r="E149" s="295">
        <v>159252.82</v>
      </c>
      <c r="F149" s="166">
        <f>+(D149-E149)/E149</f>
        <v>-1</v>
      </c>
      <c r="G149" s="241">
        <v>0</v>
      </c>
      <c r="H149" s="289">
        <v>0</v>
      </c>
    </row>
    <row r="150" spans="1:8" ht="15.75" x14ac:dyDescent="0.25">
      <c r="A150" s="164"/>
      <c r="B150" s="165">
        <f>DATE(24,3,1)</f>
        <v>8827</v>
      </c>
      <c r="C150" s="226">
        <v>0</v>
      </c>
      <c r="D150" s="226">
        <v>0</v>
      </c>
      <c r="E150" s="295">
        <v>210856.45</v>
      </c>
      <c r="F150" s="166">
        <f>+(D150-E150)/E150</f>
        <v>-1</v>
      </c>
      <c r="G150" s="241">
        <v>0</v>
      </c>
      <c r="H150" s="289">
        <v>0</v>
      </c>
    </row>
    <row r="151" spans="1:8" ht="15.75" thickBot="1" x14ac:dyDescent="0.25">
      <c r="A151" s="167"/>
      <c r="B151" s="168"/>
      <c r="C151" s="226"/>
      <c r="D151" s="226"/>
      <c r="E151" s="226"/>
      <c r="F151" s="166"/>
      <c r="G151" s="241"/>
      <c r="H151" s="242"/>
    </row>
    <row r="152" spans="1:8" ht="17.25" thickTop="1" thickBot="1" x14ac:dyDescent="0.3">
      <c r="A152" s="174" t="s">
        <v>14</v>
      </c>
      <c r="B152" s="175"/>
      <c r="C152" s="228">
        <f>SUM(C142:C151)</f>
        <v>19682388</v>
      </c>
      <c r="D152" s="228">
        <f>SUM(D142:D151)</f>
        <v>877506.08000000007</v>
      </c>
      <c r="E152" s="228">
        <f>SUM(E142:E151)</f>
        <v>1770336.4000000001</v>
      </c>
      <c r="F152" s="176">
        <f>+(D152-E152)/E152</f>
        <v>-0.5043280587802409</v>
      </c>
      <c r="G152" s="245">
        <f>+D152/C152</f>
        <v>4.4583313772698724E-2</v>
      </c>
      <c r="H152" s="246">
        <f>1-G152</f>
        <v>0.95541668622730125</v>
      </c>
    </row>
    <row r="153" spans="1:8" ht="15.75" thickTop="1" x14ac:dyDescent="0.2">
      <c r="A153" s="167"/>
      <c r="B153" s="168"/>
      <c r="C153" s="226"/>
      <c r="D153" s="226"/>
      <c r="E153" s="226"/>
      <c r="F153" s="166"/>
      <c r="G153" s="241"/>
      <c r="H153" s="242"/>
    </row>
    <row r="154" spans="1:8" ht="15.75" x14ac:dyDescent="0.25">
      <c r="A154" s="164" t="s">
        <v>57</v>
      </c>
      <c r="B154" s="165">
        <f>DATE(23,7,1)</f>
        <v>8583</v>
      </c>
      <c r="C154" s="226">
        <v>0</v>
      </c>
      <c r="D154" s="226">
        <v>0</v>
      </c>
      <c r="E154" s="226">
        <v>0</v>
      </c>
      <c r="F154" s="166">
        <v>0</v>
      </c>
      <c r="G154" s="241">
        <v>0</v>
      </c>
      <c r="H154" s="242">
        <v>0</v>
      </c>
    </row>
    <row r="155" spans="1:8" ht="15.75" x14ac:dyDescent="0.25">
      <c r="A155" s="164"/>
      <c r="B155" s="165">
        <f>DATE(23,8,1)</f>
        <v>8614</v>
      </c>
      <c r="C155" s="226">
        <v>0</v>
      </c>
      <c r="D155" s="226">
        <v>0</v>
      </c>
      <c r="E155" s="226">
        <v>0</v>
      </c>
      <c r="F155" s="166">
        <v>0</v>
      </c>
      <c r="G155" s="241">
        <v>0</v>
      </c>
      <c r="H155" s="242">
        <v>0</v>
      </c>
    </row>
    <row r="156" spans="1:8" ht="15.75" x14ac:dyDescent="0.25">
      <c r="A156" s="164"/>
      <c r="B156" s="165">
        <f>DATE(23,9,1)</f>
        <v>8645</v>
      </c>
      <c r="C156" s="226">
        <v>0</v>
      </c>
      <c r="D156" s="226">
        <v>0</v>
      </c>
      <c r="E156" s="226">
        <v>0</v>
      </c>
      <c r="F156" s="166">
        <v>0</v>
      </c>
      <c r="G156" s="241">
        <v>0</v>
      </c>
      <c r="H156" s="242">
        <v>0</v>
      </c>
    </row>
    <row r="157" spans="1:8" ht="15.75" x14ac:dyDescent="0.25">
      <c r="A157" s="164"/>
      <c r="B157" s="165">
        <f>DATE(23,10,1)</f>
        <v>8675</v>
      </c>
      <c r="C157" s="226">
        <v>0</v>
      </c>
      <c r="D157" s="226">
        <v>0</v>
      </c>
      <c r="E157" s="226">
        <v>0</v>
      </c>
      <c r="F157" s="166">
        <v>0</v>
      </c>
      <c r="G157" s="241">
        <v>0</v>
      </c>
      <c r="H157" s="242">
        <v>0</v>
      </c>
    </row>
    <row r="158" spans="1:8" ht="15.75" x14ac:dyDescent="0.25">
      <c r="A158" s="164"/>
      <c r="B158" s="165">
        <f>DATE(23,11,1)</f>
        <v>8706</v>
      </c>
      <c r="C158" s="226">
        <v>0</v>
      </c>
      <c r="D158" s="226">
        <v>0</v>
      </c>
      <c r="E158" s="226">
        <v>0</v>
      </c>
      <c r="F158" s="166">
        <v>0</v>
      </c>
      <c r="G158" s="241">
        <v>0</v>
      </c>
      <c r="H158" s="242">
        <v>0</v>
      </c>
    </row>
    <row r="159" spans="1:8" ht="15.75" x14ac:dyDescent="0.25">
      <c r="A159" s="164"/>
      <c r="B159" s="165">
        <f>DATE(23,12,1)</f>
        <v>8736</v>
      </c>
      <c r="C159" s="226">
        <v>0</v>
      </c>
      <c r="D159" s="226">
        <v>0</v>
      </c>
      <c r="E159" s="226">
        <v>0</v>
      </c>
      <c r="F159" s="166">
        <v>0</v>
      </c>
      <c r="G159" s="241">
        <v>0</v>
      </c>
      <c r="H159" s="242">
        <v>0</v>
      </c>
    </row>
    <row r="160" spans="1:8" ht="15.75" x14ac:dyDescent="0.25">
      <c r="A160" s="164"/>
      <c r="B160" s="165">
        <f>DATE(24,1,1)</f>
        <v>8767</v>
      </c>
      <c r="C160" s="226">
        <v>0</v>
      </c>
      <c r="D160" s="226">
        <v>0</v>
      </c>
      <c r="E160" s="226">
        <v>0</v>
      </c>
      <c r="F160" s="166">
        <v>0</v>
      </c>
      <c r="G160" s="241">
        <v>0</v>
      </c>
      <c r="H160" s="242">
        <v>0</v>
      </c>
    </row>
    <row r="161" spans="1:8" ht="15.75" x14ac:dyDescent="0.25">
      <c r="A161" s="164"/>
      <c r="B161" s="165">
        <f>DATE(24,2,1)</f>
        <v>8798</v>
      </c>
      <c r="C161" s="226">
        <v>0</v>
      </c>
      <c r="D161" s="226">
        <v>0</v>
      </c>
      <c r="E161" s="226">
        <v>0</v>
      </c>
      <c r="F161" s="166">
        <v>0</v>
      </c>
      <c r="G161" s="241">
        <v>0</v>
      </c>
      <c r="H161" s="242">
        <v>0</v>
      </c>
    </row>
    <row r="162" spans="1:8" ht="15.75" x14ac:dyDescent="0.25">
      <c r="A162" s="164"/>
      <c r="B162" s="165">
        <f>DATE(24,3,1)</f>
        <v>8827</v>
      </c>
      <c r="C162" s="226">
        <v>0</v>
      </c>
      <c r="D162" s="226">
        <v>0</v>
      </c>
      <c r="E162" s="226">
        <v>0</v>
      </c>
      <c r="F162" s="166">
        <v>0</v>
      </c>
      <c r="G162" s="241">
        <v>0</v>
      </c>
      <c r="H162" s="242">
        <v>0</v>
      </c>
    </row>
    <row r="163" spans="1:8" ht="15.75" thickBot="1" x14ac:dyDescent="0.25">
      <c r="A163" s="167"/>
      <c r="B163" s="168"/>
      <c r="C163" s="226"/>
      <c r="D163" s="226"/>
      <c r="E163" s="226"/>
      <c r="F163" s="166"/>
      <c r="G163" s="241"/>
      <c r="H163" s="242"/>
    </row>
    <row r="164" spans="1:8" ht="17.25" thickTop="1" thickBot="1" x14ac:dyDescent="0.3">
      <c r="A164" s="169" t="s">
        <v>14</v>
      </c>
      <c r="B164" s="155"/>
      <c r="C164" s="223">
        <f>SUM(C154:C163)</f>
        <v>0</v>
      </c>
      <c r="D164" s="223">
        <f>SUM(D154:D163)</f>
        <v>0</v>
      </c>
      <c r="E164" s="223">
        <f>SUM(E154:E163)</f>
        <v>0</v>
      </c>
      <c r="F164" s="176">
        <v>0</v>
      </c>
      <c r="G164" s="245">
        <v>0</v>
      </c>
      <c r="H164" s="246">
        <v>0</v>
      </c>
    </row>
    <row r="165" spans="1:8" ht="16.5" thickTop="1" thickBot="1" x14ac:dyDescent="0.25">
      <c r="A165" s="171"/>
      <c r="B165" s="172"/>
      <c r="C165" s="227"/>
      <c r="D165" s="227"/>
      <c r="E165" s="227"/>
      <c r="F165" s="173"/>
      <c r="G165" s="243"/>
      <c r="H165" s="244"/>
    </row>
    <row r="166" spans="1:8" ht="17.25" thickTop="1" thickBot="1" x14ac:dyDescent="0.3">
      <c r="A166" s="184" t="s">
        <v>38</v>
      </c>
      <c r="B166" s="155"/>
      <c r="C166" s="223">
        <f>C164+C152+C116+C92+C68+C44+C20+C56+C140+C32+C104+C128+C80</f>
        <v>24212032</v>
      </c>
      <c r="D166" s="223">
        <f>D164+D152+D116+D92+D68+D44+D20+D56+D140+D32+D104+D128+D80</f>
        <v>1086169.9000000001</v>
      </c>
      <c r="E166" s="223">
        <f>E164+E152+E116+E92+E68+E44+E20+E56+E140+E32+E104+E128+E80</f>
        <v>3135910.91</v>
      </c>
      <c r="F166" s="176">
        <f>+(D166-E166)/E166</f>
        <v>-0.65363496248048703</v>
      </c>
      <c r="G166" s="236">
        <f>D166/C166</f>
        <v>4.4860749399306926E-2</v>
      </c>
      <c r="H166" s="237">
        <f>1-G166</f>
        <v>0.95513925060069305</v>
      </c>
    </row>
    <row r="167" spans="1:8" ht="17.25" thickTop="1" thickBot="1" x14ac:dyDescent="0.3">
      <c r="A167" s="184"/>
      <c r="B167" s="155"/>
      <c r="C167" s="223"/>
      <c r="D167" s="223"/>
      <c r="E167" s="223"/>
      <c r="F167" s="170"/>
      <c r="G167" s="236"/>
      <c r="H167" s="237"/>
    </row>
    <row r="168" spans="1:8" ht="17.25" thickTop="1" thickBot="1" x14ac:dyDescent="0.3">
      <c r="A168" s="184" t="s">
        <v>39</v>
      </c>
      <c r="B168" s="155"/>
      <c r="C168" s="223">
        <f>+C18+C30+C42+C54+C66+C78+C90+C102+C114+C126+C138+C201+C150+C162</f>
        <v>2765877</v>
      </c>
      <c r="D168" s="223">
        <f>+D18+D30+D42+D54+D66+D78+D90+D102+D114+D126+D138+D201+D150+D162</f>
        <v>135296.38</v>
      </c>
      <c r="E168" s="223">
        <f>+E18+E30+E42+E54+E66+E78+E90+E102+E114+E126+E138+E201+E150+E162</f>
        <v>210856.45</v>
      </c>
      <c r="F168" s="176">
        <f>+(D168-E168)/E168</f>
        <v>-0.35834839294695514</v>
      </c>
      <c r="G168" s="236">
        <f>D168/C168</f>
        <v>4.8916267787757733E-2</v>
      </c>
      <c r="H168" s="237">
        <f>1-G168</f>
        <v>0.95108373221224229</v>
      </c>
    </row>
    <row r="169" spans="1:8" ht="16.5" thickTop="1" x14ac:dyDescent="0.25">
      <c r="A169" s="185"/>
      <c r="B169" s="186"/>
      <c r="C169" s="231"/>
      <c r="D169" s="231"/>
      <c r="E169" s="231"/>
      <c r="F169" s="187"/>
      <c r="G169" s="250"/>
      <c r="H169" s="250"/>
    </row>
    <row r="170" spans="1:8" ht="18.75" x14ac:dyDescent="0.3">
      <c r="A170" s="188" t="s">
        <v>49</v>
      </c>
      <c r="B170" s="189"/>
      <c r="C170" s="232"/>
      <c r="D170" s="232"/>
      <c r="E170" s="232"/>
      <c r="F170" s="190"/>
      <c r="G170" s="251"/>
      <c r="H170" s="251"/>
    </row>
    <row r="171" spans="1:8" ht="15.75" x14ac:dyDescent="0.25">
      <c r="A171" s="191"/>
      <c r="B171" s="189"/>
      <c r="C171" s="232"/>
      <c r="D171" s="232"/>
      <c r="E171" s="232"/>
      <c r="F171" s="190"/>
      <c r="G171" s="257"/>
      <c r="H171" s="257"/>
    </row>
  </sheetData>
  <printOptions horizontalCentered="1"/>
  <pageMargins left="0.7" right="0.45" top="0.25" bottom="0.25" header="0.3" footer="0.3"/>
  <pageSetup scale="64" orientation="landscape" r:id="rId1"/>
  <rowBreaks count="3" manualBreakCount="3">
    <brk id="56" max="16383" man="1"/>
    <brk id="104" max="16383" man="1"/>
    <brk id="152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I172"/>
  <sheetViews>
    <sheetView showOutlineSymbols="0" zoomScaleNormal="100" workbookViewId="0">
      <selection activeCell="A6" sqref="A6"/>
    </sheetView>
  </sheetViews>
  <sheetFormatPr defaultColWidth="9.6640625" defaultRowHeight="15" x14ac:dyDescent="0.2"/>
  <cols>
    <col min="1" max="1" width="27.6640625" style="152" customWidth="1"/>
    <col min="2" max="2" width="9.6640625" style="152" customWidth="1"/>
    <col min="3" max="3" width="18.33203125" style="233" customWidth="1"/>
    <col min="4" max="4" width="16.44140625" style="233" customWidth="1"/>
    <col min="5" max="5" width="15.5546875" style="233" customWidth="1"/>
    <col min="6" max="6" width="9.6640625" style="152" customWidth="1"/>
    <col min="7" max="7" width="9.6640625" style="252" customWidth="1"/>
    <col min="8" max="8" width="10.88671875" style="252" customWidth="1"/>
    <col min="9" max="9" width="1.6640625" style="152" customWidth="1"/>
    <col min="10" max="16384" width="9.6640625" style="152"/>
  </cols>
  <sheetData>
    <row r="1" spans="1:9" ht="18" x14ac:dyDescent="0.25">
      <c r="A1" s="149" t="s">
        <v>0</v>
      </c>
      <c r="B1" s="150"/>
      <c r="C1" s="222"/>
      <c r="D1" s="222"/>
      <c r="E1" s="222"/>
      <c r="F1" s="150"/>
      <c r="G1" s="234"/>
      <c r="H1" s="234"/>
      <c r="I1" s="151"/>
    </row>
    <row r="2" spans="1:9" ht="18.75" x14ac:dyDescent="0.3">
      <c r="A2" s="153" t="s">
        <v>41</v>
      </c>
      <c r="B2" s="150"/>
      <c r="C2" s="222"/>
      <c r="D2" s="222"/>
      <c r="E2" s="222"/>
      <c r="F2" s="150"/>
      <c r="G2" s="234"/>
      <c r="H2" s="234"/>
      <c r="I2" s="151"/>
    </row>
    <row r="3" spans="1:9" ht="18" x14ac:dyDescent="0.25">
      <c r="A3" s="149" t="s">
        <v>42</v>
      </c>
      <c r="B3" s="150"/>
      <c r="C3" s="222"/>
      <c r="D3" s="222"/>
      <c r="E3" s="222"/>
      <c r="F3" s="150"/>
      <c r="G3" s="234"/>
      <c r="H3" s="234"/>
      <c r="I3" s="151"/>
    </row>
    <row r="4" spans="1:9" ht="18" x14ac:dyDescent="0.25">
      <c r="A4" s="285" t="s">
        <v>77</v>
      </c>
      <c r="B4" s="150"/>
      <c r="C4" s="222"/>
      <c r="D4" s="222"/>
      <c r="E4" s="222"/>
      <c r="F4" s="150"/>
      <c r="G4" s="234"/>
      <c r="H4" s="234"/>
      <c r="I4" s="151"/>
    </row>
    <row r="5" spans="1:9" x14ac:dyDescent="0.2">
      <c r="A5" s="286" t="s">
        <v>73</v>
      </c>
      <c r="B5" s="150"/>
      <c r="C5" s="222"/>
      <c r="D5" s="222"/>
      <c r="E5" s="222"/>
      <c r="F5" s="150"/>
      <c r="G5" s="234"/>
      <c r="H5" s="234"/>
      <c r="I5" s="151"/>
    </row>
    <row r="6" spans="1:9" ht="16.5" thickBot="1" x14ac:dyDescent="0.3">
      <c r="A6" s="150"/>
      <c r="B6" s="150"/>
      <c r="C6" s="222"/>
      <c r="D6" s="222"/>
      <c r="E6" s="222"/>
      <c r="F6" s="150"/>
      <c r="G6" s="235" t="s">
        <v>43</v>
      </c>
      <c r="H6" s="235"/>
      <c r="I6" s="151"/>
    </row>
    <row r="7" spans="1:9" ht="16.5" thickTop="1" x14ac:dyDescent="0.25">
      <c r="A7" s="154"/>
      <c r="B7" s="155" t="s">
        <v>2</v>
      </c>
      <c r="C7" s="223" t="s">
        <v>44</v>
      </c>
      <c r="D7" s="223" t="s">
        <v>31</v>
      </c>
      <c r="E7" s="223" t="s">
        <v>3</v>
      </c>
      <c r="F7" s="156"/>
      <c r="G7" s="236" t="s">
        <v>32</v>
      </c>
      <c r="H7" s="253" t="s">
        <v>32</v>
      </c>
      <c r="I7" s="157"/>
    </row>
    <row r="8" spans="1:9" ht="16.5" thickBot="1" x14ac:dyDescent="0.3">
      <c r="A8" s="158" t="s">
        <v>5</v>
      </c>
      <c r="B8" s="159" t="s">
        <v>6</v>
      </c>
      <c r="C8" s="224" t="s">
        <v>45</v>
      </c>
      <c r="D8" s="224" t="s">
        <v>46</v>
      </c>
      <c r="E8" s="224" t="s">
        <v>46</v>
      </c>
      <c r="F8" s="160" t="s">
        <v>8</v>
      </c>
      <c r="G8" s="238" t="s">
        <v>35</v>
      </c>
      <c r="H8" s="254" t="s">
        <v>47</v>
      </c>
      <c r="I8" s="157"/>
    </row>
    <row r="9" spans="1:9" ht="15.75" customHeight="1" thickTop="1" x14ac:dyDescent="0.25">
      <c r="A9" s="161"/>
      <c r="B9" s="162"/>
      <c r="C9" s="225"/>
      <c r="D9" s="225"/>
      <c r="E9" s="225"/>
      <c r="F9" s="163"/>
      <c r="G9" s="239"/>
      <c r="H9" s="240"/>
      <c r="I9" s="157"/>
    </row>
    <row r="10" spans="1:9" ht="15.75" x14ac:dyDescent="0.25">
      <c r="A10" s="164" t="s">
        <v>36</v>
      </c>
      <c r="B10" s="165">
        <f>DATE(23,7,1)</f>
        <v>8583</v>
      </c>
      <c r="C10" s="226">
        <v>130294533.33</v>
      </c>
      <c r="D10" s="226">
        <v>12225071.779999999</v>
      </c>
      <c r="E10" s="226">
        <v>12857023.68</v>
      </c>
      <c r="F10" s="166">
        <f t="shared" ref="F10:F15" si="0">(+D10-E10)/E10</f>
        <v>-4.915227005321969E-2</v>
      </c>
      <c r="G10" s="241">
        <f t="shared" ref="G10:G15" si="1">D10/C10</f>
        <v>9.3826436670503097E-2</v>
      </c>
      <c r="H10" s="242">
        <f t="shared" ref="H10:H16" si="2">1-G10</f>
        <v>0.90617356332949694</v>
      </c>
      <c r="I10" s="157"/>
    </row>
    <row r="11" spans="1:9" ht="15.75" x14ac:dyDescent="0.25">
      <c r="A11" s="164"/>
      <c r="B11" s="165">
        <f>DATE(23,8,1)</f>
        <v>8614</v>
      </c>
      <c r="C11" s="226">
        <v>121966832.73999999</v>
      </c>
      <c r="D11" s="226">
        <v>11145204.02</v>
      </c>
      <c r="E11" s="226">
        <v>11827521.810000001</v>
      </c>
      <c r="F11" s="166">
        <f t="shared" si="0"/>
        <v>-5.7688990217977111E-2</v>
      </c>
      <c r="G11" s="241">
        <f t="shared" si="1"/>
        <v>9.1378973853970064E-2</v>
      </c>
      <c r="H11" s="242">
        <f t="shared" si="2"/>
        <v>0.90862102614602991</v>
      </c>
      <c r="I11" s="157"/>
    </row>
    <row r="12" spans="1:9" ht="15.75" x14ac:dyDescent="0.25">
      <c r="A12" s="164"/>
      <c r="B12" s="165">
        <f>DATE(23,9,1)</f>
        <v>8645</v>
      </c>
      <c r="C12" s="226">
        <v>119569753.25</v>
      </c>
      <c r="D12" s="226">
        <v>10888864.68</v>
      </c>
      <c r="E12" s="226">
        <v>11779242.130000001</v>
      </c>
      <c r="F12" s="166">
        <f t="shared" si="0"/>
        <v>-7.5588687300377363E-2</v>
      </c>
      <c r="G12" s="241">
        <f t="shared" si="1"/>
        <v>9.1067049851923987E-2</v>
      </c>
      <c r="H12" s="242">
        <f t="shared" si="2"/>
        <v>0.90893295014807607</v>
      </c>
      <c r="I12" s="157"/>
    </row>
    <row r="13" spans="1:9" ht="15.75" x14ac:dyDescent="0.25">
      <c r="A13" s="164"/>
      <c r="B13" s="165">
        <f>DATE(23,10,1)</f>
        <v>8675</v>
      </c>
      <c r="C13" s="226">
        <v>113617241.08</v>
      </c>
      <c r="D13" s="226">
        <v>10286786.27</v>
      </c>
      <c r="E13" s="226">
        <v>11839133.27</v>
      </c>
      <c r="F13" s="166">
        <f t="shared" si="0"/>
        <v>-0.1311199869616807</v>
      </c>
      <c r="G13" s="241">
        <f t="shared" si="1"/>
        <v>9.0538954935165894E-2</v>
      </c>
      <c r="H13" s="242">
        <f t="shared" si="2"/>
        <v>0.90946104506483416</v>
      </c>
      <c r="I13" s="157"/>
    </row>
    <row r="14" spans="1:9" ht="15.75" x14ac:dyDescent="0.25">
      <c r="A14" s="164"/>
      <c r="B14" s="165">
        <f>DATE(23,11,1)</f>
        <v>8706</v>
      </c>
      <c r="C14" s="226">
        <v>111981421.75</v>
      </c>
      <c r="D14" s="226">
        <v>10696499.550000001</v>
      </c>
      <c r="E14" s="226">
        <v>10518258.619999999</v>
      </c>
      <c r="F14" s="166">
        <f t="shared" si="0"/>
        <v>1.6945859237676889E-2</v>
      </c>
      <c r="G14" s="241">
        <f t="shared" si="1"/>
        <v>9.552030491164934E-2</v>
      </c>
      <c r="H14" s="242">
        <f t="shared" si="2"/>
        <v>0.90447969508835069</v>
      </c>
      <c r="I14" s="157"/>
    </row>
    <row r="15" spans="1:9" ht="15.75" x14ac:dyDescent="0.25">
      <c r="A15" s="164"/>
      <c r="B15" s="165">
        <f>DATE(23,12,1)</f>
        <v>8736</v>
      </c>
      <c r="C15" s="226">
        <v>129048538.48</v>
      </c>
      <c r="D15" s="226">
        <v>11420329.99</v>
      </c>
      <c r="E15" s="226">
        <v>11200076.720000001</v>
      </c>
      <c r="F15" s="166">
        <f t="shared" si="0"/>
        <v>1.9665335828163821E-2</v>
      </c>
      <c r="G15" s="241">
        <f t="shared" si="1"/>
        <v>8.8496391547820033E-2</v>
      </c>
      <c r="H15" s="242">
        <f t="shared" si="2"/>
        <v>0.91150360845217993</v>
      </c>
      <c r="I15" s="157"/>
    </row>
    <row r="16" spans="1:9" ht="15.75" x14ac:dyDescent="0.25">
      <c r="A16" s="164"/>
      <c r="B16" s="165">
        <f>DATE(24,1,1)</f>
        <v>8767</v>
      </c>
      <c r="C16" s="226">
        <v>104910741.22</v>
      </c>
      <c r="D16" s="226">
        <v>9832743.6199999992</v>
      </c>
      <c r="E16" s="226">
        <v>11398304.84</v>
      </c>
      <c r="F16" s="166">
        <f>(+D16-E16)/E16</f>
        <v>-0.13735035533582032</v>
      </c>
      <c r="G16" s="241">
        <f>D16/C16</f>
        <v>9.3724851294116132E-2</v>
      </c>
      <c r="H16" s="242">
        <f t="shared" si="2"/>
        <v>0.90627514870588388</v>
      </c>
      <c r="I16" s="157"/>
    </row>
    <row r="17" spans="1:9" ht="15.75" x14ac:dyDescent="0.25">
      <c r="A17" s="164"/>
      <c r="B17" s="165">
        <f>DATE(24,2,1)</f>
        <v>8798</v>
      </c>
      <c r="C17" s="226">
        <v>121349808.39</v>
      </c>
      <c r="D17" s="226">
        <v>11759548.859999999</v>
      </c>
      <c r="E17" s="226">
        <v>11481138.220000001</v>
      </c>
      <c r="F17" s="166">
        <f>(+D17-E17)/E17</f>
        <v>2.4249393628500253E-2</v>
      </c>
      <c r="G17" s="241">
        <f>D17/C17</f>
        <v>9.6906200479580332E-2</v>
      </c>
      <c r="H17" s="242">
        <f>1-G17</f>
        <v>0.90309379952041968</v>
      </c>
      <c r="I17" s="157"/>
    </row>
    <row r="18" spans="1:9" ht="15.75" x14ac:dyDescent="0.25">
      <c r="A18" s="164"/>
      <c r="B18" s="165">
        <f>DATE(24,3,1)</f>
        <v>8827</v>
      </c>
      <c r="C18" s="226">
        <v>137174130.78999999</v>
      </c>
      <c r="D18" s="226">
        <v>13285577.52</v>
      </c>
      <c r="E18" s="226">
        <v>13341210.529999999</v>
      </c>
      <c r="F18" s="166">
        <f>(+D18-E18)/E18</f>
        <v>-4.1700121495646452E-3</v>
      </c>
      <c r="G18" s="241">
        <f>D18/C18</f>
        <v>9.6851916928410525E-2</v>
      </c>
      <c r="H18" s="242">
        <f>1-G18</f>
        <v>0.90314808307158945</v>
      </c>
      <c r="I18" s="157"/>
    </row>
    <row r="19" spans="1:9" ht="15.75" thickBot="1" x14ac:dyDescent="0.25">
      <c r="A19" s="167"/>
      <c r="B19" s="168"/>
      <c r="C19" s="226"/>
      <c r="D19" s="226"/>
      <c r="E19" s="226"/>
      <c r="F19" s="166"/>
      <c r="G19" s="241"/>
      <c r="H19" s="242"/>
      <c r="I19" s="157"/>
    </row>
    <row r="20" spans="1:9" ht="17.25" thickTop="1" thickBot="1" x14ac:dyDescent="0.3">
      <c r="A20" s="169" t="s">
        <v>14</v>
      </c>
      <c r="B20" s="155"/>
      <c r="C20" s="223">
        <f>SUM(C10:C19)</f>
        <v>1089913001.03</v>
      </c>
      <c r="D20" s="223">
        <f>SUM(D10:D19)</f>
        <v>101540626.28999999</v>
      </c>
      <c r="E20" s="223">
        <f>SUM(E10:E19)</f>
        <v>106241909.82000001</v>
      </c>
      <c r="F20" s="170">
        <f>(+D20-E20)/E20</f>
        <v>-4.425074377865712E-2</v>
      </c>
      <c r="G20" s="236">
        <f>D20/C20</f>
        <v>9.3163973816296444E-2</v>
      </c>
      <c r="H20" s="237">
        <f>1-G20</f>
        <v>0.90683602618370351</v>
      </c>
      <c r="I20" s="157"/>
    </row>
    <row r="21" spans="1:9" ht="15.75" thickTop="1" x14ac:dyDescent="0.2">
      <c r="A21" s="171"/>
      <c r="B21" s="172"/>
      <c r="C21" s="227"/>
      <c r="D21" s="227"/>
      <c r="E21" s="227"/>
      <c r="F21" s="173"/>
      <c r="G21" s="243"/>
      <c r="H21" s="244"/>
      <c r="I21" s="157"/>
    </row>
    <row r="22" spans="1:9" ht="15.75" x14ac:dyDescent="0.25">
      <c r="A22" s="19" t="s">
        <v>48</v>
      </c>
      <c r="B22" s="165">
        <f>DATE(23,7,1)</f>
        <v>8583</v>
      </c>
      <c r="C22" s="226">
        <v>75800127.310000002</v>
      </c>
      <c r="D22" s="226">
        <v>7575374.3200000003</v>
      </c>
      <c r="E22" s="226">
        <v>7757914.71</v>
      </c>
      <c r="F22" s="166">
        <f t="shared" ref="F22:F27" si="3">(+D22-E22)/E22</f>
        <v>-2.3529569068954054E-2</v>
      </c>
      <c r="G22" s="241">
        <f t="shared" ref="G22:G27" si="4">D22/C22</f>
        <v>9.993880734552027E-2</v>
      </c>
      <c r="H22" s="242">
        <f t="shared" ref="H22:H28" si="5">1-G22</f>
        <v>0.9000611926544797</v>
      </c>
      <c r="I22" s="157"/>
    </row>
    <row r="23" spans="1:9" ht="15.75" x14ac:dyDescent="0.25">
      <c r="A23" s="19"/>
      <c r="B23" s="165">
        <f>DATE(23,8,1)</f>
        <v>8614</v>
      </c>
      <c r="C23" s="226">
        <v>70452827.459999993</v>
      </c>
      <c r="D23" s="226">
        <v>7089689.0300000003</v>
      </c>
      <c r="E23" s="226">
        <v>6870200.0300000003</v>
      </c>
      <c r="F23" s="166">
        <f t="shared" si="3"/>
        <v>3.1947978085290187E-2</v>
      </c>
      <c r="G23" s="241">
        <f t="shared" si="4"/>
        <v>0.1006302981101108</v>
      </c>
      <c r="H23" s="242">
        <f t="shared" si="5"/>
        <v>0.89936970188988918</v>
      </c>
      <c r="I23" s="157"/>
    </row>
    <row r="24" spans="1:9" ht="15.75" x14ac:dyDescent="0.25">
      <c r="A24" s="19"/>
      <c r="B24" s="165">
        <f>DATE(23,9,1)</f>
        <v>8645</v>
      </c>
      <c r="C24" s="226">
        <v>66505879.869999997</v>
      </c>
      <c r="D24" s="226">
        <v>6608716.9299999997</v>
      </c>
      <c r="E24" s="226">
        <v>7013550.54</v>
      </c>
      <c r="F24" s="166">
        <f t="shared" si="3"/>
        <v>-5.7721635809300141E-2</v>
      </c>
      <c r="G24" s="241">
        <f t="shared" si="4"/>
        <v>9.9370415712387444E-2</v>
      </c>
      <c r="H24" s="242">
        <f t="shared" si="5"/>
        <v>0.90062958428761253</v>
      </c>
      <c r="I24" s="157"/>
    </row>
    <row r="25" spans="1:9" ht="15.75" x14ac:dyDescent="0.25">
      <c r="A25" s="19"/>
      <c r="B25" s="165">
        <f>DATE(23,10,1)</f>
        <v>8675</v>
      </c>
      <c r="C25" s="226">
        <v>63554221.140000001</v>
      </c>
      <c r="D25" s="226">
        <v>6073572.6299999999</v>
      </c>
      <c r="E25" s="226">
        <v>6793373.3399999999</v>
      </c>
      <c r="F25" s="166">
        <f t="shared" si="3"/>
        <v>-0.10595630093840831</v>
      </c>
      <c r="G25" s="241">
        <f t="shared" si="4"/>
        <v>9.5565212208656769E-2</v>
      </c>
      <c r="H25" s="242">
        <f t="shared" si="5"/>
        <v>0.90443478779134323</v>
      </c>
      <c r="I25" s="157"/>
    </row>
    <row r="26" spans="1:9" ht="15.75" x14ac:dyDescent="0.25">
      <c r="A26" s="19"/>
      <c r="B26" s="165">
        <f>DATE(23,11,1)</f>
        <v>8706</v>
      </c>
      <c r="C26" s="226">
        <v>62962072.119999997</v>
      </c>
      <c r="D26" s="226">
        <v>6219601.8899999997</v>
      </c>
      <c r="E26" s="226">
        <v>6317939.5599999996</v>
      </c>
      <c r="F26" s="166">
        <f t="shared" si="3"/>
        <v>-1.5564832342270766E-2</v>
      </c>
      <c r="G26" s="241">
        <f t="shared" si="4"/>
        <v>9.8783310024263535E-2</v>
      </c>
      <c r="H26" s="242">
        <f t="shared" si="5"/>
        <v>0.90121668997573645</v>
      </c>
      <c r="I26" s="157"/>
    </row>
    <row r="27" spans="1:9" ht="15.75" x14ac:dyDescent="0.25">
      <c r="A27" s="19"/>
      <c r="B27" s="165">
        <f>DATE(23,12,1)</f>
        <v>8736</v>
      </c>
      <c r="C27" s="226">
        <v>71324672.930000007</v>
      </c>
      <c r="D27" s="226">
        <v>7129561.0199999996</v>
      </c>
      <c r="E27" s="226">
        <v>6662914.5199999996</v>
      </c>
      <c r="F27" s="166">
        <f t="shared" si="3"/>
        <v>7.003639302279388E-2</v>
      </c>
      <c r="G27" s="241">
        <f t="shared" si="4"/>
        <v>9.9959252908136662E-2</v>
      </c>
      <c r="H27" s="242">
        <f t="shared" si="5"/>
        <v>0.90004074709186332</v>
      </c>
      <c r="I27" s="157"/>
    </row>
    <row r="28" spans="1:9" ht="15.75" x14ac:dyDescent="0.25">
      <c r="A28" s="19"/>
      <c r="B28" s="165">
        <f>DATE(24,1,1)</f>
        <v>8767</v>
      </c>
      <c r="C28" s="226">
        <v>54725892.43</v>
      </c>
      <c r="D28" s="226">
        <v>5384241.8899999997</v>
      </c>
      <c r="E28" s="226">
        <v>6582615.0199999996</v>
      </c>
      <c r="F28" s="166">
        <f>(+D28-E28)/E28</f>
        <v>-0.18205122528948989</v>
      </c>
      <c r="G28" s="241">
        <f>D28/C28</f>
        <v>9.8385638879932277E-2</v>
      </c>
      <c r="H28" s="242">
        <f t="shared" si="5"/>
        <v>0.90161436112006776</v>
      </c>
      <c r="I28" s="157"/>
    </row>
    <row r="29" spans="1:9" ht="15.75" x14ac:dyDescent="0.25">
      <c r="A29" s="19"/>
      <c r="B29" s="165">
        <f>DATE(24,2,1)</f>
        <v>8798</v>
      </c>
      <c r="C29" s="226">
        <v>63979010.030000001</v>
      </c>
      <c r="D29" s="226">
        <v>6556548.7999999998</v>
      </c>
      <c r="E29" s="226">
        <v>7086159.2699999996</v>
      </c>
      <c r="F29" s="166">
        <f>(+D29-E29)/E29</f>
        <v>-7.4738719498185904E-2</v>
      </c>
      <c r="G29" s="241">
        <f>D29/C29</f>
        <v>0.10247968508618076</v>
      </c>
      <c r="H29" s="242">
        <f>1-G29</f>
        <v>0.89752031491381923</v>
      </c>
      <c r="I29" s="157"/>
    </row>
    <row r="30" spans="1:9" ht="15.75" x14ac:dyDescent="0.25">
      <c r="A30" s="19"/>
      <c r="B30" s="165">
        <f>DATE(24,3,1)</f>
        <v>8827</v>
      </c>
      <c r="C30" s="226">
        <v>74593888.549999997</v>
      </c>
      <c r="D30" s="226">
        <v>7259272.6699999999</v>
      </c>
      <c r="E30" s="226">
        <v>7680727.1699999999</v>
      </c>
      <c r="F30" s="166">
        <f>(+D30-E30)/E30</f>
        <v>-5.4871692571785494E-2</v>
      </c>
      <c r="G30" s="241">
        <f>D30/C30</f>
        <v>9.7317257634774432E-2</v>
      </c>
      <c r="H30" s="242">
        <f>1-G30</f>
        <v>0.90268274236522561</v>
      </c>
      <c r="I30" s="157"/>
    </row>
    <row r="31" spans="1:9" ht="15.75" thickBot="1" x14ac:dyDescent="0.25">
      <c r="A31" s="167"/>
      <c r="B31" s="165"/>
      <c r="C31" s="226"/>
      <c r="D31" s="226"/>
      <c r="E31" s="226"/>
      <c r="F31" s="166"/>
      <c r="G31" s="241"/>
      <c r="H31" s="242"/>
      <c r="I31" s="157"/>
    </row>
    <row r="32" spans="1:9" ht="17.25" thickTop="1" thickBot="1" x14ac:dyDescent="0.3">
      <c r="A32" s="169" t="s">
        <v>14</v>
      </c>
      <c r="B32" s="155"/>
      <c r="C32" s="223">
        <f>SUM(C22:C31)</f>
        <v>603898591.83999991</v>
      </c>
      <c r="D32" s="223">
        <f>SUM(D22:D31)</f>
        <v>59896579.179999992</v>
      </c>
      <c r="E32" s="223">
        <f>SUM(E22:E31)</f>
        <v>62765394.159999996</v>
      </c>
      <c r="F32" s="170">
        <f>(+D32-E32)/E32</f>
        <v>-4.5706953941640066E-2</v>
      </c>
      <c r="G32" s="236">
        <f>D32/C32</f>
        <v>9.9183174111241029E-2</v>
      </c>
      <c r="H32" s="237">
        <f>1-G32</f>
        <v>0.900816825888759</v>
      </c>
      <c r="I32" s="157"/>
    </row>
    <row r="33" spans="1:9" ht="15.75" thickTop="1" x14ac:dyDescent="0.2">
      <c r="A33" s="171"/>
      <c r="B33" s="172"/>
      <c r="C33" s="227"/>
      <c r="D33" s="227"/>
      <c r="E33" s="227"/>
      <c r="F33" s="173"/>
      <c r="G33" s="243"/>
      <c r="H33" s="244"/>
      <c r="I33" s="157"/>
    </row>
    <row r="34" spans="1:9" ht="15.75" x14ac:dyDescent="0.25">
      <c r="A34" s="19" t="s">
        <v>62</v>
      </c>
      <c r="B34" s="165">
        <f>DATE(23,7,1)</f>
        <v>8583</v>
      </c>
      <c r="C34" s="226">
        <v>37126873.899999999</v>
      </c>
      <c r="D34" s="226">
        <v>3728602.99</v>
      </c>
      <c r="E34" s="226">
        <v>3537425.2</v>
      </c>
      <c r="F34" s="166">
        <f t="shared" ref="F34:F39" si="6">(+D34-E34)/E34</f>
        <v>5.4044334280199065E-2</v>
      </c>
      <c r="G34" s="241">
        <f t="shared" ref="G34:G39" si="7">D34/C34</f>
        <v>0.10042868139242933</v>
      </c>
      <c r="H34" s="242">
        <f t="shared" ref="H34:H40" si="8">1-G34</f>
        <v>0.89957131860757067</v>
      </c>
      <c r="I34" s="157"/>
    </row>
    <row r="35" spans="1:9" ht="15.75" x14ac:dyDescent="0.25">
      <c r="A35" s="19"/>
      <c r="B35" s="165">
        <f>DATE(23,8,1)</f>
        <v>8614</v>
      </c>
      <c r="C35" s="226">
        <v>33173547.440000001</v>
      </c>
      <c r="D35" s="226">
        <v>3492885.71</v>
      </c>
      <c r="E35" s="226">
        <v>3224518.01</v>
      </c>
      <c r="F35" s="166">
        <f t="shared" si="6"/>
        <v>8.3227229361947402E-2</v>
      </c>
      <c r="G35" s="241">
        <f t="shared" si="7"/>
        <v>0.10529129320032708</v>
      </c>
      <c r="H35" s="242">
        <f t="shared" si="8"/>
        <v>0.89470870679967296</v>
      </c>
      <c r="I35" s="157"/>
    </row>
    <row r="36" spans="1:9" ht="15.75" x14ac:dyDescent="0.25">
      <c r="A36" s="19"/>
      <c r="B36" s="165">
        <f>DATE(23,9,1)</f>
        <v>8645</v>
      </c>
      <c r="C36" s="226">
        <v>34343922.799999997</v>
      </c>
      <c r="D36" s="226">
        <v>3669671.06</v>
      </c>
      <c r="E36" s="226">
        <v>3285954.25</v>
      </c>
      <c r="F36" s="166">
        <f t="shared" si="6"/>
        <v>0.11677484858469958</v>
      </c>
      <c r="G36" s="241">
        <f t="shared" si="7"/>
        <v>0.10685066704144817</v>
      </c>
      <c r="H36" s="242">
        <f t="shared" si="8"/>
        <v>0.89314933295855181</v>
      </c>
      <c r="I36" s="157"/>
    </row>
    <row r="37" spans="1:9" ht="15.75" x14ac:dyDescent="0.25">
      <c r="A37" s="19"/>
      <c r="B37" s="165">
        <f>DATE(23,10,1)</f>
        <v>8675</v>
      </c>
      <c r="C37" s="226">
        <v>31007658.719999999</v>
      </c>
      <c r="D37" s="226">
        <v>3409284.9</v>
      </c>
      <c r="E37" s="226">
        <v>3155435.74</v>
      </c>
      <c r="F37" s="166">
        <f t="shared" si="6"/>
        <v>8.0448210933935754E-2</v>
      </c>
      <c r="G37" s="241">
        <f t="shared" si="7"/>
        <v>0.10994976856479025</v>
      </c>
      <c r="H37" s="242">
        <f t="shared" si="8"/>
        <v>0.89005023143520978</v>
      </c>
      <c r="I37" s="157"/>
    </row>
    <row r="38" spans="1:9" ht="15.75" x14ac:dyDescent="0.25">
      <c r="A38" s="19"/>
      <c r="B38" s="165">
        <f>DATE(23,11,1)</f>
        <v>8706</v>
      </c>
      <c r="C38" s="226">
        <v>31665455.82</v>
      </c>
      <c r="D38" s="226">
        <v>3279489.54</v>
      </c>
      <c r="E38" s="226">
        <v>2805588.39</v>
      </c>
      <c r="F38" s="166">
        <f t="shared" si="6"/>
        <v>0.16891328453209056</v>
      </c>
      <c r="G38" s="241">
        <f t="shared" si="7"/>
        <v>0.10356678768946267</v>
      </c>
      <c r="H38" s="242">
        <f t="shared" si="8"/>
        <v>0.8964332123105373</v>
      </c>
      <c r="I38" s="157"/>
    </row>
    <row r="39" spans="1:9" ht="15.75" x14ac:dyDescent="0.25">
      <c r="A39" s="19"/>
      <c r="B39" s="165">
        <f>DATE(23,12,1)</f>
        <v>8736</v>
      </c>
      <c r="C39" s="226">
        <v>34846745.240000002</v>
      </c>
      <c r="D39" s="226">
        <v>3745372.22</v>
      </c>
      <c r="E39" s="226">
        <v>2840105.54</v>
      </c>
      <c r="F39" s="166">
        <f t="shared" si="6"/>
        <v>0.31874402808284374</v>
      </c>
      <c r="G39" s="241">
        <f t="shared" si="7"/>
        <v>0.10748126386566369</v>
      </c>
      <c r="H39" s="242">
        <f t="shared" si="8"/>
        <v>0.8925187361343363</v>
      </c>
      <c r="I39" s="157"/>
    </row>
    <row r="40" spans="1:9" ht="15.75" x14ac:dyDescent="0.25">
      <c r="A40" s="19"/>
      <c r="B40" s="165">
        <f>DATE(24,1,1)</f>
        <v>8767</v>
      </c>
      <c r="C40" s="226">
        <v>28973333.780000001</v>
      </c>
      <c r="D40" s="226">
        <v>3017306.94</v>
      </c>
      <c r="E40" s="226">
        <v>3252604.7</v>
      </c>
      <c r="F40" s="166">
        <f>(+D40-E40)/E40</f>
        <v>-7.2341333086064913E-2</v>
      </c>
      <c r="G40" s="241">
        <f>D40/C40</f>
        <v>0.10414082697251831</v>
      </c>
      <c r="H40" s="242">
        <f t="shared" si="8"/>
        <v>0.89585917302748164</v>
      </c>
      <c r="I40" s="157"/>
    </row>
    <row r="41" spans="1:9" ht="15.75" x14ac:dyDescent="0.25">
      <c r="A41" s="19"/>
      <c r="B41" s="165">
        <f>DATE(24,2,1)</f>
        <v>8798</v>
      </c>
      <c r="C41" s="226">
        <v>37865377.18</v>
      </c>
      <c r="D41" s="226">
        <v>3818039.93</v>
      </c>
      <c r="E41" s="226">
        <v>3649257.42</v>
      </c>
      <c r="F41" s="166">
        <f>(+D41-E41)/E41</f>
        <v>4.6251193208507679E-2</v>
      </c>
      <c r="G41" s="241">
        <f>D41/C41</f>
        <v>0.10083195294345673</v>
      </c>
      <c r="H41" s="242">
        <f>1-G41</f>
        <v>0.8991680470565433</v>
      </c>
      <c r="I41" s="157"/>
    </row>
    <row r="42" spans="1:9" ht="15.75" x14ac:dyDescent="0.25">
      <c r="A42" s="19"/>
      <c r="B42" s="165">
        <f>DATE(24,3,1)</f>
        <v>8827</v>
      </c>
      <c r="C42" s="226">
        <v>41736329.229999997</v>
      </c>
      <c r="D42" s="226">
        <v>4397667.5599999996</v>
      </c>
      <c r="E42" s="226">
        <v>4184272.39</v>
      </c>
      <c r="F42" s="166">
        <f>(+D42-E42)/E42</f>
        <v>5.0999349495026408E-2</v>
      </c>
      <c r="G42" s="241">
        <f>D42/C42</f>
        <v>0.1053678567601236</v>
      </c>
      <c r="H42" s="242">
        <f>1-G42</f>
        <v>0.89463214323987639</v>
      </c>
      <c r="I42" s="157"/>
    </row>
    <row r="43" spans="1:9" ht="15.75" thickBot="1" x14ac:dyDescent="0.25">
      <c r="A43" s="167"/>
      <c r="B43" s="165"/>
      <c r="C43" s="226"/>
      <c r="D43" s="226"/>
      <c r="E43" s="226"/>
      <c r="F43" s="166"/>
      <c r="G43" s="241"/>
      <c r="H43" s="242"/>
      <c r="I43" s="157"/>
    </row>
    <row r="44" spans="1:9" ht="17.25" thickTop="1" thickBot="1" x14ac:dyDescent="0.3">
      <c r="A44" s="174" t="s">
        <v>14</v>
      </c>
      <c r="B44" s="175"/>
      <c r="C44" s="228">
        <f>SUM(C34:C43)</f>
        <v>310739244.11000001</v>
      </c>
      <c r="D44" s="228">
        <f>SUM(D34:D43)</f>
        <v>32558320.849999998</v>
      </c>
      <c r="E44" s="228">
        <f>SUM(E34:E43)</f>
        <v>29935161.640000001</v>
      </c>
      <c r="F44" s="176">
        <f>(+D44-E44)/E44</f>
        <v>8.7628028922846241E-2</v>
      </c>
      <c r="G44" s="245">
        <f>D44/C44</f>
        <v>0.10477698413424257</v>
      </c>
      <c r="H44" s="246">
        <f>1-G44</f>
        <v>0.89522301586575748</v>
      </c>
      <c r="I44" s="157"/>
    </row>
    <row r="45" spans="1:9" ht="15.75" thickTop="1" x14ac:dyDescent="0.2">
      <c r="A45" s="167"/>
      <c r="B45" s="168"/>
      <c r="C45" s="226"/>
      <c r="D45" s="226"/>
      <c r="E45" s="226"/>
      <c r="F45" s="166"/>
      <c r="G45" s="241"/>
      <c r="H45" s="242"/>
      <c r="I45" s="157"/>
    </row>
    <row r="46" spans="1:9" ht="15.75" x14ac:dyDescent="0.25">
      <c r="A46" s="177" t="s">
        <v>58</v>
      </c>
      <c r="B46" s="165">
        <f>DATE(23,7,1)</f>
        <v>8583</v>
      </c>
      <c r="C46" s="226">
        <v>203652069.36000001</v>
      </c>
      <c r="D46" s="226">
        <v>18456668.579999998</v>
      </c>
      <c r="E46" s="226">
        <v>17880290.199999999</v>
      </c>
      <c r="F46" s="166">
        <f t="shared" ref="F46:F51" si="9">(+D46-E46)/E46</f>
        <v>3.2235404098754444E-2</v>
      </c>
      <c r="G46" s="241">
        <f t="shared" ref="G46:G51" si="10">D46/C46</f>
        <v>9.0628436224597153E-2</v>
      </c>
      <c r="H46" s="242">
        <f t="shared" ref="H46:H52" si="11">1-G46</f>
        <v>0.90937156377540285</v>
      </c>
      <c r="I46" s="157"/>
    </row>
    <row r="47" spans="1:9" ht="15.75" x14ac:dyDescent="0.25">
      <c r="A47" s="177"/>
      <c r="B47" s="165">
        <f>DATE(23,8,1)</f>
        <v>8614</v>
      </c>
      <c r="C47" s="226">
        <v>191968973.33000001</v>
      </c>
      <c r="D47" s="226">
        <v>17397451.300000001</v>
      </c>
      <c r="E47" s="226">
        <v>17060867.379999999</v>
      </c>
      <c r="F47" s="166">
        <f t="shared" si="9"/>
        <v>1.9728417817406526E-2</v>
      </c>
      <c r="G47" s="241">
        <f t="shared" si="10"/>
        <v>9.0626370492138314E-2</v>
      </c>
      <c r="H47" s="242">
        <f t="shared" si="11"/>
        <v>0.90937362950786171</v>
      </c>
      <c r="I47" s="157"/>
    </row>
    <row r="48" spans="1:9" ht="15.75" x14ac:dyDescent="0.25">
      <c r="A48" s="177"/>
      <c r="B48" s="165">
        <f>DATE(23,9,1)</f>
        <v>8645</v>
      </c>
      <c r="C48" s="226">
        <v>188961524.24000001</v>
      </c>
      <c r="D48" s="226">
        <v>17402399.579999998</v>
      </c>
      <c r="E48" s="226">
        <v>17061917.539999999</v>
      </c>
      <c r="F48" s="166">
        <f t="shared" si="9"/>
        <v>1.9955672579109133E-2</v>
      </c>
      <c r="G48" s="241">
        <f t="shared" si="10"/>
        <v>9.2094936522089083E-2</v>
      </c>
      <c r="H48" s="242">
        <f t="shared" si="11"/>
        <v>0.90790506347791089</v>
      </c>
      <c r="I48" s="157"/>
    </row>
    <row r="49" spans="1:9" ht="15.75" x14ac:dyDescent="0.25">
      <c r="A49" s="177"/>
      <c r="B49" s="165">
        <f>DATE(23,10,1)</f>
        <v>8675</v>
      </c>
      <c r="C49" s="226">
        <v>184357310.63</v>
      </c>
      <c r="D49" s="226">
        <v>16475993.380000001</v>
      </c>
      <c r="E49" s="226">
        <v>16341780.85</v>
      </c>
      <c r="F49" s="166">
        <f t="shared" si="9"/>
        <v>8.2128460314042934E-3</v>
      </c>
      <c r="G49" s="241">
        <f t="shared" si="10"/>
        <v>8.9369894384426454E-2</v>
      </c>
      <c r="H49" s="242">
        <f t="shared" si="11"/>
        <v>0.91063010561557356</v>
      </c>
      <c r="I49" s="157"/>
    </row>
    <row r="50" spans="1:9" ht="15.75" x14ac:dyDescent="0.25">
      <c r="A50" s="177"/>
      <c r="B50" s="165">
        <f>DATE(23,11,1)</f>
        <v>8706</v>
      </c>
      <c r="C50" s="226">
        <v>183237380.37</v>
      </c>
      <c r="D50" s="226">
        <v>16419604.9</v>
      </c>
      <c r="E50" s="226">
        <v>14923708.42</v>
      </c>
      <c r="F50" s="166">
        <f t="shared" si="9"/>
        <v>0.10023624409568842</v>
      </c>
      <c r="G50" s="241">
        <f t="shared" si="10"/>
        <v>8.9608380488985923E-2</v>
      </c>
      <c r="H50" s="242">
        <f t="shared" si="11"/>
        <v>0.91039161951101411</v>
      </c>
      <c r="I50" s="157"/>
    </row>
    <row r="51" spans="1:9" ht="15.75" x14ac:dyDescent="0.25">
      <c r="A51" s="177"/>
      <c r="B51" s="165">
        <f>DATE(23,12,1)</f>
        <v>8736</v>
      </c>
      <c r="C51" s="226">
        <v>197745355.72</v>
      </c>
      <c r="D51" s="226">
        <v>18063260.059999999</v>
      </c>
      <c r="E51" s="226">
        <v>16991042.620000001</v>
      </c>
      <c r="F51" s="166">
        <f t="shared" si="9"/>
        <v>6.3104864367646299E-2</v>
      </c>
      <c r="G51" s="241">
        <f t="shared" si="10"/>
        <v>9.134606471151159E-2</v>
      </c>
      <c r="H51" s="242">
        <f t="shared" si="11"/>
        <v>0.90865393528848837</v>
      </c>
      <c r="I51" s="157"/>
    </row>
    <row r="52" spans="1:9" ht="15.75" x14ac:dyDescent="0.25">
      <c r="A52" s="177"/>
      <c r="B52" s="165">
        <f>DATE(24,1,1)</f>
        <v>8767</v>
      </c>
      <c r="C52" s="226">
        <v>168370808.71000001</v>
      </c>
      <c r="D52" s="226">
        <v>15246319.380000001</v>
      </c>
      <c r="E52" s="226">
        <v>15916443.26</v>
      </c>
      <c r="F52" s="166">
        <f>(+D52-E52)/E52</f>
        <v>-4.2102614827528931E-2</v>
      </c>
      <c r="G52" s="241">
        <f>D52/C52</f>
        <v>9.0552035099267653E-2</v>
      </c>
      <c r="H52" s="242">
        <f t="shared" si="11"/>
        <v>0.90944796490073232</v>
      </c>
      <c r="I52" s="157"/>
    </row>
    <row r="53" spans="1:9" ht="15.75" x14ac:dyDescent="0.25">
      <c r="A53" s="177"/>
      <c r="B53" s="165">
        <f>DATE(24,2,1)</f>
        <v>8798</v>
      </c>
      <c r="C53" s="226">
        <v>190047245.02000001</v>
      </c>
      <c r="D53" s="226">
        <v>17151647.350000001</v>
      </c>
      <c r="E53" s="226">
        <v>16968749.350000001</v>
      </c>
      <c r="F53" s="166">
        <f>(+D53-E53)/E53</f>
        <v>1.0778519749895415E-2</v>
      </c>
      <c r="G53" s="241">
        <f>D53/C53</f>
        <v>9.024938692584053E-2</v>
      </c>
      <c r="H53" s="242">
        <f>1-G53</f>
        <v>0.9097506130741595</v>
      </c>
      <c r="I53" s="157"/>
    </row>
    <row r="54" spans="1:9" ht="15.75" x14ac:dyDescent="0.25">
      <c r="A54" s="177"/>
      <c r="B54" s="165">
        <f>DATE(24,3,1)</f>
        <v>8827</v>
      </c>
      <c r="C54" s="226">
        <v>207231450.55000001</v>
      </c>
      <c r="D54" s="226">
        <v>18487106.280000001</v>
      </c>
      <c r="E54" s="226">
        <v>19124762.489999998</v>
      </c>
      <c r="F54" s="166">
        <f>(+D54-E54)/E54</f>
        <v>-3.3341915243831989E-2</v>
      </c>
      <c r="G54" s="241">
        <f>D54/C54</f>
        <v>8.9209944875329156E-2</v>
      </c>
      <c r="H54" s="242">
        <f>1-G54</f>
        <v>0.91079005512467082</v>
      </c>
      <c r="I54" s="157"/>
    </row>
    <row r="55" spans="1:9" ht="15.75" thickBot="1" x14ac:dyDescent="0.25">
      <c r="A55" s="167"/>
      <c r="B55" s="168"/>
      <c r="C55" s="226"/>
      <c r="D55" s="226"/>
      <c r="E55" s="226"/>
      <c r="F55" s="166"/>
      <c r="G55" s="241"/>
      <c r="H55" s="242"/>
      <c r="I55" s="157"/>
    </row>
    <row r="56" spans="1:9" ht="17.25" thickTop="1" thickBot="1" x14ac:dyDescent="0.3">
      <c r="A56" s="174" t="s">
        <v>14</v>
      </c>
      <c r="B56" s="178"/>
      <c r="C56" s="228">
        <f>SUM(C46:C55)</f>
        <v>1715572117.9300001</v>
      </c>
      <c r="D56" s="228">
        <f>SUM(D46:D55)</f>
        <v>155100450.81</v>
      </c>
      <c r="E56" s="228">
        <f>SUM(E46:E55)</f>
        <v>152269562.11000001</v>
      </c>
      <c r="F56" s="176">
        <f>(+D56-E56)/E56</f>
        <v>1.8591297307041215E-2</v>
      </c>
      <c r="G56" s="245">
        <f>D56/C56</f>
        <v>9.0407421051551806E-2</v>
      </c>
      <c r="H56" s="246">
        <f>1-G56</f>
        <v>0.90959257894844825</v>
      </c>
      <c r="I56" s="157"/>
    </row>
    <row r="57" spans="1:9" ht="15.75" thickTop="1" x14ac:dyDescent="0.2">
      <c r="A57" s="167"/>
      <c r="B57" s="168"/>
      <c r="C57" s="226"/>
      <c r="D57" s="226"/>
      <c r="E57" s="226"/>
      <c r="F57" s="166"/>
      <c r="G57" s="241"/>
      <c r="H57" s="242"/>
      <c r="I57" s="157"/>
    </row>
    <row r="58" spans="1:9" ht="15.75" x14ac:dyDescent="0.25">
      <c r="A58" s="164" t="s">
        <v>60</v>
      </c>
      <c r="B58" s="165">
        <f>DATE(23,7,1)</f>
        <v>8583</v>
      </c>
      <c r="C58" s="226">
        <v>121881486.05</v>
      </c>
      <c r="D58" s="226">
        <v>12067335.59</v>
      </c>
      <c r="E58" s="226">
        <v>11877741.560000001</v>
      </c>
      <c r="F58" s="166">
        <f t="shared" ref="F58:F63" si="12">(+D58-E58)/E58</f>
        <v>1.5962127904725964E-2</v>
      </c>
      <c r="G58" s="241">
        <f t="shared" ref="G58:G63" si="13">D58/C58</f>
        <v>9.9008766475406795E-2</v>
      </c>
      <c r="H58" s="242">
        <f t="shared" ref="H58:H64" si="14">1-G58</f>
        <v>0.9009912335245932</v>
      </c>
      <c r="I58" s="157"/>
    </row>
    <row r="59" spans="1:9" ht="15.75" x14ac:dyDescent="0.25">
      <c r="A59" s="164"/>
      <c r="B59" s="165">
        <f>DATE(23,8,1)</f>
        <v>8614</v>
      </c>
      <c r="C59" s="226">
        <v>115554383.93000001</v>
      </c>
      <c r="D59" s="226">
        <v>10973674.99</v>
      </c>
      <c r="E59" s="226">
        <v>11399779.33</v>
      </c>
      <c r="F59" s="166">
        <f t="shared" si="12"/>
        <v>-3.7378297216565493E-2</v>
      </c>
      <c r="G59" s="241">
        <f t="shared" si="13"/>
        <v>9.4965457966939462E-2</v>
      </c>
      <c r="H59" s="242">
        <f t="shared" si="14"/>
        <v>0.90503454203306055</v>
      </c>
      <c r="I59" s="157"/>
    </row>
    <row r="60" spans="1:9" ht="15.75" x14ac:dyDescent="0.25">
      <c r="A60" s="164"/>
      <c r="B60" s="165">
        <f>DATE(23,9,1)</f>
        <v>8645</v>
      </c>
      <c r="C60" s="226">
        <v>112575369.23999999</v>
      </c>
      <c r="D60" s="226">
        <v>10801103.67</v>
      </c>
      <c r="E60" s="226">
        <v>10069352.810000001</v>
      </c>
      <c r="F60" s="166">
        <f t="shared" si="12"/>
        <v>7.2671091559458362E-2</v>
      </c>
      <c r="G60" s="241">
        <f t="shared" si="13"/>
        <v>9.5945531806101145E-2</v>
      </c>
      <c r="H60" s="242">
        <f t="shared" si="14"/>
        <v>0.9040544681938989</v>
      </c>
      <c r="I60" s="157"/>
    </row>
    <row r="61" spans="1:9" ht="15.75" x14ac:dyDescent="0.25">
      <c r="A61" s="164"/>
      <c r="B61" s="165">
        <f>DATE(23,10,1)</f>
        <v>8675</v>
      </c>
      <c r="C61" s="226">
        <v>105123042.13</v>
      </c>
      <c r="D61" s="226">
        <v>10564246.92</v>
      </c>
      <c r="E61" s="226">
        <v>10695374.6</v>
      </c>
      <c r="F61" s="166">
        <f t="shared" si="12"/>
        <v>-1.2260223218362048E-2</v>
      </c>
      <c r="G61" s="241">
        <f t="shared" si="13"/>
        <v>0.10049411343077158</v>
      </c>
      <c r="H61" s="242">
        <f t="shared" si="14"/>
        <v>0.89950588656922847</v>
      </c>
      <c r="I61" s="157"/>
    </row>
    <row r="62" spans="1:9" ht="15.75" x14ac:dyDescent="0.25">
      <c r="A62" s="164"/>
      <c r="B62" s="165">
        <f>DATE(23,11,1)</f>
        <v>8706</v>
      </c>
      <c r="C62" s="226">
        <v>100178994.58</v>
      </c>
      <c r="D62" s="226">
        <v>9910289.5700000003</v>
      </c>
      <c r="E62" s="226">
        <v>10611649.119999999</v>
      </c>
      <c r="F62" s="166">
        <f t="shared" si="12"/>
        <v>-6.6093360425773198E-2</v>
      </c>
      <c r="G62" s="241">
        <f t="shared" si="13"/>
        <v>9.8925823837111224E-2</v>
      </c>
      <c r="H62" s="242">
        <f t="shared" si="14"/>
        <v>0.90107417616288876</v>
      </c>
      <c r="I62" s="157"/>
    </row>
    <row r="63" spans="1:9" ht="15.75" x14ac:dyDescent="0.25">
      <c r="A63" s="164"/>
      <c r="B63" s="165">
        <f>DATE(23,12,1)</f>
        <v>8736</v>
      </c>
      <c r="C63" s="226">
        <v>122205739.61</v>
      </c>
      <c r="D63" s="226">
        <v>11817185.1</v>
      </c>
      <c r="E63" s="226">
        <v>11067872.5</v>
      </c>
      <c r="F63" s="166">
        <f t="shared" si="12"/>
        <v>6.7701593056840842E-2</v>
      </c>
      <c r="G63" s="241">
        <f t="shared" si="13"/>
        <v>9.6699100530896906E-2</v>
      </c>
      <c r="H63" s="242">
        <f t="shared" si="14"/>
        <v>0.90330089946910308</v>
      </c>
      <c r="I63" s="157"/>
    </row>
    <row r="64" spans="1:9" ht="15.75" x14ac:dyDescent="0.25">
      <c r="A64" s="164"/>
      <c r="B64" s="165">
        <f>DATE(24,1,1)</f>
        <v>8767</v>
      </c>
      <c r="C64" s="226">
        <v>90178722.310000002</v>
      </c>
      <c r="D64" s="226">
        <v>8636364.1500000004</v>
      </c>
      <c r="E64" s="226">
        <v>10685663.300000001</v>
      </c>
      <c r="F64" s="166">
        <f>(+D64-E64)/E64</f>
        <v>-0.1917802472776772</v>
      </c>
      <c r="G64" s="241">
        <f>D64/C64</f>
        <v>9.576942241775703E-2</v>
      </c>
      <c r="H64" s="242">
        <f t="shared" si="14"/>
        <v>0.90423057758224301</v>
      </c>
      <c r="I64" s="157"/>
    </row>
    <row r="65" spans="1:9" ht="15.75" x14ac:dyDescent="0.25">
      <c r="A65" s="164"/>
      <c r="B65" s="165">
        <f>DATE(24,2,1)</f>
        <v>8798</v>
      </c>
      <c r="C65" s="226">
        <v>106593420.09</v>
      </c>
      <c r="D65" s="226">
        <v>10543506.25</v>
      </c>
      <c r="E65" s="226">
        <v>10567662.619999999</v>
      </c>
      <c r="F65" s="166">
        <f>(+D65-E65)/E65</f>
        <v>-2.2858763445269019E-3</v>
      </c>
      <c r="G65" s="241">
        <f>D65/C65</f>
        <v>9.8913293532544536E-2</v>
      </c>
      <c r="H65" s="242">
        <f>1-G65</f>
        <v>0.90108670646745548</v>
      </c>
      <c r="I65" s="157"/>
    </row>
    <row r="66" spans="1:9" ht="15.75" x14ac:dyDescent="0.25">
      <c r="A66" s="164"/>
      <c r="B66" s="165">
        <f>DATE(24,3,1)</f>
        <v>8827</v>
      </c>
      <c r="C66" s="226">
        <v>124177415.75</v>
      </c>
      <c r="D66" s="226">
        <v>12150632.48</v>
      </c>
      <c r="E66" s="226">
        <v>12565055.32</v>
      </c>
      <c r="F66" s="166">
        <f>(+D66-E66)/E66</f>
        <v>-3.2982173929656827E-2</v>
      </c>
      <c r="G66" s="241">
        <f>D66/C66</f>
        <v>9.7848972026139139E-2</v>
      </c>
      <c r="H66" s="242">
        <f>1-G66</f>
        <v>0.90215102797386082</v>
      </c>
      <c r="I66" s="157"/>
    </row>
    <row r="67" spans="1:9" ht="15.75" thickBot="1" x14ac:dyDescent="0.25">
      <c r="A67" s="167"/>
      <c r="B67" s="165"/>
      <c r="C67" s="226"/>
      <c r="D67" s="226"/>
      <c r="E67" s="226"/>
      <c r="F67" s="166"/>
      <c r="G67" s="241"/>
      <c r="H67" s="242"/>
      <c r="I67" s="157"/>
    </row>
    <row r="68" spans="1:9" ht="17.25" thickTop="1" thickBot="1" x14ac:dyDescent="0.3">
      <c r="A68" s="174" t="s">
        <v>14</v>
      </c>
      <c r="B68" s="175"/>
      <c r="C68" s="228">
        <f>SUM(C58:C67)</f>
        <v>998468573.69000018</v>
      </c>
      <c r="D68" s="230">
        <f>SUM(D58:D67)</f>
        <v>97464338.720000014</v>
      </c>
      <c r="E68" s="271">
        <f>SUM(E58:E67)</f>
        <v>99540151.159999996</v>
      </c>
      <c r="F68" s="272">
        <f>(+D68-E68)/E68</f>
        <v>-2.0854021375387902E-2</v>
      </c>
      <c r="G68" s="249">
        <f>D68/C68</f>
        <v>9.7613827103045392E-2</v>
      </c>
      <c r="H68" s="270">
        <f>1-G68</f>
        <v>0.90238617289695466</v>
      </c>
      <c r="I68" s="157"/>
    </row>
    <row r="69" spans="1:9" ht="15.75" thickTop="1" x14ac:dyDescent="0.2">
      <c r="A69" s="167"/>
      <c r="B69" s="168"/>
      <c r="C69" s="226"/>
      <c r="D69" s="226"/>
      <c r="E69" s="226"/>
      <c r="F69" s="166"/>
      <c r="G69" s="241"/>
      <c r="H69" s="242"/>
      <c r="I69" s="157"/>
    </row>
    <row r="70" spans="1:9" ht="15.75" x14ac:dyDescent="0.25">
      <c r="A70" s="164" t="s">
        <v>64</v>
      </c>
      <c r="B70" s="165">
        <f>DATE(23,7,1)</f>
        <v>8583</v>
      </c>
      <c r="C70" s="226">
        <v>53239780.990000002</v>
      </c>
      <c r="D70" s="226">
        <v>5575819.8300000001</v>
      </c>
      <c r="E70" s="226">
        <v>5559220.0999999996</v>
      </c>
      <c r="F70" s="166">
        <f t="shared" ref="F70:F75" si="15">(+D70-E70)/E70</f>
        <v>2.9859817926619686E-3</v>
      </c>
      <c r="G70" s="241">
        <f t="shared" ref="G70:G75" si="16">D70/C70</f>
        <v>0.10473032995848167</v>
      </c>
      <c r="H70" s="242">
        <f t="shared" ref="H70:H76" si="17">1-G70</f>
        <v>0.89526967004151836</v>
      </c>
      <c r="I70" s="157"/>
    </row>
    <row r="71" spans="1:9" ht="15.75" x14ac:dyDescent="0.25">
      <c r="A71" s="164"/>
      <c r="B71" s="165">
        <f>DATE(23,8,1)</f>
        <v>8614</v>
      </c>
      <c r="C71" s="226">
        <v>49967048.579999998</v>
      </c>
      <c r="D71" s="226">
        <v>5122977.68</v>
      </c>
      <c r="E71" s="226">
        <v>4834999.09</v>
      </c>
      <c r="F71" s="166">
        <f t="shared" si="15"/>
        <v>5.9561250093223876E-2</v>
      </c>
      <c r="G71" s="241">
        <f t="shared" si="16"/>
        <v>0.10252712188509254</v>
      </c>
      <c r="H71" s="242">
        <f t="shared" si="17"/>
        <v>0.8974728781149075</v>
      </c>
      <c r="I71" s="157"/>
    </row>
    <row r="72" spans="1:9" ht="15.75" x14ac:dyDescent="0.25">
      <c r="A72" s="164"/>
      <c r="B72" s="165">
        <f>DATE(23,9,1)</f>
        <v>8645</v>
      </c>
      <c r="C72" s="226">
        <v>48479872.609999999</v>
      </c>
      <c r="D72" s="226">
        <v>4693957.13</v>
      </c>
      <c r="E72" s="226">
        <v>4841899.8</v>
      </c>
      <c r="F72" s="166">
        <f t="shared" si="15"/>
        <v>-3.0554674014526266E-2</v>
      </c>
      <c r="G72" s="241">
        <f t="shared" si="16"/>
        <v>9.6822802480544715E-2</v>
      </c>
      <c r="H72" s="242">
        <f t="shared" si="17"/>
        <v>0.90317719751945524</v>
      </c>
      <c r="I72" s="157"/>
    </row>
    <row r="73" spans="1:9" ht="15.75" x14ac:dyDescent="0.25">
      <c r="A73" s="164"/>
      <c r="B73" s="165">
        <f>DATE(23,10,1)</f>
        <v>8675</v>
      </c>
      <c r="C73" s="226">
        <v>45241468.390000001</v>
      </c>
      <c r="D73" s="226">
        <v>4687600.6900000004</v>
      </c>
      <c r="E73" s="226">
        <v>4853868.22</v>
      </c>
      <c r="F73" s="166">
        <f t="shared" si="15"/>
        <v>-3.4254644432847689E-2</v>
      </c>
      <c r="G73" s="241">
        <f t="shared" si="16"/>
        <v>0.10361292099520204</v>
      </c>
      <c r="H73" s="242">
        <f t="shared" si="17"/>
        <v>0.89638707900479797</v>
      </c>
      <c r="I73" s="157"/>
    </row>
    <row r="74" spans="1:9" ht="15.75" x14ac:dyDescent="0.25">
      <c r="A74" s="164"/>
      <c r="B74" s="165">
        <f>DATE(23,11,1)</f>
        <v>8706</v>
      </c>
      <c r="C74" s="226">
        <v>44523750.759999998</v>
      </c>
      <c r="D74" s="226">
        <v>4597031.58</v>
      </c>
      <c r="E74" s="226">
        <v>4436643.53</v>
      </c>
      <c r="F74" s="166">
        <f t="shared" si="15"/>
        <v>3.6150763277571642E-2</v>
      </c>
      <c r="G74" s="241">
        <f t="shared" si="16"/>
        <v>0.10324897389664572</v>
      </c>
      <c r="H74" s="242">
        <f t="shared" si="17"/>
        <v>0.89675102610335422</v>
      </c>
      <c r="I74" s="157"/>
    </row>
    <row r="75" spans="1:9" ht="15.75" x14ac:dyDescent="0.25">
      <c r="A75" s="164"/>
      <c r="B75" s="165">
        <f>DATE(23,12,1)</f>
        <v>8736</v>
      </c>
      <c r="C75" s="226">
        <v>52832745.200000003</v>
      </c>
      <c r="D75" s="226">
        <v>5308528.92</v>
      </c>
      <c r="E75" s="226">
        <v>4878718.8099999996</v>
      </c>
      <c r="F75" s="166">
        <f t="shared" si="15"/>
        <v>8.809897162324884E-2</v>
      </c>
      <c r="G75" s="241">
        <f t="shared" si="16"/>
        <v>0.10047800658293259</v>
      </c>
      <c r="H75" s="242">
        <f t="shared" si="17"/>
        <v>0.8995219934170674</v>
      </c>
      <c r="I75" s="157"/>
    </row>
    <row r="76" spans="1:9" ht="15.75" x14ac:dyDescent="0.25">
      <c r="A76" s="164"/>
      <c r="B76" s="165">
        <f>DATE(24,1,1)</f>
        <v>8767</v>
      </c>
      <c r="C76" s="226">
        <v>41233936.259999998</v>
      </c>
      <c r="D76" s="226">
        <v>4172035.59</v>
      </c>
      <c r="E76" s="226">
        <v>4734129.4000000004</v>
      </c>
      <c r="F76" s="166">
        <f>(+D76-E76)/E76</f>
        <v>-0.11873224462347828</v>
      </c>
      <c r="G76" s="241">
        <f>D76/C76</f>
        <v>0.10117965851461012</v>
      </c>
      <c r="H76" s="242">
        <f t="shared" si="17"/>
        <v>0.89882034148538992</v>
      </c>
      <c r="I76" s="157"/>
    </row>
    <row r="77" spans="1:9" ht="15.75" x14ac:dyDescent="0.25">
      <c r="A77" s="164"/>
      <c r="B77" s="165">
        <f>DATE(24,2,1)</f>
        <v>8798</v>
      </c>
      <c r="C77" s="226">
        <v>49754245.509999998</v>
      </c>
      <c r="D77" s="226">
        <v>5059953.28</v>
      </c>
      <c r="E77" s="226">
        <v>5419047.3600000003</v>
      </c>
      <c r="F77" s="166">
        <f>(+D77-E77)/E77</f>
        <v>-6.6265167315312054E-2</v>
      </c>
      <c r="G77" s="241">
        <f>D77/C77</f>
        <v>0.10169892494868626</v>
      </c>
      <c r="H77" s="242">
        <f>1-G77</f>
        <v>0.89830107505131374</v>
      </c>
      <c r="I77" s="157"/>
    </row>
    <row r="78" spans="1:9" ht="15.75" x14ac:dyDescent="0.25">
      <c r="A78" s="164"/>
      <c r="B78" s="165">
        <f>DATE(24,3,1)</f>
        <v>8827</v>
      </c>
      <c r="C78" s="226">
        <v>54987237.240000002</v>
      </c>
      <c r="D78" s="226">
        <v>5806633.5099999998</v>
      </c>
      <c r="E78" s="226">
        <v>5872959.04</v>
      </c>
      <c r="F78" s="166">
        <f>(+D78-E78)/E78</f>
        <v>-1.1293375204605592E-2</v>
      </c>
      <c r="G78" s="241">
        <f>D78/C78</f>
        <v>0.1055996591473778</v>
      </c>
      <c r="H78" s="242">
        <f>1-G78</f>
        <v>0.89440034085262221</v>
      </c>
      <c r="I78" s="157"/>
    </row>
    <row r="79" spans="1:9" ht="15.75" thickBot="1" x14ac:dyDescent="0.25">
      <c r="A79" s="167"/>
      <c r="B79" s="165"/>
      <c r="C79" s="226"/>
      <c r="D79" s="226"/>
      <c r="E79" s="226"/>
      <c r="F79" s="166"/>
      <c r="G79" s="241"/>
      <c r="H79" s="242"/>
      <c r="I79" s="157"/>
    </row>
    <row r="80" spans="1:9" ht="17.25" thickTop="1" thickBot="1" x14ac:dyDescent="0.3">
      <c r="A80" s="174" t="s">
        <v>14</v>
      </c>
      <c r="B80" s="175"/>
      <c r="C80" s="228">
        <f>SUM(C70:C79)</f>
        <v>440260085.53999996</v>
      </c>
      <c r="D80" s="230">
        <f>SUM(D70:D79)</f>
        <v>45024538.210000001</v>
      </c>
      <c r="E80" s="271">
        <f>SUM(E70:E79)</f>
        <v>45431485.349999994</v>
      </c>
      <c r="F80" s="272">
        <f>(+D80-E80)/E80</f>
        <v>-8.9573813593130346E-3</v>
      </c>
      <c r="G80" s="249">
        <f>D80/C80</f>
        <v>0.10226804493252042</v>
      </c>
      <c r="H80" s="270">
        <f>1-G80</f>
        <v>0.8977319550674796</v>
      </c>
      <c r="I80" s="157"/>
    </row>
    <row r="81" spans="1:9" ht="15.75" thickTop="1" x14ac:dyDescent="0.2">
      <c r="A81" s="167"/>
      <c r="B81" s="168"/>
      <c r="C81" s="226"/>
      <c r="D81" s="226"/>
      <c r="E81" s="226"/>
      <c r="F81" s="166"/>
      <c r="G81" s="241"/>
      <c r="H81" s="242"/>
      <c r="I81" s="157"/>
    </row>
    <row r="82" spans="1:9" ht="15.75" x14ac:dyDescent="0.25">
      <c r="A82" s="290" t="s">
        <v>67</v>
      </c>
      <c r="B82" s="165">
        <f>DATE(23,7,1)</f>
        <v>8583</v>
      </c>
      <c r="C82" s="226">
        <v>89298695.370000005</v>
      </c>
      <c r="D82" s="226">
        <v>9977929.8800000008</v>
      </c>
      <c r="E82" s="226">
        <v>9654928.8200000003</v>
      </c>
      <c r="F82" s="166">
        <f t="shared" ref="F82:F87" si="18">(+D82-E82)/E82</f>
        <v>3.3454525250451353E-2</v>
      </c>
      <c r="G82" s="241">
        <f t="shared" ref="G82:G87" si="19">D82/C82</f>
        <v>0.11173656948354586</v>
      </c>
      <c r="H82" s="242">
        <f t="shared" ref="H82:H88" si="20">1-G82</f>
        <v>0.88826343051645418</v>
      </c>
      <c r="I82" s="157"/>
    </row>
    <row r="83" spans="1:9" ht="15.75" x14ac:dyDescent="0.25">
      <c r="A83" s="290"/>
      <c r="B83" s="165">
        <f>DATE(23,8,1)</f>
        <v>8614</v>
      </c>
      <c r="C83" s="226">
        <v>89627706.310000002</v>
      </c>
      <c r="D83" s="226">
        <v>9956028.8800000008</v>
      </c>
      <c r="E83" s="226">
        <v>9270730.9700000007</v>
      </c>
      <c r="F83" s="166">
        <f t="shared" si="18"/>
        <v>7.3920590751432425E-2</v>
      </c>
      <c r="G83" s="241">
        <f t="shared" si="19"/>
        <v>0.11108204471466186</v>
      </c>
      <c r="H83" s="242">
        <f t="shared" si="20"/>
        <v>0.88891795528533812</v>
      </c>
      <c r="I83" s="157"/>
    </row>
    <row r="84" spans="1:9" ht="15.75" x14ac:dyDescent="0.25">
      <c r="A84" s="290"/>
      <c r="B84" s="165">
        <f>DATE(23,9,1)</f>
        <v>8645</v>
      </c>
      <c r="C84" s="226">
        <v>95507709.879999995</v>
      </c>
      <c r="D84" s="226">
        <v>10479555.779999999</v>
      </c>
      <c r="E84" s="226">
        <v>9440089.3000000007</v>
      </c>
      <c r="F84" s="166">
        <f t="shared" si="18"/>
        <v>0.11011193294537992</v>
      </c>
      <c r="G84" s="241">
        <f t="shared" si="19"/>
        <v>0.10972471011153932</v>
      </c>
      <c r="H84" s="242">
        <f t="shared" si="20"/>
        <v>0.89027528988846072</v>
      </c>
      <c r="I84" s="157"/>
    </row>
    <row r="85" spans="1:9" ht="15.75" x14ac:dyDescent="0.25">
      <c r="A85" s="290"/>
      <c r="B85" s="165">
        <f>DATE(23,10,1)</f>
        <v>8675</v>
      </c>
      <c r="C85" s="226">
        <v>94703586.390000001</v>
      </c>
      <c r="D85" s="226">
        <v>10708668.119999999</v>
      </c>
      <c r="E85" s="226">
        <v>9283650.1199999992</v>
      </c>
      <c r="F85" s="166">
        <f t="shared" si="18"/>
        <v>0.15349759863634327</v>
      </c>
      <c r="G85" s="241">
        <f t="shared" si="19"/>
        <v>0.1130756344949863</v>
      </c>
      <c r="H85" s="242">
        <f t="shared" si="20"/>
        <v>0.88692436550501375</v>
      </c>
      <c r="I85" s="157"/>
    </row>
    <row r="86" spans="1:9" ht="15.75" x14ac:dyDescent="0.25">
      <c r="A86" s="290"/>
      <c r="B86" s="165">
        <f>DATE(23,11,1)</f>
        <v>8706</v>
      </c>
      <c r="C86" s="226">
        <v>94033257.400000006</v>
      </c>
      <c r="D86" s="226">
        <v>10522780.289999999</v>
      </c>
      <c r="E86" s="226">
        <v>9336104.8499999996</v>
      </c>
      <c r="F86" s="166">
        <f t="shared" si="18"/>
        <v>0.12710605322732632</v>
      </c>
      <c r="G86" s="241">
        <f t="shared" si="19"/>
        <v>0.11190487898593204</v>
      </c>
      <c r="H86" s="242">
        <f t="shared" si="20"/>
        <v>0.88809512101406796</v>
      </c>
      <c r="I86" s="157"/>
    </row>
    <row r="87" spans="1:9" ht="15.75" x14ac:dyDescent="0.25">
      <c r="A87" s="290"/>
      <c r="B87" s="165">
        <f>DATE(23,12,1)</f>
        <v>8736</v>
      </c>
      <c r="C87" s="226">
        <v>96743255.180000007</v>
      </c>
      <c r="D87" s="226">
        <v>10764645.630000001</v>
      </c>
      <c r="E87" s="226">
        <v>9794618.4299999997</v>
      </c>
      <c r="F87" s="166">
        <f t="shared" si="18"/>
        <v>9.9036752368923175E-2</v>
      </c>
      <c r="G87" s="241">
        <f t="shared" si="19"/>
        <v>0.11127024421466236</v>
      </c>
      <c r="H87" s="242">
        <f t="shared" si="20"/>
        <v>0.88872975578533764</v>
      </c>
      <c r="I87" s="157"/>
    </row>
    <row r="88" spans="1:9" ht="15.75" x14ac:dyDescent="0.25">
      <c r="A88" s="290"/>
      <c r="B88" s="165">
        <f>DATE(24,1,1)</f>
        <v>8767</v>
      </c>
      <c r="C88" s="226">
        <v>76940806.450000003</v>
      </c>
      <c r="D88" s="226">
        <v>8504931.5700000003</v>
      </c>
      <c r="E88" s="226">
        <v>9804638.4499999993</v>
      </c>
      <c r="F88" s="166">
        <f>(+D88-E88)/E88</f>
        <v>-0.13256040869105165</v>
      </c>
      <c r="G88" s="241">
        <f>D88/C88</f>
        <v>0.11053863304028314</v>
      </c>
      <c r="H88" s="242">
        <f t="shared" si="20"/>
        <v>0.88946136695971689</v>
      </c>
      <c r="I88" s="157"/>
    </row>
    <row r="89" spans="1:9" ht="15.75" x14ac:dyDescent="0.25">
      <c r="A89" s="290"/>
      <c r="B89" s="165">
        <f>DATE(24,2,1)</f>
        <v>8798</v>
      </c>
      <c r="C89" s="226">
        <v>88691280.519999996</v>
      </c>
      <c r="D89" s="226">
        <v>10006367.91</v>
      </c>
      <c r="E89" s="226">
        <v>9413288.1199999992</v>
      </c>
      <c r="F89" s="166">
        <f>(+D89-E89)/E89</f>
        <v>6.3004529601076428E-2</v>
      </c>
      <c r="G89" s="241">
        <f>D89/C89</f>
        <v>0.1128224539248089</v>
      </c>
      <c r="H89" s="242">
        <f>1-G89</f>
        <v>0.88717754607519106</v>
      </c>
      <c r="I89" s="157"/>
    </row>
    <row r="90" spans="1:9" ht="15.75" x14ac:dyDescent="0.25">
      <c r="A90" s="290"/>
      <c r="B90" s="165">
        <f>DATE(24,3,1)</f>
        <v>8827</v>
      </c>
      <c r="C90" s="226">
        <v>97221834.390000001</v>
      </c>
      <c r="D90" s="226">
        <v>11055740.75</v>
      </c>
      <c r="E90" s="226">
        <v>10565430.359999999</v>
      </c>
      <c r="F90" s="166">
        <f>(+D90-E90)/E90</f>
        <v>4.6407043848992878E-2</v>
      </c>
      <c r="G90" s="241">
        <f>D90/C90</f>
        <v>0.11371664420206791</v>
      </c>
      <c r="H90" s="242">
        <f>1-G90</f>
        <v>0.88628335579793205</v>
      </c>
      <c r="I90" s="157"/>
    </row>
    <row r="91" spans="1:9" ht="15.75" thickBot="1" x14ac:dyDescent="0.25">
      <c r="A91" s="167"/>
      <c r="B91" s="165"/>
      <c r="C91" s="226"/>
      <c r="D91" s="226"/>
      <c r="E91" s="226"/>
      <c r="F91" s="166"/>
      <c r="G91" s="241"/>
      <c r="H91" s="242"/>
      <c r="I91" s="157"/>
    </row>
    <row r="92" spans="1:9" ht="17.25" thickTop="1" thickBot="1" x14ac:dyDescent="0.3">
      <c r="A92" s="174" t="s">
        <v>14</v>
      </c>
      <c r="B92" s="175"/>
      <c r="C92" s="228">
        <f>SUM(C82:C91)</f>
        <v>822768131.88999999</v>
      </c>
      <c r="D92" s="230">
        <f>SUM(D82:D91)</f>
        <v>91976648.810000002</v>
      </c>
      <c r="E92" s="271">
        <f>SUM(E82:E91)</f>
        <v>86563479.420000002</v>
      </c>
      <c r="F92" s="272">
        <f>(+D92-E92)/E92</f>
        <v>6.2534101289247829E-2</v>
      </c>
      <c r="G92" s="249">
        <f>D92/C92</f>
        <v>0.11178926995959151</v>
      </c>
      <c r="H92" s="270">
        <f>1-G92</f>
        <v>0.88821073004040851</v>
      </c>
      <c r="I92" s="157"/>
    </row>
    <row r="93" spans="1:9" ht="15.75" thickTop="1" x14ac:dyDescent="0.2">
      <c r="A93" s="167"/>
      <c r="B93" s="168"/>
      <c r="C93" s="226"/>
      <c r="D93" s="226"/>
      <c r="E93" s="226"/>
      <c r="F93" s="166"/>
      <c r="G93" s="241"/>
      <c r="H93" s="242"/>
      <c r="I93" s="157"/>
    </row>
    <row r="94" spans="1:9" ht="15.75" x14ac:dyDescent="0.25">
      <c r="A94" s="164" t="s">
        <v>69</v>
      </c>
      <c r="B94" s="165">
        <f>DATE(23,7,1)</f>
        <v>8583</v>
      </c>
      <c r="C94" s="226">
        <v>121213119.26000001</v>
      </c>
      <c r="D94" s="226">
        <v>12329543.52</v>
      </c>
      <c r="E94" s="226">
        <v>11762621.74</v>
      </c>
      <c r="F94" s="166">
        <f t="shared" ref="F94:F99" si="21">(+D94-E94)/E94</f>
        <v>4.8196889480184822E-2</v>
      </c>
      <c r="G94" s="241">
        <f t="shared" ref="G94:G99" si="22">D94/C94</f>
        <v>0.10171789650552054</v>
      </c>
      <c r="H94" s="242">
        <f t="shared" ref="H94:H100" si="23">1-G94</f>
        <v>0.89828210349447946</v>
      </c>
      <c r="I94" s="157"/>
    </row>
    <row r="95" spans="1:9" ht="15.75" x14ac:dyDescent="0.25">
      <c r="A95" s="164"/>
      <c r="B95" s="165">
        <f>DATE(23,8,1)</f>
        <v>8614</v>
      </c>
      <c r="C95" s="226">
        <v>112407031.68000001</v>
      </c>
      <c r="D95" s="226">
        <v>11665095.210000001</v>
      </c>
      <c r="E95" s="226">
        <v>12540537.029999999</v>
      </c>
      <c r="F95" s="166">
        <f t="shared" si="21"/>
        <v>-6.9808957774753169E-2</v>
      </c>
      <c r="G95" s="241">
        <f t="shared" si="22"/>
        <v>0.10377549371829477</v>
      </c>
      <c r="H95" s="242">
        <f t="shared" si="23"/>
        <v>0.89622450628170525</v>
      </c>
      <c r="I95" s="157"/>
    </row>
    <row r="96" spans="1:9" ht="15.75" x14ac:dyDescent="0.25">
      <c r="A96" s="164"/>
      <c r="B96" s="165">
        <f>DATE(23,9,1)</f>
        <v>8645</v>
      </c>
      <c r="C96" s="226">
        <v>114671749.77</v>
      </c>
      <c r="D96" s="226">
        <v>12009719.560000001</v>
      </c>
      <c r="E96" s="226">
        <v>12203478.51</v>
      </c>
      <c r="F96" s="166">
        <f t="shared" si="21"/>
        <v>-1.58773541364641E-2</v>
      </c>
      <c r="G96" s="241">
        <f t="shared" si="22"/>
        <v>0.10473128372147626</v>
      </c>
      <c r="H96" s="242">
        <f t="shared" si="23"/>
        <v>0.89526871627852378</v>
      </c>
      <c r="I96" s="157"/>
    </row>
    <row r="97" spans="1:9" ht="15.75" x14ac:dyDescent="0.25">
      <c r="A97" s="164"/>
      <c r="B97" s="165">
        <f>DATE(23,10,1)</f>
        <v>8675</v>
      </c>
      <c r="C97" s="226">
        <v>104976582.06999999</v>
      </c>
      <c r="D97" s="226">
        <v>10536048.18</v>
      </c>
      <c r="E97" s="226">
        <v>11570843.18</v>
      </c>
      <c r="F97" s="166">
        <f t="shared" si="21"/>
        <v>-8.9431252666929667E-2</v>
      </c>
      <c r="G97" s="241">
        <f t="shared" si="22"/>
        <v>0.10036570035185945</v>
      </c>
      <c r="H97" s="242">
        <f t="shared" si="23"/>
        <v>0.89963429964814057</v>
      </c>
      <c r="I97" s="157"/>
    </row>
    <row r="98" spans="1:9" ht="15.75" x14ac:dyDescent="0.25">
      <c r="A98" s="164"/>
      <c r="B98" s="165">
        <f>DATE(23,11,1)</f>
        <v>8706</v>
      </c>
      <c r="C98" s="226">
        <v>104619738.67</v>
      </c>
      <c r="D98" s="226">
        <v>10666938.560000001</v>
      </c>
      <c r="E98" s="226">
        <v>10635557.710000001</v>
      </c>
      <c r="F98" s="166">
        <f t="shared" si="21"/>
        <v>2.9505598912310943E-3</v>
      </c>
      <c r="G98" s="241">
        <f t="shared" si="22"/>
        <v>0.10195913979145481</v>
      </c>
      <c r="H98" s="242">
        <f t="shared" si="23"/>
        <v>0.89804086020854523</v>
      </c>
      <c r="I98" s="157"/>
    </row>
    <row r="99" spans="1:9" ht="15.75" x14ac:dyDescent="0.25">
      <c r="A99" s="164"/>
      <c r="B99" s="165">
        <f>DATE(23,12,1)</f>
        <v>8736</v>
      </c>
      <c r="C99" s="226">
        <v>121790851.01000001</v>
      </c>
      <c r="D99" s="226">
        <v>12581806.52</v>
      </c>
      <c r="E99" s="226">
        <v>11765807.74</v>
      </c>
      <c r="F99" s="166">
        <f t="shared" si="21"/>
        <v>6.9353400806122581E-2</v>
      </c>
      <c r="G99" s="241">
        <f t="shared" si="22"/>
        <v>0.10330666397073564</v>
      </c>
      <c r="H99" s="242">
        <f t="shared" si="23"/>
        <v>0.89669333602926438</v>
      </c>
      <c r="I99" s="157"/>
    </row>
    <row r="100" spans="1:9" ht="15.75" x14ac:dyDescent="0.25">
      <c r="A100" s="164"/>
      <c r="B100" s="165">
        <f>DATE(24,1,1)</f>
        <v>8767</v>
      </c>
      <c r="C100" s="226">
        <v>99986536.260000005</v>
      </c>
      <c r="D100" s="226">
        <v>9437829.5099999998</v>
      </c>
      <c r="E100" s="226">
        <v>10527686.77</v>
      </c>
      <c r="F100" s="166">
        <f>(+D100-E100)/E100</f>
        <v>-0.10352295654404238</v>
      </c>
      <c r="G100" s="241">
        <f>D100/C100</f>
        <v>9.4391003659316075E-2</v>
      </c>
      <c r="H100" s="242">
        <f t="shared" si="23"/>
        <v>0.90560899634068392</v>
      </c>
      <c r="I100" s="157"/>
    </row>
    <row r="101" spans="1:9" ht="15.75" x14ac:dyDescent="0.25">
      <c r="A101" s="164"/>
      <c r="B101" s="165">
        <f>DATE(24,2,1)</f>
        <v>8798</v>
      </c>
      <c r="C101" s="226">
        <v>106918206.59</v>
      </c>
      <c r="D101" s="226">
        <v>10885967.029999999</v>
      </c>
      <c r="E101" s="226">
        <v>11416592.51</v>
      </c>
      <c r="F101" s="166">
        <f>(+D101-E101)/E101</f>
        <v>-4.6478446133136134E-2</v>
      </c>
      <c r="G101" s="241">
        <f>D101/C101</f>
        <v>0.10181584013791489</v>
      </c>
      <c r="H101" s="242">
        <f>1-G101</f>
        <v>0.89818415986208511</v>
      </c>
      <c r="I101" s="157"/>
    </row>
    <row r="102" spans="1:9" ht="15.75" x14ac:dyDescent="0.25">
      <c r="A102" s="164"/>
      <c r="B102" s="165">
        <f>DATE(24,3,1)</f>
        <v>8827</v>
      </c>
      <c r="C102" s="226">
        <v>117947283</v>
      </c>
      <c r="D102" s="226">
        <v>12259841.130000001</v>
      </c>
      <c r="E102" s="226">
        <v>12928099</v>
      </c>
      <c r="F102" s="166">
        <f>(+D102-E102)/E102</f>
        <v>-5.1690342872528994E-2</v>
      </c>
      <c r="G102" s="241">
        <f>D102/C102</f>
        <v>0.10394339588136169</v>
      </c>
      <c r="H102" s="242">
        <f>1-G102</f>
        <v>0.8960566041186383</v>
      </c>
      <c r="I102" s="157"/>
    </row>
    <row r="103" spans="1:9" ht="15.75" thickBot="1" x14ac:dyDescent="0.25">
      <c r="A103" s="167"/>
      <c r="B103" s="165"/>
      <c r="C103" s="226"/>
      <c r="D103" s="226"/>
      <c r="E103" s="226"/>
      <c r="F103" s="166"/>
      <c r="G103" s="241"/>
      <c r="H103" s="242"/>
      <c r="I103" s="157"/>
    </row>
    <row r="104" spans="1:9" ht="17.25" thickTop="1" thickBot="1" x14ac:dyDescent="0.3">
      <c r="A104" s="174" t="s">
        <v>14</v>
      </c>
      <c r="B104" s="175"/>
      <c r="C104" s="228">
        <f>SUM(C94:C103)</f>
        <v>1004531098.3099999</v>
      </c>
      <c r="D104" s="230">
        <f>SUM(D94:D103)</f>
        <v>102372789.22</v>
      </c>
      <c r="E104" s="271">
        <f>SUM(E94:E103)</f>
        <v>105351224.19</v>
      </c>
      <c r="F104" s="176">
        <f>(+D104-E104)/E104</f>
        <v>-2.8271479452658451E-2</v>
      </c>
      <c r="G104" s="249">
        <f>D104/C104</f>
        <v>0.1019110203678409</v>
      </c>
      <c r="H104" s="270">
        <f>1-G104</f>
        <v>0.89808897963215906</v>
      </c>
      <c r="I104" s="157"/>
    </row>
    <row r="105" spans="1:9" ht="15.75" thickTop="1" x14ac:dyDescent="0.2">
      <c r="A105" s="167"/>
      <c r="B105" s="179"/>
      <c r="C105" s="229"/>
      <c r="D105" s="229"/>
      <c r="E105" s="229"/>
      <c r="F105" s="180"/>
      <c r="G105" s="247"/>
      <c r="H105" s="248"/>
      <c r="I105" s="157"/>
    </row>
    <row r="106" spans="1:9" ht="15.75" x14ac:dyDescent="0.25">
      <c r="A106" s="164" t="s">
        <v>16</v>
      </c>
      <c r="B106" s="165">
        <f>DATE(23,7,1)</f>
        <v>8583</v>
      </c>
      <c r="C106" s="226">
        <v>160295640.59</v>
      </c>
      <c r="D106" s="226">
        <v>15534932.51</v>
      </c>
      <c r="E106" s="226">
        <v>15914314.48</v>
      </c>
      <c r="F106" s="166">
        <f t="shared" ref="F106:F111" si="24">(+D106-E106)/E106</f>
        <v>-2.383903940548501E-2</v>
      </c>
      <c r="G106" s="241">
        <f t="shared" ref="G106:G111" si="25">D106/C106</f>
        <v>9.691425451634611E-2</v>
      </c>
      <c r="H106" s="242">
        <f t="shared" ref="H106:H112" si="26">1-G106</f>
        <v>0.90308574548365383</v>
      </c>
      <c r="I106" s="157"/>
    </row>
    <row r="107" spans="1:9" ht="15.75" x14ac:dyDescent="0.25">
      <c r="A107" s="164"/>
      <c r="B107" s="165">
        <f>DATE(23,8,1)</f>
        <v>8614</v>
      </c>
      <c r="C107" s="226">
        <v>149700012.46000001</v>
      </c>
      <c r="D107" s="226">
        <v>14573354.48</v>
      </c>
      <c r="E107" s="226">
        <v>14340389.18</v>
      </c>
      <c r="F107" s="166">
        <f t="shared" si="24"/>
        <v>1.6245395928648064E-2</v>
      </c>
      <c r="G107" s="241">
        <f t="shared" si="25"/>
        <v>9.7350389225211428E-2</v>
      </c>
      <c r="H107" s="242">
        <f t="shared" si="26"/>
        <v>0.90264961077478856</v>
      </c>
      <c r="I107" s="157"/>
    </row>
    <row r="108" spans="1:9" ht="15.75" x14ac:dyDescent="0.25">
      <c r="A108" s="164"/>
      <c r="B108" s="165">
        <f>DATE(23,9,1)</f>
        <v>8645</v>
      </c>
      <c r="C108" s="226">
        <v>152315348.52000001</v>
      </c>
      <c r="D108" s="226">
        <v>14733622.32</v>
      </c>
      <c r="E108" s="226">
        <v>15068846.289999999</v>
      </c>
      <c r="F108" s="166">
        <f t="shared" si="24"/>
        <v>-2.2246160293138063E-2</v>
      </c>
      <c r="G108" s="241">
        <f t="shared" si="25"/>
        <v>9.6731041639348508E-2</v>
      </c>
      <c r="H108" s="242">
        <f t="shared" si="26"/>
        <v>0.90326895836065146</v>
      </c>
      <c r="I108" s="157"/>
    </row>
    <row r="109" spans="1:9" ht="15.75" x14ac:dyDescent="0.25">
      <c r="A109" s="164"/>
      <c r="B109" s="165">
        <f>DATE(23,10,1)</f>
        <v>8675</v>
      </c>
      <c r="C109" s="226">
        <v>141638869.83000001</v>
      </c>
      <c r="D109" s="226">
        <v>13951699.710000001</v>
      </c>
      <c r="E109" s="226">
        <v>14552868.960000001</v>
      </c>
      <c r="F109" s="166">
        <f t="shared" si="24"/>
        <v>-4.1309328878887941E-2</v>
      </c>
      <c r="G109" s="241">
        <f t="shared" si="25"/>
        <v>9.8501913540720312E-2</v>
      </c>
      <c r="H109" s="242">
        <f t="shared" si="26"/>
        <v>0.90149808645927965</v>
      </c>
      <c r="I109" s="157"/>
    </row>
    <row r="110" spans="1:9" ht="15.75" x14ac:dyDescent="0.25">
      <c r="A110" s="164"/>
      <c r="B110" s="165">
        <f>DATE(23,11,1)</f>
        <v>8706</v>
      </c>
      <c r="C110" s="226">
        <v>135854742.69</v>
      </c>
      <c r="D110" s="226">
        <v>12735247.210000001</v>
      </c>
      <c r="E110" s="226">
        <v>13319735.5</v>
      </c>
      <c r="F110" s="166">
        <f t="shared" si="24"/>
        <v>-4.3881373620369493E-2</v>
      </c>
      <c r="G110" s="241">
        <f t="shared" si="25"/>
        <v>9.374164609814109E-2</v>
      </c>
      <c r="H110" s="242">
        <f t="shared" si="26"/>
        <v>0.90625835390185894</v>
      </c>
      <c r="I110" s="157"/>
    </row>
    <row r="111" spans="1:9" ht="15.75" x14ac:dyDescent="0.25">
      <c r="A111" s="164"/>
      <c r="B111" s="165">
        <f>DATE(23,12,1)</f>
        <v>8736</v>
      </c>
      <c r="C111" s="226">
        <v>163571833.31</v>
      </c>
      <c r="D111" s="226">
        <v>15817366.869999999</v>
      </c>
      <c r="E111" s="226">
        <v>14436386.73</v>
      </c>
      <c r="F111" s="166">
        <f t="shared" si="24"/>
        <v>9.5659680349945764E-2</v>
      </c>
      <c r="G111" s="241">
        <f t="shared" si="25"/>
        <v>9.6699820194733985E-2</v>
      </c>
      <c r="H111" s="242">
        <f t="shared" si="26"/>
        <v>0.903300179805266</v>
      </c>
      <c r="I111" s="157"/>
    </row>
    <row r="112" spans="1:9" ht="15.75" x14ac:dyDescent="0.25">
      <c r="A112" s="164"/>
      <c r="B112" s="165">
        <f>DATE(24,1,1)</f>
        <v>8767</v>
      </c>
      <c r="C112" s="226">
        <v>125201005.5</v>
      </c>
      <c r="D112" s="226">
        <v>12314089.77</v>
      </c>
      <c r="E112" s="226">
        <v>13555175.18</v>
      </c>
      <c r="F112" s="166">
        <f>(+D112-E112)/E112</f>
        <v>-9.1558050229491775E-2</v>
      </c>
      <c r="G112" s="241">
        <f>D112/C112</f>
        <v>9.835455970040112E-2</v>
      </c>
      <c r="H112" s="242">
        <f t="shared" si="26"/>
        <v>0.90164544029959892</v>
      </c>
      <c r="I112" s="157"/>
    </row>
    <row r="113" spans="1:9" ht="15.75" x14ac:dyDescent="0.25">
      <c r="A113" s="164"/>
      <c r="B113" s="165">
        <f>DATE(24,2,1)</f>
        <v>8798</v>
      </c>
      <c r="C113" s="226">
        <v>146899480.97999999</v>
      </c>
      <c r="D113" s="226">
        <v>14557071.74</v>
      </c>
      <c r="E113" s="226">
        <v>14262692.57</v>
      </c>
      <c r="F113" s="166">
        <f>(+D113-E113)/E113</f>
        <v>2.0639803357971411E-2</v>
      </c>
      <c r="G113" s="241">
        <f>D113/C113</f>
        <v>9.9095460670701144E-2</v>
      </c>
      <c r="H113" s="242">
        <f>1-G113</f>
        <v>0.90090453932929881</v>
      </c>
      <c r="I113" s="157"/>
    </row>
    <row r="114" spans="1:9" ht="15.75" x14ac:dyDescent="0.25">
      <c r="A114" s="164"/>
      <c r="B114" s="165">
        <f>DATE(24,3,1)</f>
        <v>8827</v>
      </c>
      <c r="C114" s="226">
        <v>169553670.02000001</v>
      </c>
      <c r="D114" s="226">
        <v>16843336.460000001</v>
      </c>
      <c r="E114" s="226">
        <v>16320245.869999999</v>
      </c>
      <c r="F114" s="166">
        <f>(+D114-E114)/E114</f>
        <v>3.205163660932038E-2</v>
      </c>
      <c r="G114" s="241">
        <f>D114/C114</f>
        <v>9.9339262063824485E-2</v>
      </c>
      <c r="H114" s="242">
        <f>1-G114</f>
        <v>0.90066073793617552</v>
      </c>
      <c r="I114" s="157"/>
    </row>
    <row r="115" spans="1:9" ht="15.75" customHeight="1" thickBot="1" x14ac:dyDescent="0.3">
      <c r="A115" s="164"/>
      <c r="B115" s="165"/>
      <c r="C115" s="226"/>
      <c r="D115" s="226"/>
      <c r="E115" s="226"/>
      <c r="F115" s="166"/>
      <c r="G115" s="241"/>
      <c r="H115" s="242"/>
      <c r="I115" s="157"/>
    </row>
    <row r="116" spans="1:9" ht="17.25" thickTop="1" thickBot="1" x14ac:dyDescent="0.3">
      <c r="A116" s="174" t="s">
        <v>14</v>
      </c>
      <c r="B116" s="181"/>
      <c r="C116" s="228">
        <f>SUM(C106:C115)</f>
        <v>1345030603.9000001</v>
      </c>
      <c r="D116" s="228">
        <f>SUM(D106:D115)</f>
        <v>131060721.06999999</v>
      </c>
      <c r="E116" s="228">
        <f>SUM(E106:E115)</f>
        <v>131770654.75999999</v>
      </c>
      <c r="F116" s="176">
        <f>(+D116-E116)/E116</f>
        <v>-5.38764637159186E-3</v>
      </c>
      <c r="G116" s="245">
        <f>D116/C116</f>
        <v>9.7440698144697427E-2</v>
      </c>
      <c r="H116" s="246">
        <f>1-G116</f>
        <v>0.90255930185530253</v>
      </c>
      <c r="I116" s="157"/>
    </row>
    <row r="117" spans="1:9" ht="15.75" thickTop="1" x14ac:dyDescent="0.2">
      <c r="A117" s="171"/>
      <c r="B117" s="172"/>
      <c r="C117" s="227"/>
      <c r="D117" s="227"/>
      <c r="E117" s="227"/>
      <c r="F117" s="173"/>
      <c r="G117" s="243"/>
      <c r="H117" s="244"/>
      <c r="I117" s="157"/>
    </row>
    <row r="118" spans="1:9" ht="15.75" x14ac:dyDescent="0.25">
      <c r="A118" s="164" t="s">
        <v>53</v>
      </c>
      <c r="B118" s="165">
        <f>DATE(23,7,1)</f>
        <v>8583</v>
      </c>
      <c r="C118" s="226">
        <v>214046132.72999999</v>
      </c>
      <c r="D118" s="226">
        <v>19538214.289999999</v>
      </c>
      <c r="E118" s="226">
        <v>19656587.449999999</v>
      </c>
      <c r="F118" s="166">
        <f t="shared" ref="F118:F123" si="27">(+D118-E118)/E118</f>
        <v>-6.022060558634767E-3</v>
      </c>
      <c r="G118" s="241">
        <f t="shared" ref="G118:G123" si="28">D118/C118</f>
        <v>9.1280389142305629E-2</v>
      </c>
      <c r="H118" s="242">
        <f t="shared" ref="H118:H124" si="29">1-G118</f>
        <v>0.90871961085769437</v>
      </c>
      <c r="I118" s="157"/>
    </row>
    <row r="119" spans="1:9" ht="15.75" x14ac:dyDescent="0.25">
      <c r="A119" s="164"/>
      <c r="B119" s="165">
        <f>DATE(23,8,1)</f>
        <v>8614</v>
      </c>
      <c r="C119" s="226">
        <v>203623905.31</v>
      </c>
      <c r="D119" s="226">
        <v>18436883.300000001</v>
      </c>
      <c r="E119" s="226">
        <v>17776767.91</v>
      </c>
      <c r="F119" s="166">
        <f t="shared" si="27"/>
        <v>3.7133600063972518E-2</v>
      </c>
      <c r="G119" s="241">
        <f t="shared" si="28"/>
        <v>9.0543805610306019E-2</v>
      </c>
      <c r="H119" s="242">
        <f t="shared" si="29"/>
        <v>0.90945619438969394</v>
      </c>
      <c r="I119" s="157"/>
    </row>
    <row r="120" spans="1:9" ht="15.75" x14ac:dyDescent="0.25">
      <c r="A120" s="164"/>
      <c r="B120" s="165">
        <f>DATE(23,9,1)</f>
        <v>8645</v>
      </c>
      <c r="C120" s="226">
        <v>197195020.69</v>
      </c>
      <c r="D120" s="226">
        <v>17898589.149999999</v>
      </c>
      <c r="E120" s="226">
        <v>17845168.100000001</v>
      </c>
      <c r="F120" s="166">
        <f t="shared" si="27"/>
        <v>2.9935862582318299E-3</v>
      </c>
      <c r="G120" s="241">
        <f t="shared" si="28"/>
        <v>9.0765928507583554E-2</v>
      </c>
      <c r="H120" s="242">
        <f t="shared" si="29"/>
        <v>0.90923407149241642</v>
      </c>
      <c r="I120" s="157"/>
    </row>
    <row r="121" spans="1:9" ht="15.75" x14ac:dyDescent="0.25">
      <c r="A121" s="164"/>
      <c r="B121" s="165">
        <f>DATE(23,10,1)</f>
        <v>8675</v>
      </c>
      <c r="C121" s="226">
        <v>192922839.52000001</v>
      </c>
      <c r="D121" s="226">
        <v>17243191.43</v>
      </c>
      <c r="E121" s="226">
        <v>17788599.370000001</v>
      </c>
      <c r="F121" s="166">
        <f t="shared" si="27"/>
        <v>-3.0660533112000784E-2</v>
      </c>
      <c r="G121" s="241">
        <f t="shared" si="28"/>
        <v>8.9378693952990598E-2</v>
      </c>
      <c r="H121" s="242">
        <f t="shared" si="29"/>
        <v>0.91062130604700942</v>
      </c>
      <c r="I121" s="157"/>
    </row>
    <row r="122" spans="1:9" ht="15.75" x14ac:dyDescent="0.25">
      <c r="A122" s="164"/>
      <c r="B122" s="165">
        <f>DATE(23,11,1)</f>
        <v>8706</v>
      </c>
      <c r="C122" s="226">
        <v>193570145.53</v>
      </c>
      <c r="D122" s="226">
        <v>17317167.579999998</v>
      </c>
      <c r="E122" s="226">
        <v>17618885.149999999</v>
      </c>
      <c r="F122" s="166">
        <f t="shared" si="27"/>
        <v>-1.7124668640001908E-2</v>
      </c>
      <c r="G122" s="241">
        <f t="shared" si="28"/>
        <v>8.9461975309183914E-2</v>
      </c>
      <c r="H122" s="242">
        <f t="shared" si="29"/>
        <v>0.91053802469081613</v>
      </c>
      <c r="I122" s="157"/>
    </row>
    <row r="123" spans="1:9" ht="15.75" x14ac:dyDescent="0.25">
      <c r="A123" s="164"/>
      <c r="B123" s="165">
        <f>DATE(23,12,1)</f>
        <v>8736</v>
      </c>
      <c r="C123" s="226">
        <v>208744378.69</v>
      </c>
      <c r="D123" s="226">
        <v>19257637.91</v>
      </c>
      <c r="E123" s="226">
        <v>18411025.469999999</v>
      </c>
      <c r="F123" s="166">
        <f t="shared" si="27"/>
        <v>4.5983991569590793E-2</v>
      </c>
      <c r="G123" s="241">
        <f t="shared" si="28"/>
        <v>9.225464192546684E-2</v>
      </c>
      <c r="H123" s="242">
        <f t="shared" si="29"/>
        <v>0.90774535807453316</v>
      </c>
      <c r="I123" s="157"/>
    </row>
    <row r="124" spans="1:9" ht="15.75" x14ac:dyDescent="0.25">
      <c r="A124" s="164"/>
      <c r="B124" s="165">
        <f>DATE(24,1,1)</f>
        <v>8767</v>
      </c>
      <c r="C124" s="226">
        <v>179293140.63999999</v>
      </c>
      <c r="D124" s="226">
        <v>15797155.789999999</v>
      </c>
      <c r="E124" s="226">
        <v>17516119.75</v>
      </c>
      <c r="F124" s="166">
        <f>(+D124-E124)/E124</f>
        <v>-9.8136116019645322E-2</v>
      </c>
      <c r="G124" s="241">
        <f>D124/C124</f>
        <v>8.8107976320850281E-2</v>
      </c>
      <c r="H124" s="242">
        <f t="shared" si="29"/>
        <v>0.91189202367914968</v>
      </c>
      <c r="I124" s="157"/>
    </row>
    <row r="125" spans="1:9" ht="15.75" x14ac:dyDescent="0.25">
      <c r="A125" s="164"/>
      <c r="B125" s="165">
        <f>DATE(24,2,1)</f>
        <v>8798</v>
      </c>
      <c r="C125" s="226">
        <v>197414312.77000001</v>
      </c>
      <c r="D125" s="226">
        <v>18190190.059999999</v>
      </c>
      <c r="E125" s="226">
        <v>17893264.16</v>
      </c>
      <c r="F125" s="166">
        <f>(+D125-E125)/E125</f>
        <v>1.6594283599957679E-2</v>
      </c>
      <c r="G125" s="241">
        <f>D125/C125</f>
        <v>9.2142204912937106E-2</v>
      </c>
      <c r="H125" s="242">
        <f>1-G125</f>
        <v>0.90785779508706288</v>
      </c>
      <c r="I125" s="157"/>
    </row>
    <row r="126" spans="1:9" ht="15.75" x14ac:dyDescent="0.25">
      <c r="A126" s="164"/>
      <c r="B126" s="165">
        <f>DATE(24,3,1)</f>
        <v>8827</v>
      </c>
      <c r="C126" s="226">
        <v>218753820.24000001</v>
      </c>
      <c r="D126" s="226">
        <v>20103313.18</v>
      </c>
      <c r="E126" s="226">
        <v>20524459.280000001</v>
      </c>
      <c r="F126" s="166">
        <f>(+D126-E126)/E126</f>
        <v>-2.051922997115866E-2</v>
      </c>
      <c r="G126" s="241">
        <f>D126/C126</f>
        <v>9.1899255327034648E-2</v>
      </c>
      <c r="H126" s="242">
        <f>1-G126</f>
        <v>0.90810074467296531</v>
      </c>
      <c r="I126" s="157"/>
    </row>
    <row r="127" spans="1:9" ht="15.75" thickBot="1" x14ac:dyDescent="0.25">
      <c r="A127" s="167"/>
      <c r="B127" s="168"/>
      <c r="C127" s="226"/>
      <c r="D127" s="226"/>
      <c r="E127" s="226"/>
      <c r="F127" s="166"/>
      <c r="G127" s="241"/>
      <c r="H127" s="242"/>
      <c r="I127" s="157"/>
    </row>
    <row r="128" spans="1:9" ht="17.25" thickTop="1" thickBot="1" x14ac:dyDescent="0.3">
      <c r="A128" s="174" t="s">
        <v>14</v>
      </c>
      <c r="B128" s="175"/>
      <c r="C128" s="228">
        <f>SUM(C118:C127)</f>
        <v>1805563696.1200001</v>
      </c>
      <c r="D128" s="228">
        <f>SUM(D118:D127)</f>
        <v>163782342.69</v>
      </c>
      <c r="E128" s="228">
        <f>SUM(E118:E127)</f>
        <v>165030876.63999999</v>
      </c>
      <c r="F128" s="176">
        <f>(+D128-E128)/E128</f>
        <v>-7.5654566916199114E-3</v>
      </c>
      <c r="G128" s="249">
        <f>D128/C128</f>
        <v>9.0709811590670583E-2</v>
      </c>
      <c r="H128" s="270">
        <f>1-G128</f>
        <v>0.9092901884093294</v>
      </c>
      <c r="I128" s="157"/>
    </row>
    <row r="129" spans="1:9" ht="15.75" thickTop="1" x14ac:dyDescent="0.2">
      <c r="A129" s="167"/>
      <c r="B129" s="168"/>
      <c r="C129" s="226"/>
      <c r="D129" s="226"/>
      <c r="E129" s="226"/>
      <c r="F129" s="166"/>
      <c r="G129" s="241"/>
      <c r="H129" s="242"/>
      <c r="I129" s="157"/>
    </row>
    <row r="130" spans="1:9" ht="15.75" x14ac:dyDescent="0.25">
      <c r="A130" s="164" t="s">
        <v>54</v>
      </c>
      <c r="B130" s="165">
        <f>DATE(23,7,1)</f>
        <v>8583</v>
      </c>
      <c r="C130" s="226">
        <v>28158647.050000001</v>
      </c>
      <c r="D130" s="226">
        <v>3124210.48</v>
      </c>
      <c r="E130" s="226">
        <v>3220140.18</v>
      </c>
      <c r="F130" s="166">
        <f t="shared" ref="F130:F135" si="30">(+D130-E130)/E130</f>
        <v>-2.9790535392158046E-2</v>
      </c>
      <c r="G130" s="241">
        <f t="shared" ref="G130:G135" si="31">D130/C130</f>
        <v>0.11095030505025631</v>
      </c>
      <c r="H130" s="242">
        <f t="shared" ref="H130:H136" si="32">1-G130</f>
        <v>0.88904969494974373</v>
      </c>
      <c r="I130" s="157"/>
    </row>
    <row r="131" spans="1:9" ht="15.75" x14ac:dyDescent="0.25">
      <c r="A131" s="164"/>
      <c r="B131" s="165">
        <f>DATE(23,8,1)</f>
        <v>8614</v>
      </c>
      <c r="C131" s="226">
        <v>24636212.309999999</v>
      </c>
      <c r="D131" s="226">
        <v>2824739.23</v>
      </c>
      <c r="E131" s="226">
        <v>2910388.06</v>
      </c>
      <c r="F131" s="166">
        <f t="shared" si="30"/>
        <v>-2.94286632003294E-2</v>
      </c>
      <c r="G131" s="241">
        <f t="shared" si="31"/>
        <v>0.11465801619404863</v>
      </c>
      <c r="H131" s="242">
        <f t="shared" si="32"/>
        <v>0.88534198380595142</v>
      </c>
      <c r="I131" s="157"/>
    </row>
    <row r="132" spans="1:9" ht="15.75" x14ac:dyDescent="0.25">
      <c r="A132" s="164"/>
      <c r="B132" s="165">
        <f>DATE(23,9,1)</f>
        <v>8645</v>
      </c>
      <c r="C132" s="226">
        <v>25252043.170000002</v>
      </c>
      <c r="D132" s="226">
        <v>2831375.91</v>
      </c>
      <c r="E132" s="226">
        <v>3079109.35</v>
      </c>
      <c r="F132" s="166">
        <f t="shared" si="30"/>
        <v>-8.045620075168812E-2</v>
      </c>
      <c r="G132" s="241">
        <f t="shared" si="31"/>
        <v>0.11212462654759511</v>
      </c>
      <c r="H132" s="242">
        <f t="shared" si="32"/>
        <v>0.88787537345240486</v>
      </c>
      <c r="I132" s="157"/>
    </row>
    <row r="133" spans="1:9" ht="15.75" x14ac:dyDescent="0.25">
      <c r="A133" s="164"/>
      <c r="B133" s="165">
        <f>DATE(23,10,1)</f>
        <v>8675</v>
      </c>
      <c r="C133" s="226">
        <v>25583626.219999999</v>
      </c>
      <c r="D133" s="226">
        <v>3046238.53</v>
      </c>
      <c r="E133" s="226">
        <v>3026739.97</v>
      </c>
      <c r="F133" s="166">
        <f t="shared" si="30"/>
        <v>6.4420994843503486E-3</v>
      </c>
      <c r="G133" s="241">
        <f t="shared" si="31"/>
        <v>0.11906984974704653</v>
      </c>
      <c r="H133" s="242">
        <f t="shared" si="32"/>
        <v>0.88093015025295351</v>
      </c>
      <c r="I133" s="157"/>
    </row>
    <row r="134" spans="1:9" ht="15.75" x14ac:dyDescent="0.25">
      <c r="A134" s="164"/>
      <c r="B134" s="165">
        <f>DATE(23,11,1)</f>
        <v>8706</v>
      </c>
      <c r="C134" s="226">
        <v>26619923.899999999</v>
      </c>
      <c r="D134" s="226">
        <v>2721817.54</v>
      </c>
      <c r="E134" s="226">
        <v>2771028.1</v>
      </c>
      <c r="F134" s="166">
        <f t="shared" si="30"/>
        <v>-1.7758953797689766E-2</v>
      </c>
      <c r="G134" s="241">
        <f t="shared" si="31"/>
        <v>0.10224738245776879</v>
      </c>
      <c r="H134" s="242">
        <f t="shared" si="32"/>
        <v>0.89775261754223123</v>
      </c>
      <c r="I134" s="157"/>
    </row>
    <row r="135" spans="1:9" ht="15.75" x14ac:dyDescent="0.25">
      <c r="A135" s="164"/>
      <c r="B135" s="165">
        <f>DATE(23,12,1)</f>
        <v>8736</v>
      </c>
      <c r="C135" s="226">
        <v>28602763.739999998</v>
      </c>
      <c r="D135" s="226">
        <v>3202742.31</v>
      </c>
      <c r="E135" s="226">
        <v>3065877.72</v>
      </c>
      <c r="F135" s="166">
        <f t="shared" si="30"/>
        <v>4.4641242247587046E-2</v>
      </c>
      <c r="G135" s="241">
        <f t="shared" si="31"/>
        <v>0.11197317640746279</v>
      </c>
      <c r="H135" s="242">
        <f t="shared" si="32"/>
        <v>0.88802682359253726</v>
      </c>
      <c r="I135" s="157"/>
    </row>
    <row r="136" spans="1:9" ht="15.75" x14ac:dyDescent="0.25">
      <c r="A136" s="164"/>
      <c r="B136" s="165">
        <f>DATE(24,1,1)</f>
        <v>8767</v>
      </c>
      <c r="C136" s="226">
        <v>19789387.68</v>
      </c>
      <c r="D136" s="226">
        <v>2214416.4300000002</v>
      </c>
      <c r="E136" s="226">
        <v>2868849.61</v>
      </c>
      <c r="F136" s="166">
        <f>(+D136-E136)/E136</f>
        <v>-0.2281169349968121</v>
      </c>
      <c r="G136" s="241">
        <f>D136/C136</f>
        <v>0.11189918888890049</v>
      </c>
      <c r="H136" s="242">
        <f t="shared" si="32"/>
        <v>0.88810081111109951</v>
      </c>
      <c r="I136" s="157"/>
    </row>
    <row r="137" spans="1:9" ht="15.75" x14ac:dyDescent="0.25">
      <c r="A137" s="164"/>
      <c r="B137" s="165">
        <f>DATE(24,2,1)</f>
        <v>8798</v>
      </c>
      <c r="C137" s="226">
        <v>26875239.739999998</v>
      </c>
      <c r="D137" s="226">
        <v>3115244.86</v>
      </c>
      <c r="E137" s="226">
        <v>3074017.42</v>
      </c>
      <c r="F137" s="166">
        <f>(+D137-E137)/E137</f>
        <v>1.3411583074242938E-2</v>
      </c>
      <c r="G137" s="241">
        <f>D137/C137</f>
        <v>0.11591505378697693</v>
      </c>
      <c r="H137" s="242">
        <f>1-G137</f>
        <v>0.88408494621302303</v>
      </c>
      <c r="I137" s="157"/>
    </row>
    <row r="138" spans="1:9" ht="15.75" x14ac:dyDescent="0.25">
      <c r="A138" s="164"/>
      <c r="B138" s="165">
        <f>DATE(24,3,1)</f>
        <v>8827</v>
      </c>
      <c r="C138" s="226">
        <v>30232569.559999999</v>
      </c>
      <c r="D138" s="226">
        <v>3466286.77</v>
      </c>
      <c r="E138" s="226">
        <v>3299257.76</v>
      </c>
      <c r="F138" s="166">
        <f>(+D138-E138)/E138</f>
        <v>5.0626238430064419E-2</v>
      </c>
      <c r="G138" s="241">
        <f>D138/C138</f>
        <v>0.11465405754283495</v>
      </c>
      <c r="H138" s="242">
        <f>1-G138</f>
        <v>0.88534594245716502</v>
      </c>
      <c r="I138" s="157"/>
    </row>
    <row r="139" spans="1:9" ht="15.75" thickBot="1" x14ac:dyDescent="0.25">
      <c r="A139" s="167"/>
      <c r="B139" s="168"/>
      <c r="C139" s="226"/>
      <c r="D139" s="226"/>
      <c r="E139" s="226"/>
      <c r="F139" s="166"/>
      <c r="G139" s="241"/>
      <c r="H139" s="242"/>
      <c r="I139" s="157"/>
    </row>
    <row r="140" spans="1:9" ht="17.25" thickTop="1" thickBot="1" x14ac:dyDescent="0.3">
      <c r="A140" s="182" t="s">
        <v>14</v>
      </c>
      <c r="B140" s="183"/>
      <c r="C140" s="230">
        <f>SUM(C130:C139)</f>
        <v>235750413.37000003</v>
      </c>
      <c r="D140" s="230">
        <f>SUM(D130:D139)</f>
        <v>26547072.059999999</v>
      </c>
      <c r="E140" s="230">
        <f>SUM(E130:E139)</f>
        <v>27315408.169999994</v>
      </c>
      <c r="F140" s="176">
        <f>(+D140-E140)/E140</f>
        <v>-2.8128304187079473E-2</v>
      </c>
      <c r="G140" s="249">
        <f>D140/C140</f>
        <v>0.11260668297677817</v>
      </c>
      <c r="H140" s="246">
        <f>1-G140</f>
        <v>0.88739331702322177</v>
      </c>
      <c r="I140" s="157"/>
    </row>
    <row r="141" spans="1:9" ht="15.75" thickTop="1" x14ac:dyDescent="0.2">
      <c r="A141" s="167"/>
      <c r="B141" s="168"/>
      <c r="C141" s="226"/>
      <c r="D141" s="226"/>
      <c r="E141" s="226"/>
      <c r="F141" s="166"/>
      <c r="G141" s="241"/>
      <c r="H141" s="242"/>
      <c r="I141" s="157"/>
    </row>
    <row r="142" spans="1:9" ht="15.75" x14ac:dyDescent="0.25">
      <c r="A142" s="164" t="s">
        <v>37</v>
      </c>
      <c r="B142" s="165">
        <f>DATE(23,7,1)</f>
        <v>8583</v>
      </c>
      <c r="C142" s="226">
        <v>221709382.90000001</v>
      </c>
      <c r="D142" s="226">
        <v>20800777.710000001</v>
      </c>
      <c r="E142" s="226">
        <v>21735779.219999999</v>
      </c>
      <c r="F142" s="166">
        <f t="shared" ref="F142:F147" si="33">(+D142-E142)/E142</f>
        <v>-4.3016700737356771E-2</v>
      </c>
      <c r="G142" s="241">
        <f t="shared" ref="G142:G147" si="34">D142/C142</f>
        <v>9.3820015363905468E-2</v>
      </c>
      <c r="H142" s="242">
        <f t="shared" ref="H142:H148" si="35">1-G142</f>
        <v>0.9061799846360945</v>
      </c>
      <c r="I142" s="157"/>
    </row>
    <row r="143" spans="1:9" ht="15.75" x14ac:dyDescent="0.25">
      <c r="A143" s="164"/>
      <c r="B143" s="165">
        <f>DATE(23,8,1)</f>
        <v>8614</v>
      </c>
      <c r="C143" s="226">
        <v>209669300.15000001</v>
      </c>
      <c r="D143" s="226">
        <v>20038616.34</v>
      </c>
      <c r="E143" s="226">
        <v>20453352.670000002</v>
      </c>
      <c r="F143" s="166">
        <f t="shared" si="33"/>
        <v>-2.0277180797274245E-2</v>
      </c>
      <c r="G143" s="241">
        <f t="shared" si="34"/>
        <v>9.5572486413910501E-2</v>
      </c>
      <c r="H143" s="242">
        <f t="shared" si="35"/>
        <v>0.90442751358608953</v>
      </c>
      <c r="I143" s="157"/>
    </row>
    <row r="144" spans="1:9" ht="15.75" x14ac:dyDescent="0.25">
      <c r="A144" s="164"/>
      <c r="B144" s="165">
        <f>DATE(23,9,1)</f>
        <v>8645</v>
      </c>
      <c r="C144" s="226">
        <v>204140702.06999999</v>
      </c>
      <c r="D144" s="226">
        <v>19545369.489999998</v>
      </c>
      <c r="E144" s="226">
        <v>19785542.02</v>
      </c>
      <c r="F144" s="166">
        <f t="shared" si="33"/>
        <v>-1.2138789513940301E-2</v>
      </c>
      <c r="G144" s="241">
        <f t="shared" si="34"/>
        <v>9.574459817081396E-2</v>
      </c>
      <c r="H144" s="242">
        <f t="shared" si="35"/>
        <v>0.90425540182918607</v>
      </c>
      <c r="I144" s="157"/>
    </row>
    <row r="145" spans="1:9" ht="15.75" x14ac:dyDescent="0.25">
      <c r="A145" s="164"/>
      <c r="B145" s="165">
        <f>DATE(23,10,1)</f>
        <v>8675</v>
      </c>
      <c r="C145" s="226">
        <v>199447600.25999999</v>
      </c>
      <c r="D145" s="226">
        <v>18492281.440000001</v>
      </c>
      <c r="E145" s="226">
        <v>19416414.079999998</v>
      </c>
      <c r="F145" s="166">
        <f t="shared" si="33"/>
        <v>-4.7595433234600491E-2</v>
      </c>
      <c r="G145" s="241">
        <f t="shared" si="34"/>
        <v>9.2717492794565856E-2</v>
      </c>
      <c r="H145" s="242">
        <f t="shared" si="35"/>
        <v>0.90728250720543413</v>
      </c>
      <c r="I145" s="157"/>
    </row>
    <row r="146" spans="1:9" ht="15.75" x14ac:dyDescent="0.25">
      <c r="A146" s="164"/>
      <c r="B146" s="165">
        <f>DATE(23,11,1)</f>
        <v>8706</v>
      </c>
      <c r="C146" s="226">
        <v>202111138.21000001</v>
      </c>
      <c r="D146" s="226">
        <v>18402679.75</v>
      </c>
      <c r="E146" s="226">
        <v>19493781.030000001</v>
      </c>
      <c r="F146" s="166">
        <f t="shared" si="33"/>
        <v>-5.5971762395445414E-2</v>
      </c>
      <c r="G146" s="241">
        <f t="shared" si="34"/>
        <v>9.105227902323236E-2</v>
      </c>
      <c r="H146" s="242">
        <f t="shared" si="35"/>
        <v>0.90894772097676768</v>
      </c>
      <c r="I146" s="157"/>
    </row>
    <row r="147" spans="1:9" ht="15.75" x14ac:dyDescent="0.25">
      <c r="A147" s="164"/>
      <c r="B147" s="165">
        <f>DATE(23,12,1)</f>
        <v>8736</v>
      </c>
      <c r="C147" s="226">
        <v>234556705.40000001</v>
      </c>
      <c r="D147" s="226">
        <v>21581873.52</v>
      </c>
      <c r="E147" s="226">
        <v>20690373.02</v>
      </c>
      <c r="F147" s="166">
        <f t="shared" si="33"/>
        <v>4.3087695864073891E-2</v>
      </c>
      <c r="G147" s="241">
        <f t="shared" si="34"/>
        <v>9.2011326144760888E-2</v>
      </c>
      <c r="H147" s="242">
        <f t="shared" si="35"/>
        <v>0.90798867385523907</v>
      </c>
      <c r="I147" s="157"/>
    </row>
    <row r="148" spans="1:9" ht="15.75" x14ac:dyDescent="0.25">
      <c r="A148" s="164"/>
      <c r="B148" s="165">
        <f>DATE(24,1,1)</f>
        <v>8767</v>
      </c>
      <c r="C148" s="226">
        <v>190006271.88</v>
      </c>
      <c r="D148" s="226">
        <v>17525611.690000001</v>
      </c>
      <c r="E148" s="226">
        <v>20127849.170000002</v>
      </c>
      <c r="F148" s="166">
        <f>(+D148-E148)/E148</f>
        <v>-0.12928542230327136</v>
      </c>
      <c r="G148" s="241">
        <f>D148/C148</f>
        <v>9.2237016792100654E-2</v>
      </c>
      <c r="H148" s="242">
        <f t="shared" si="35"/>
        <v>0.90776298320789939</v>
      </c>
      <c r="I148" s="157"/>
    </row>
    <row r="149" spans="1:9" ht="15.75" x14ac:dyDescent="0.25">
      <c r="A149" s="164"/>
      <c r="B149" s="165">
        <f>DATE(24,2,1)</f>
        <v>8798</v>
      </c>
      <c r="C149" s="226">
        <v>207289326.72999999</v>
      </c>
      <c r="D149" s="226">
        <v>19835218.719999999</v>
      </c>
      <c r="E149" s="226">
        <v>19683573.59</v>
      </c>
      <c r="F149" s="166">
        <f>(+D149-E149)/E149</f>
        <v>7.7041462672733582E-3</v>
      </c>
      <c r="G149" s="241">
        <f>D149/C149</f>
        <v>9.5688567438090594E-2</v>
      </c>
      <c r="H149" s="242">
        <f>1-G149</f>
        <v>0.90431143256190938</v>
      </c>
      <c r="I149" s="157"/>
    </row>
    <row r="150" spans="1:9" ht="15.75" x14ac:dyDescent="0.25">
      <c r="A150" s="164"/>
      <c r="B150" s="165">
        <f>DATE(24,3,1)</f>
        <v>8827</v>
      </c>
      <c r="C150" s="226">
        <v>237330522.63999999</v>
      </c>
      <c r="D150" s="226">
        <v>21654368.93</v>
      </c>
      <c r="E150" s="226">
        <v>21826103.260000002</v>
      </c>
      <c r="F150" s="166">
        <f>(+D150-E150)/E150</f>
        <v>-7.8683000787746621E-3</v>
      </c>
      <c r="G150" s="241">
        <f>D150/C150</f>
        <v>9.1241399079742075E-2</v>
      </c>
      <c r="H150" s="242">
        <f>1-G150</f>
        <v>0.90875860092025795</v>
      </c>
      <c r="I150" s="157"/>
    </row>
    <row r="151" spans="1:9" ht="15.75" thickBot="1" x14ac:dyDescent="0.25">
      <c r="A151" s="167"/>
      <c r="B151" s="165"/>
      <c r="C151" s="226"/>
      <c r="D151" s="226"/>
      <c r="E151" s="226"/>
      <c r="F151" s="166"/>
      <c r="G151" s="241"/>
      <c r="H151" s="242"/>
      <c r="I151" s="157"/>
    </row>
    <row r="152" spans="1:9" ht="17.25" thickTop="1" thickBot="1" x14ac:dyDescent="0.3">
      <c r="A152" s="174" t="s">
        <v>14</v>
      </c>
      <c r="B152" s="175"/>
      <c r="C152" s="228">
        <f>SUM(C142:C151)</f>
        <v>1906260950.2399998</v>
      </c>
      <c r="D152" s="228">
        <f>SUM(D142:D151)</f>
        <v>177876797.59</v>
      </c>
      <c r="E152" s="228">
        <f>SUM(E142:E151)</f>
        <v>183212768.05999997</v>
      </c>
      <c r="F152" s="176">
        <f>(+D152-E152)/E152</f>
        <v>-2.9124446546501075E-2</v>
      </c>
      <c r="G152" s="245">
        <f>D152/C152</f>
        <v>9.331188238819306E-2</v>
      </c>
      <c r="H152" s="246">
        <f>1-G152</f>
        <v>0.9066881176118069</v>
      </c>
      <c r="I152" s="157"/>
    </row>
    <row r="153" spans="1:9" ht="15.75" thickTop="1" x14ac:dyDescent="0.2">
      <c r="A153" s="167"/>
      <c r="B153" s="168"/>
      <c r="C153" s="226"/>
      <c r="D153" s="226"/>
      <c r="E153" s="226"/>
      <c r="F153" s="166"/>
      <c r="G153" s="241"/>
      <c r="H153" s="242"/>
      <c r="I153" s="157"/>
    </row>
    <row r="154" spans="1:9" ht="15.75" x14ac:dyDescent="0.25">
      <c r="A154" s="164" t="s">
        <v>57</v>
      </c>
      <c r="B154" s="165">
        <f>DATE(23,7,1)</f>
        <v>8583</v>
      </c>
      <c r="C154" s="226">
        <v>33435275.829999998</v>
      </c>
      <c r="D154" s="226">
        <v>3743935.17</v>
      </c>
      <c r="E154" s="226">
        <v>3941098.7</v>
      </c>
      <c r="F154" s="166">
        <f t="shared" ref="F154:F159" si="36">(+D154-E154)/E154</f>
        <v>-5.0027554498952347E-2</v>
      </c>
      <c r="G154" s="241">
        <f t="shared" ref="G154:G159" si="37">D154/C154</f>
        <v>0.11197560292416467</v>
      </c>
      <c r="H154" s="242">
        <f t="shared" ref="H154:H160" si="38">1-G154</f>
        <v>0.88802439707583536</v>
      </c>
      <c r="I154" s="157"/>
    </row>
    <row r="155" spans="1:9" ht="15.75" x14ac:dyDescent="0.25">
      <c r="A155" s="164"/>
      <c r="B155" s="165">
        <f>DATE(23,8,1)</f>
        <v>8614</v>
      </c>
      <c r="C155" s="226">
        <v>32794629.890000001</v>
      </c>
      <c r="D155" s="226">
        <v>3650833.47</v>
      </c>
      <c r="E155" s="226">
        <v>3508347.49</v>
      </c>
      <c r="F155" s="166">
        <f t="shared" si="36"/>
        <v>4.0613417116216154E-2</v>
      </c>
      <c r="G155" s="241">
        <f t="shared" si="37"/>
        <v>0.11132412478035746</v>
      </c>
      <c r="H155" s="242">
        <f t="shared" si="38"/>
        <v>0.88867587521964253</v>
      </c>
      <c r="I155" s="157"/>
    </row>
    <row r="156" spans="1:9" ht="15.75" x14ac:dyDescent="0.25">
      <c r="A156" s="164"/>
      <c r="B156" s="165">
        <f>DATE(23,9,1)</f>
        <v>8645</v>
      </c>
      <c r="C156" s="226">
        <v>29987636.98</v>
      </c>
      <c r="D156" s="226">
        <v>3571965.85</v>
      </c>
      <c r="E156" s="226">
        <v>3766686.61</v>
      </c>
      <c r="F156" s="166">
        <f t="shared" si="36"/>
        <v>-5.16955032794724E-2</v>
      </c>
      <c r="G156" s="241">
        <f t="shared" si="37"/>
        <v>0.1191146155458095</v>
      </c>
      <c r="H156" s="242">
        <f t="shared" si="38"/>
        <v>0.88088538445419051</v>
      </c>
      <c r="I156" s="157"/>
    </row>
    <row r="157" spans="1:9" ht="15.75" x14ac:dyDescent="0.25">
      <c r="A157" s="164"/>
      <c r="B157" s="165">
        <f>DATE(23,10,1)</f>
        <v>8675</v>
      </c>
      <c r="C157" s="226">
        <v>30636225.07</v>
      </c>
      <c r="D157" s="226">
        <v>3454191.96</v>
      </c>
      <c r="E157" s="226">
        <v>3644045.37</v>
      </c>
      <c r="F157" s="166">
        <f t="shared" si="36"/>
        <v>-5.209962849611835E-2</v>
      </c>
      <c r="G157" s="241">
        <f t="shared" si="37"/>
        <v>0.11274861547424975</v>
      </c>
      <c r="H157" s="242">
        <f t="shared" si="38"/>
        <v>0.88725138452575025</v>
      </c>
      <c r="I157" s="157"/>
    </row>
    <row r="158" spans="1:9" ht="15.75" x14ac:dyDescent="0.25">
      <c r="A158" s="164"/>
      <c r="B158" s="165">
        <f>DATE(23,11,1)</f>
        <v>8706</v>
      </c>
      <c r="C158" s="226">
        <v>32172056.850000001</v>
      </c>
      <c r="D158" s="226">
        <v>3511199.02</v>
      </c>
      <c r="E158" s="226">
        <v>3367619.94</v>
      </c>
      <c r="F158" s="166">
        <f t="shared" si="36"/>
        <v>4.2635179313019529E-2</v>
      </c>
      <c r="G158" s="241">
        <f t="shared" si="37"/>
        <v>0.10913815788560624</v>
      </c>
      <c r="H158" s="242">
        <f t="shared" si="38"/>
        <v>0.89086184211439379</v>
      </c>
      <c r="I158" s="157"/>
    </row>
    <row r="159" spans="1:9" ht="15.75" x14ac:dyDescent="0.25">
      <c r="A159" s="164"/>
      <c r="B159" s="165">
        <f>DATE(23,12,1)</f>
        <v>8736</v>
      </c>
      <c r="C159" s="226">
        <v>38178845.460000001</v>
      </c>
      <c r="D159" s="226">
        <v>4306408.66</v>
      </c>
      <c r="E159" s="226">
        <v>3754875.29</v>
      </c>
      <c r="F159" s="166">
        <f t="shared" si="36"/>
        <v>0.14688460398907152</v>
      </c>
      <c r="G159" s="241">
        <f t="shared" si="37"/>
        <v>0.1127956754090908</v>
      </c>
      <c r="H159" s="242">
        <f t="shared" si="38"/>
        <v>0.88720432459090914</v>
      </c>
      <c r="I159" s="157"/>
    </row>
    <row r="160" spans="1:9" ht="15.75" x14ac:dyDescent="0.25">
      <c r="A160" s="164"/>
      <c r="B160" s="165">
        <f>DATE(24,1,1)</f>
        <v>8767</v>
      </c>
      <c r="C160" s="226">
        <v>28892759.120000001</v>
      </c>
      <c r="D160" s="226">
        <v>3188752.13</v>
      </c>
      <c r="E160" s="226">
        <v>3530111.77</v>
      </c>
      <c r="F160" s="166">
        <f>(+D160-E160)/E160</f>
        <v>-9.6699385810098626E-2</v>
      </c>
      <c r="G160" s="241">
        <f>D160/C160</f>
        <v>0.11036509586212201</v>
      </c>
      <c r="H160" s="242">
        <f t="shared" si="38"/>
        <v>0.88963490413787794</v>
      </c>
      <c r="I160" s="157"/>
    </row>
    <row r="161" spans="1:9" ht="15.75" x14ac:dyDescent="0.25">
      <c r="A161" s="164"/>
      <c r="B161" s="165">
        <f>DATE(24,2,1)</f>
        <v>8798</v>
      </c>
      <c r="C161" s="226">
        <v>35733426.780000001</v>
      </c>
      <c r="D161" s="226">
        <v>4123827.11</v>
      </c>
      <c r="E161" s="226">
        <v>3950011.33</v>
      </c>
      <c r="F161" s="166">
        <f>(+D161-E161)/E161</f>
        <v>4.4003868718017015E-2</v>
      </c>
      <c r="G161" s="241">
        <f>D161/C161</f>
        <v>0.11540530762384384</v>
      </c>
      <c r="H161" s="242">
        <f>1-G161</f>
        <v>0.88459469237615618</v>
      </c>
      <c r="I161" s="157"/>
    </row>
    <row r="162" spans="1:9" ht="15.75" x14ac:dyDescent="0.25">
      <c r="A162" s="164"/>
      <c r="B162" s="165">
        <f>DATE(24,3,1)</f>
        <v>8827</v>
      </c>
      <c r="C162" s="226">
        <v>38581505.340000004</v>
      </c>
      <c r="D162" s="226">
        <v>4281903.96</v>
      </c>
      <c r="E162" s="226">
        <v>4407775.3899999997</v>
      </c>
      <c r="F162" s="166">
        <f>(+D162-E162)/E162</f>
        <v>-2.8556679699597784E-2</v>
      </c>
      <c r="G162" s="241">
        <f>D162/C162</f>
        <v>0.11098333054311041</v>
      </c>
      <c r="H162" s="242">
        <f>1-G162</f>
        <v>0.88901666945688962</v>
      </c>
      <c r="I162" s="157"/>
    </row>
    <row r="163" spans="1:9" ht="15.75" thickBot="1" x14ac:dyDescent="0.25">
      <c r="A163" s="167"/>
      <c r="B163" s="168"/>
      <c r="C163" s="226"/>
      <c r="D163" s="226"/>
      <c r="E163" s="226"/>
      <c r="F163" s="166"/>
      <c r="G163" s="241"/>
      <c r="H163" s="242"/>
      <c r="I163" s="157"/>
    </row>
    <row r="164" spans="1:9" ht="17.25" thickTop="1" thickBot="1" x14ac:dyDescent="0.3">
      <c r="A164" s="169" t="s">
        <v>14</v>
      </c>
      <c r="B164" s="155"/>
      <c r="C164" s="223">
        <f>SUM(C154:C163)</f>
        <v>300412361.32000005</v>
      </c>
      <c r="D164" s="223">
        <f>SUM(D154:D163)</f>
        <v>33833017.329999998</v>
      </c>
      <c r="E164" s="223">
        <f>SUM(E154:E163)</f>
        <v>33870571.890000001</v>
      </c>
      <c r="F164" s="176">
        <f>(+D164-E164)/E164</f>
        <v>-1.1087666344095611E-3</v>
      </c>
      <c r="G164" s="245">
        <f>D164/C164</f>
        <v>0.11262192135283335</v>
      </c>
      <c r="H164" s="246">
        <f>1-G164</f>
        <v>0.88737807864716667</v>
      </c>
      <c r="I164" s="157"/>
    </row>
    <row r="165" spans="1:9" ht="16.5" thickTop="1" thickBot="1" x14ac:dyDescent="0.25">
      <c r="A165" s="171"/>
      <c r="B165" s="172"/>
      <c r="C165" s="227"/>
      <c r="D165" s="227"/>
      <c r="E165" s="227"/>
      <c r="F165" s="173"/>
      <c r="G165" s="243"/>
      <c r="H165" s="244"/>
      <c r="I165" s="157"/>
    </row>
    <row r="166" spans="1:9" ht="17.25" thickTop="1" thickBot="1" x14ac:dyDescent="0.3">
      <c r="A166" s="184" t="s">
        <v>38</v>
      </c>
      <c r="B166" s="155"/>
      <c r="C166" s="223">
        <f>C164+C152+C116+C92+C68+C44+C20+C56+C140+C32+C104+C128+C80</f>
        <v>12579168869.290001</v>
      </c>
      <c r="D166" s="223">
        <f>D164+D152+D116+D92+D68+D44+D20+D56+D140+D32+D104+D128+D80</f>
        <v>1219034242.8299999</v>
      </c>
      <c r="E166" s="223">
        <f>E164+E152+E116+E92+E68+E44+E20+E56+E140+E32+E104+E128+E80</f>
        <v>1229298647.3699999</v>
      </c>
      <c r="F166" s="170">
        <f>(+D166-E166)/E166</f>
        <v>-8.3498054455359173E-3</v>
      </c>
      <c r="G166" s="236">
        <f>D166/C166</f>
        <v>9.6908965568152455E-2</v>
      </c>
      <c r="H166" s="237">
        <f>1-G166</f>
        <v>0.90309103443184757</v>
      </c>
      <c r="I166" s="157"/>
    </row>
    <row r="167" spans="1:9" ht="17.25" thickTop="1" thickBot="1" x14ac:dyDescent="0.3">
      <c r="A167" s="184"/>
      <c r="B167" s="155"/>
      <c r="C167" s="223"/>
      <c r="D167" s="223"/>
      <c r="E167" s="223"/>
      <c r="F167" s="170"/>
      <c r="G167" s="236"/>
      <c r="H167" s="237"/>
      <c r="I167" s="157"/>
    </row>
    <row r="168" spans="1:9" ht="17.25" thickTop="1" thickBot="1" x14ac:dyDescent="0.3">
      <c r="A168" s="184" t="s">
        <v>39</v>
      </c>
      <c r="B168" s="155"/>
      <c r="C168" s="223">
        <f>+C18+C30+C42+C54+C66+C78+C90+C114+C102+C126+C138+C150+C162</f>
        <v>1549521657.3</v>
      </c>
      <c r="D168" s="223">
        <f>+D18+D30+D42+D54+D66+D78+D90+D114+D102+D126+D138+D150+D162</f>
        <v>151051681.20000002</v>
      </c>
      <c r="E168" s="223">
        <f>+E18+E30+E42+E54+E66+E78+E90+E114+E102+E126+E138+E150+E162</f>
        <v>152640357.85999998</v>
      </c>
      <c r="F168" s="170">
        <f>(+D168-E168)/E168</f>
        <v>-1.0407972585186697E-2</v>
      </c>
      <c r="G168" s="236">
        <f>D168/C168</f>
        <v>9.7482781533498236E-2</v>
      </c>
      <c r="H168" s="246">
        <f>1-G168</f>
        <v>0.90251721846650179</v>
      </c>
      <c r="I168" s="157"/>
    </row>
    <row r="169" spans="1:9" ht="16.5" thickTop="1" x14ac:dyDescent="0.25">
      <c r="A169" s="185"/>
      <c r="B169" s="186"/>
      <c r="C169" s="231"/>
      <c r="D169" s="231"/>
      <c r="E169" s="231"/>
      <c r="F169" s="187"/>
      <c r="G169" s="250"/>
      <c r="H169" s="250"/>
      <c r="I169" s="151"/>
    </row>
    <row r="170" spans="1:9" ht="16.5" customHeight="1" x14ac:dyDescent="0.3">
      <c r="A170" s="188" t="s">
        <v>49</v>
      </c>
      <c r="B170" s="189"/>
      <c r="C170" s="232"/>
      <c r="D170" s="232"/>
      <c r="E170" s="232"/>
      <c r="F170" s="190"/>
      <c r="G170" s="251"/>
      <c r="H170" s="251"/>
      <c r="I170" s="151"/>
    </row>
    <row r="171" spans="1:9" ht="15.75" x14ac:dyDescent="0.25">
      <c r="A171" s="191"/>
      <c r="B171" s="189"/>
      <c r="C171" s="232"/>
      <c r="D171" s="232"/>
      <c r="E171" s="232"/>
      <c r="F171" s="190"/>
      <c r="G171" s="257"/>
      <c r="H171" s="257"/>
      <c r="I171" s="151"/>
    </row>
    <row r="172" spans="1:9" ht="15.75" x14ac:dyDescent="0.25">
      <c r="A172" s="72"/>
      <c r="I172" s="151"/>
    </row>
  </sheetData>
  <phoneticPr fontId="0" type="noConversion"/>
  <printOptions horizontalCentered="1"/>
  <pageMargins left="0.75" right="0.25" top="0.31940000000000002" bottom="0.2" header="0.5" footer="0.5"/>
  <pageSetup scale="64" orientation="landscape" r:id="rId1"/>
  <headerFooter alignWithMargins="0"/>
  <rowBreaks count="3" manualBreakCount="3">
    <brk id="56" max="8" man="1"/>
    <brk id="104" max="8" man="1"/>
    <brk id="152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7</vt:i4>
      </vt:variant>
    </vt:vector>
  </HeadingPairs>
  <TitlesOfParts>
    <vt:vector size="12" baseType="lpstr">
      <vt:lpstr>MONTHLY STATS</vt:lpstr>
      <vt:lpstr>YTD TAXES</vt:lpstr>
      <vt:lpstr>TABLE STATS</vt:lpstr>
      <vt:lpstr>HYBRID STATS</vt:lpstr>
      <vt:lpstr>SLOT STATS</vt:lpstr>
      <vt:lpstr>'MONTHLY STATS'!Print_Area</vt:lpstr>
      <vt:lpstr>'SLOT STATS'!Print_Area</vt:lpstr>
      <vt:lpstr>'TABLE STATS'!Print_Area</vt:lpstr>
      <vt:lpstr>'HYBRID STATS'!Print_Titles</vt:lpstr>
      <vt:lpstr>'MONTHLY STATS'!Print_Titles</vt:lpstr>
      <vt:lpstr>'SLOT STATS'!Print_Titles</vt:lpstr>
      <vt:lpstr>'TABLE STATS'!Print_Titles</vt:lpstr>
    </vt:vector>
  </TitlesOfParts>
  <Company>MGC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Bruns</dc:creator>
  <cp:lastModifiedBy>webteam-prod</cp:lastModifiedBy>
  <cp:lastPrinted>2024-04-09T14:44:15Z</cp:lastPrinted>
  <dcterms:created xsi:type="dcterms:W3CDTF">2003-09-09T14:41:43Z</dcterms:created>
  <dcterms:modified xsi:type="dcterms:W3CDTF">2024-04-09T20:39:49Z</dcterms:modified>
</cp:coreProperties>
</file>