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2024 Feb\Optimized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STATS'!$A$1:$M$143</definedName>
    <definedName name="_xlnm.Print_Area" localSheetId="4">'SLOT STATS'!$A$1:$I$144</definedName>
    <definedName name="_xlnm.Print_Area" localSheetId="2">'TABLE STATS'!$A$1:$H$143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162913" fullCalcOnLoad="1"/>
</workbook>
</file>

<file path=xl/calcChain.xml><?xml version="1.0" encoding="utf-8"?>
<calcChain xmlns="http://schemas.openxmlformats.org/spreadsheetml/2006/main">
  <c r="G135" i="1" l="1"/>
  <c r="F135" i="1"/>
  <c r="G125" i="1"/>
  <c r="F125" i="1"/>
  <c r="G115" i="1"/>
  <c r="F115" i="1"/>
  <c r="G105" i="1"/>
  <c r="F103" i="1"/>
  <c r="F105" i="1"/>
  <c r="G95" i="1"/>
  <c r="F94" i="1"/>
  <c r="F95" i="1"/>
  <c r="G85" i="1"/>
  <c r="F85" i="1"/>
  <c r="G75" i="1"/>
  <c r="F74" i="1"/>
  <c r="F75" i="1"/>
  <c r="G65" i="1"/>
  <c r="F65" i="1"/>
  <c r="G55" i="1"/>
  <c r="F55" i="1"/>
  <c r="G45" i="1"/>
  <c r="F45" i="1"/>
  <c r="G35" i="1"/>
  <c r="F33" i="1"/>
  <c r="F34" i="1"/>
  <c r="F35" i="1"/>
  <c r="G25" i="1"/>
  <c r="F24" i="1"/>
  <c r="F25" i="1"/>
  <c r="G15" i="1"/>
  <c r="F15" i="1"/>
  <c r="E142" i="4"/>
  <c r="D142" i="4"/>
  <c r="C142" i="4"/>
  <c r="G136" i="4"/>
  <c r="H136" i="4"/>
  <c r="F136" i="4"/>
  <c r="G126" i="4"/>
  <c r="H126" i="4"/>
  <c r="F126" i="4"/>
  <c r="G116" i="4"/>
  <c r="H116" i="4"/>
  <c r="F116" i="4"/>
  <c r="G106" i="4"/>
  <c r="H106" i="4"/>
  <c r="F106" i="4"/>
  <c r="G96" i="4"/>
  <c r="H96" i="4"/>
  <c r="F96" i="4"/>
  <c r="G86" i="4"/>
  <c r="H86" i="4"/>
  <c r="F86" i="4"/>
  <c r="H76" i="4"/>
  <c r="G76" i="4"/>
  <c r="F76" i="4"/>
  <c r="G66" i="4"/>
  <c r="H66" i="4"/>
  <c r="F66" i="4"/>
  <c r="G56" i="4"/>
  <c r="H56" i="4"/>
  <c r="F56" i="4"/>
  <c r="G46" i="4"/>
  <c r="H46" i="4"/>
  <c r="F46" i="4"/>
  <c r="B136" i="4"/>
  <c r="B126" i="4"/>
  <c r="B116" i="4"/>
  <c r="B106" i="4"/>
  <c r="B96" i="4"/>
  <c r="B86" i="4"/>
  <c r="B76" i="4"/>
  <c r="B66" i="4"/>
  <c r="B56" i="4"/>
  <c r="B46" i="4"/>
  <c r="G36" i="4"/>
  <c r="H36" i="4"/>
  <c r="F36" i="4"/>
  <c r="B36" i="4"/>
  <c r="G26" i="4"/>
  <c r="H26" i="4"/>
  <c r="F26" i="4"/>
  <c r="B26" i="4"/>
  <c r="G16" i="4"/>
  <c r="H16" i="4"/>
  <c r="F16" i="4"/>
  <c r="B16" i="4"/>
  <c r="E142" i="5"/>
  <c r="D142" i="5"/>
  <c r="C142" i="5"/>
  <c r="B136" i="5"/>
  <c r="F126" i="5"/>
  <c r="B126" i="5"/>
  <c r="B116" i="5"/>
  <c r="B106" i="5"/>
  <c r="B96" i="5"/>
  <c r="B86" i="5"/>
  <c r="B76" i="5"/>
  <c r="B66" i="5"/>
  <c r="B56" i="5"/>
  <c r="B46" i="5"/>
  <c r="B36" i="5"/>
  <c r="B26" i="5"/>
  <c r="B16" i="5"/>
  <c r="E141" i="3"/>
  <c r="D141" i="3"/>
  <c r="C141" i="3"/>
  <c r="G135" i="3"/>
  <c r="F135" i="3"/>
  <c r="B135" i="3"/>
  <c r="G125" i="3"/>
  <c r="F125" i="3"/>
  <c r="B125" i="3"/>
  <c r="F115" i="3"/>
  <c r="B115" i="3"/>
  <c r="G105" i="3"/>
  <c r="F105" i="3"/>
  <c r="B105" i="3"/>
  <c r="G95" i="3"/>
  <c r="F95" i="3"/>
  <c r="B95" i="3"/>
  <c r="G85" i="3"/>
  <c r="F85" i="3"/>
  <c r="B85" i="3"/>
  <c r="G75" i="3"/>
  <c r="F75" i="3"/>
  <c r="B75" i="3"/>
  <c r="G65" i="3"/>
  <c r="F65" i="3"/>
  <c r="B65" i="3"/>
  <c r="G55" i="3"/>
  <c r="F55" i="3"/>
  <c r="G45" i="3"/>
  <c r="F45" i="3"/>
  <c r="B55" i="3"/>
  <c r="B45" i="3"/>
  <c r="G35" i="3"/>
  <c r="F35" i="3"/>
  <c r="G25" i="3"/>
  <c r="F25" i="3"/>
  <c r="B35" i="3"/>
  <c r="B25" i="3"/>
  <c r="G15" i="3"/>
  <c r="F15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37" i="2"/>
  <c r="A16" i="2"/>
  <c r="M135" i="1"/>
  <c r="J135" i="1"/>
  <c r="I135" i="1"/>
  <c r="H135" i="1"/>
  <c r="E135" i="1"/>
  <c r="M125" i="1"/>
  <c r="J125" i="1"/>
  <c r="I125" i="1"/>
  <c r="H125" i="1"/>
  <c r="E125" i="1"/>
  <c r="M115" i="1"/>
  <c r="J115" i="1"/>
  <c r="I115" i="1"/>
  <c r="H115" i="1"/>
  <c r="E115" i="1"/>
  <c r="M105" i="1"/>
  <c r="J105" i="1"/>
  <c r="I105" i="1"/>
  <c r="H105" i="1"/>
  <c r="E105" i="1"/>
  <c r="M95" i="1"/>
  <c r="J95" i="1"/>
  <c r="I95" i="1"/>
  <c r="H95" i="1"/>
  <c r="E95" i="1"/>
  <c r="M85" i="1"/>
  <c r="J85" i="1"/>
  <c r="I85" i="1"/>
  <c r="H85" i="1"/>
  <c r="E85" i="1"/>
  <c r="M75" i="1"/>
  <c r="J75" i="1"/>
  <c r="I75" i="1"/>
  <c r="H75" i="1"/>
  <c r="E75" i="1"/>
  <c r="M65" i="1"/>
  <c r="J65" i="1"/>
  <c r="I65" i="1"/>
  <c r="H65" i="1"/>
  <c r="E65" i="1"/>
  <c r="M55" i="1"/>
  <c r="J55" i="1"/>
  <c r="I55" i="1"/>
  <c r="H55" i="1"/>
  <c r="E55" i="1"/>
  <c r="M45" i="1"/>
  <c r="J45" i="1"/>
  <c r="I45" i="1"/>
  <c r="H45" i="1"/>
  <c r="E45" i="1"/>
  <c r="M35" i="1"/>
  <c r="J35" i="1"/>
  <c r="I35" i="1"/>
  <c r="H35" i="1"/>
  <c r="E35" i="1"/>
  <c r="M25" i="1"/>
  <c r="J25" i="1"/>
  <c r="I25" i="1"/>
  <c r="H25" i="1"/>
  <c r="E25" i="1"/>
  <c r="M15" i="1"/>
  <c r="J15" i="1"/>
  <c r="I15" i="1"/>
  <c r="H15" i="1"/>
  <c r="E15" i="1"/>
  <c r="L141" i="1"/>
  <c r="K141" i="1"/>
  <c r="G141" i="1"/>
  <c r="F141" i="1"/>
  <c r="D141" i="1"/>
  <c r="C141" i="1"/>
  <c r="B135" i="1"/>
  <c r="B125" i="1"/>
  <c r="B115" i="1"/>
  <c r="B105" i="1"/>
  <c r="B95" i="1"/>
  <c r="B85" i="1"/>
  <c r="B75" i="1"/>
  <c r="B65" i="1"/>
  <c r="B55" i="1"/>
  <c r="B45" i="1"/>
  <c r="B35" i="1"/>
  <c r="B25" i="1"/>
  <c r="B15" i="1"/>
  <c r="F135" i="4"/>
  <c r="G135" i="4"/>
  <c r="H135" i="4"/>
  <c r="F125" i="4"/>
  <c r="G125" i="4"/>
  <c r="H125" i="4"/>
  <c r="F115" i="4"/>
  <c r="G115" i="4"/>
  <c r="H115" i="4"/>
  <c r="F105" i="4"/>
  <c r="G105" i="4"/>
  <c r="H105" i="4"/>
  <c r="F95" i="4"/>
  <c r="G95" i="4"/>
  <c r="H95" i="4"/>
  <c r="F85" i="4"/>
  <c r="G85" i="4"/>
  <c r="H85" i="4"/>
  <c r="F75" i="4"/>
  <c r="G75" i="4"/>
  <c r="H75" i="4"/>
  <c r="F65" i="4"/>
  <c r="G65" i="4"/>
  <c r="H65" i="4"/>
  <c r="F55" i="4"/>
  <c r="G55" i="4"/>
  <c r="H55" i="4"/>
  <c r="F45" i="4"/>
  <c r="G45" i="4"/>
  <c r="H45" i="4"/>
  <c r="F35" i="4"/>
  <c r="G35" i="4"/>
  <c r="H35" i="4"/>
  <c r="F25" i="4"/>
  <c r="G25" i="4"/>
  <c r="H25" i="4"/>
  <c r="F15" i="4"/>
  <c r="G15" i="4"/>
  <c r="H15" i="4"/>
  <c r="B135" i="4"/>
  <c r="B125" i="4"/>
  <c r="B115" i="4"/>
  <c r="B105" i="4"/>
  <c r="B95" i="4"/>
  <c r="B85" i="4"/>
  <c r="B75" i="4"/>
  <c r="B65" i="4"/>
  <c r="B55" i="4"/>
  <c r="B45" i="4"/>
  <c r="B35" i="4"/>
  <c r="B25" i="4"/>
  <c r="B15" i="4"/>
  <c r="F125" i="5"/>
  <c r="B135" i="5"/>
  <c r="B125" i="5"/>
  <c r="B115" i="5"/>
  <c r="B105" i="5"/>
  <c r="B95" i="5"/>
  <c r="B85" i="5"/>
  <c r="B75" i="5"/>
  <c r="B65" i="5"/>
  <c r="B55" i="5"/>
  <c r="B45" i="5"/>
  <c r="B35" i="5"/>
  <c r="B25" i="5"/>
  <c r="B15" i="5"/>
  <c r="F134" i="3"/>
  <c r="G134" i="3"/>
  <c r="F124" i="3"/>
  <c r="G124" i="3"/>
  <c r="F114" i="3"/>
  <c r="F104" i="3"/>
  <c r="G104" i="3"/>
  <c r="F94" i="3"/>
  <c r="G94" i="3"/>
  <c r="F84" i="3"/>
  <c r="G84" i="3"/>
  <c r="F74" i="3"/>
  <c r="G74" i="3"/>
  <c r="F64" i="3"/>
  <c r="G64" i="3"/>
  <c r="F54" i="3"/>
  <c r="G54" i="3"/>
  <c r="F44" i="3"/>
  <c r="G44" i="3"/>
  <c r="F34" i="3"/>
  <c r="G34" i="3"/>
  <c r="F24" i="3"/>
  <c r="G24" i="3"/>
  <c r="F14" i="3"/>
  <c r="G14" i="3"/>
  <c r="B134" i="3"/>
  <c r="B124" i="3"/>
  <c r="B114" i="3"/>
  <c r="B104" i="3"/>
  <c r="B94" i="3"/>
  <c r="B84" i="3"/>
  <c r="B74" i="3"/>
  <c r="B64" i="3"/>
  <c r="B54" i="3"/>
  <c r="B44" i="3"/>
  <c r="B34" i="3"/>
  <c r="B24" i="3"/>
  <c r="B14" i="3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F93" i="1"/>
  <c r="J93" i="1"/>
  <c r="F102" i="1"/>
  <c r="J102" i="1"/>
  <c r="F73" i="1"/>
  <c r="H73" i="1"/>
  <c r="F43" i="1"/>
  <c r="J43" i="1"/>
  <c r="H134" i="1"/>
  <c r="M134" i="1"/>
  <c r="I134" i="1"/>
  <c r="J134" i="1"/>
  <c r="G134" i="1"/>
  <c r="F134" i="1"/>
  <c r="F137" i="1"/>
  <c r="E134" i="1"/>
  <c r="M124" i="1"/>
  <c r="I124" i="1"/>
  <c r="G124" i="1"/>
  <c r="F124" i="1"/>
  <c r="H124" i="1"/>
  <c r="E124" i="1"/>
  <c r="H114" i="1"/>
  <c r="M114" i="1"/>
  <c r="I114" i="1"/>
  <c r="J114" i="1"/>
  <c r="G114" i="1"/>
  <c r="F114" i="1"/>
  <c r="E114" i="1"/>
  <c r="H104" i="1"/>
  <c r="M104" i="1"/>
  <c r="I104" i="1"/>
  <c r="J104" i="1"/>
  <c r="G104" i="1"/>
  <c r="F104" i="1"/>
  <c r="E104" i="1"/>
  <c r="M94" i="1"/>
  <c r="I94" i="1"/>
  <c r="G94" i="1"/>
  <c r="H94" i="1"/>
  <c r="E94" i="1"/>
  <c r="H84" i="1"/>
  <c r="M84" i="1"/>
  <c r="I84" i="1"/>
  <c r="J84" i="1"/>
  <c r="G84" i="1"/>
  <c r="G87" i="1"/>
  <c r="F84" i="1"/>
  <c r="F87" i="1"/>
  <c r="E84" i="1"/>
  <c r="M74" i="1"/>
  <c r="I74" i="1"/>
  <c r="G74" i="1"/>
  <c r="H74" i="1"/>
  <c r="E74" i="1"/>
  <c r="H64" i="1"/>
  <c r="M64" i="1"/>
  <c r="I64" i="1"/>
  <c r="J64" i="1"/>
  <c r="G64" i="1"/>
  <c r="G67" i="1"/>
  <c r="F64" i="1"/>
  <c r="E64" i="1"/>
  <c r="H54" i="1"/>
  <c r="M54" i="1"/>
  <c r="I54" i="1"/>
  <c r="J54" i="1"/>
  <c r="G54" i="1"/>
  <c r="F54" i="1"/>
  <c r="E54" i="1"/>
  <c r="H44" i="1"/>
  <c r="M44" i="1"/>
  <c r="I44" i="1"/>
  <c r="J44" i="1"/>
  <c r="G44" i="1"/>
  <c r="F44" i="1"/>
  <c r="E44" i="1"/>
  <c r="H34" i="1"/>
  <c r="M34" i="1"/>
  <c r="I34" i="1"/>
  <c r="G34" i="1"/>
  <c r="G37" i="1"/>
  <c r="J34" i="1"/>
  <c r="E34" i="1"/>
  <c r="M24" i="1"/>
  <c r="I24" i="1"/>
  <c r="G24" i="1"/>
  <c r="G27" i="1"/>
  <c r="J24" i="1"/>
  <c r="E24" i="1"/>
  <c r="H14" i="1"/>
  <c r="M14" i="1"/>
  <c r="I14" i="1"/>
  <c r="J14" i="1"/>
  <c r="G14" i="1"/>
  <c r="F14" i="1"/>
  <c r="E14" i="1"/>
  <c r="B134" i="1"/>
  <c r="B124" i="1"/>
  <c r="B114" i="1"/>
  <c r="B104" i="1"/>
  <c r="B94" i="1"/>
  <c r="B84" i="1"/>
  <c r="B74" i="1"/>
  <c r="B64" i="1"/>
  <c r="B54" i="1"/>
  <c r="B44" i="1"/>
  <c r="B34" i="1"/>
  <c r="B24" i="1"/>
  <c r="B14" i="1"/>
  <c r="A35" i="2"/>
  <c r="A14" i="2"/>
  <c r="G133" i="1"/>
  <c r="H133" i="1"/>
  <c r="G123" i="1"/>
  <c r="G113" i="1"/>
  <c r="G103" i="1"/>
  <c r="G107" i="1"/>
  <c r="G93" i="1"/>
  <c r="G83" i="1"/>
  <c r="G73" i="1"/>
  <c r="G63" i="1"/>
  <c r="G53" i="1"/>
  <c r="H53" i="1"/>
  <c r="G43" i="1"/>
  <c r="G33" i="1"/>
  <c r="G23" i="1"/>
  <c r="G13" i="1"/>
  <c r="F133" i="1"/>
  <c r="F123" i="1"/>
  <c r="F127" i="1"/>
  <c r="F113" i="1"/>
  <c r="H103" i="1"/>
  <c r="F80" i="1"/>
  <c r="H80" i="1"/>
  <c r="F83" i="1"/>
  <c r="J83" i="1"/>
  <c r="F72" i="1"/>
  <c r="F63" i="1"/>
  <c r="J63" i="1"/>
  <c r="F53" i="1"/>
  <c r="F57" i="1"/>
  <c r="F23" i="1"/>
  <c r="J23" i="1"/>
  <c r="F13" i="1"/>
  <c r="G134" i="4"/>
  <c r="H134" i="4"/>
  <c r="F134" i="4"/>
  <c r="G124" i="4"/>
  <c r="H124" i="4"/>
  <c r="F124" i="4"/>
  <c r="G114" i="4"/>
  <c r="H114" i="4"/>
  <c r="F114" i="4"/>
  <c r="G104" i="4"/>
  <c r="H104" i="4"/>
  <c r="F104" i="4"/>
  <c r="G94" i="4"/>
  <c r="H94" i="4"/>
  <c r="F94" i="4"/>
  <c r="G84" i="4"/>
  <c r="H84" i="4"/>
  <c r="F84" i="4"/>
  <c r="G74" i="4"/>
  <c r="H74" i="4"/>
  <c r="F74" i="4"/>
  <c r="G64" i="4"/>
  <c r="H64" i="4"/>
  <c r="F64" i="4"/>
  <c r="G54" i="4"/>
  <c r="H54" i="4"/>
  <c r="F54" i="4"/>
  <c r="G44" i="4"/>
  <c r="H44" i="4"/>
  <c r="F44" i="4"/>
  <c r="G34" i="4"/>
  <c r="H34" i="4"/>
  <c r="F34" i="4"/>
  <c r="G24" i="4"/>
  <c r="H24" i="4"/>
  <c r="F24" i="4"/>
  <c r="G14" i="4"/>
  <c r="H14" i="4"/>
  <c r="F14" i="4"/>
  <c r="B134" i="4"/>
  <c r="B124" i="4"/>
  <c r="B114" i="4"/>
  <c r="B104" i="4"/>
  <c r="B94" i="4"/>
  <c r="B84" i="4"/>
  <c r="B74" i="4"/>
  <c r="B64" i="4"/>
  <c r="B54" i="4"/>
  <c r="B44" i="4"/>
  <c r="B34" i="4"/>
  <c r="B24" i="4"/>
  <c r="B14" i="4"/>
  <c r="G124" i="5"/>
  <c r="H124" i="5"/>
  <c r="F124" i="5"/>
  <c r="B134" i="5"/>
  <c r="B124" i="5"/>
  <c r="B114" i="5"/>
  <c r="B104" i="5"/>
  <c r="B94" i="5"/>
  <c r="B84" i="5"/>
  <c r="B74" i="5"/>
  <c r="B64" i="5"/>
  <c r="B54" i="5"/>
  <c r="B44" i="5"/>
  <c r="B34" i="5"/>
  <c r="B24" i="5"/>
  <c r="B14" i="5"/>
  <c r="G133" i="3"/>
  <c r="F133" i="3"/>
  <c r="G123" i="3"/>
  <c r="F123" i="3"/>
  <c r="G113" i="3"/>
  <c r="F113" i="3"/>
  <c r="G103" i="3"/>
  <c r="F103" i="3"/>
  <c r="G93" i="3"/>
  <c r="F93" i="3"/>
  <c r="G83" i="3"/>
  <c r="F83" i="3"/>
  <c r="G73" i="3"/>
  <c r="F73" i="3"/>
  <c r="G63" i="3"/>
  <c r="F63" i="3"/>
  <c r="G53" i="3"/>
  <c r="F53" i="3"/>
  <c r="G43" i="3"/>
  <c r="F43" i="3"/>
  <c r="G33" i="3"/>
  <c r="F33" i="3"/>
  <c r="G23" i="3"/>
  <c r="F23" i="3"/>
  <c r="G13" i="3"/>
  <c r="F13" i="3"/>
  <c r="B133" i="3"/>
  <c r="B123" i="3"/>
  <c r="B113" i="3"/>
  <c r="B103" i="3"/>
  <c r="B93" i="3"/>
  <c r="B83" i="3"/>
  <c r="B73" i="3"/>
  <c r="B63" i="3"/>
  <c r="B53" i="3"/>
  <c r="B43" i="3"/>
  <c r="B33" i="3"/>
  <c r="B23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M133" i="1"/>
  <c r="J133" i="1"/>
  <c r="I133" i="1"/>
  <c r="E133" i="1"/>
  <c r="M123" i="1"/>
  <c r="J123" i="1"/>
  <c r="I123" i="1"/>
  <c r="E123" i="1"/>
  <c r="M113" i="1"/>
  <c r="J113" i="1"/>
  <c r="I113" i="1"/>
  <c r="E113" i="1"/>
  <c r="M103" i="1"/>
  <c r="J103" i="1"/>
  <c r="I103" i="1"/>
  <c r="E103" i="1"/>
  <c r="M93" i="1"/>
  <c r="I93" i="1"/>
  <c r="H93" i="1"/>
  <c r="E93" i="1"/>
  <c r="M83" i="1"/>
  <c r="I83" i="1"/>
  <c r="H83" i="1"/>
  <c r="E83" i="1"/>
  <c r="M73" i="1"/>
  <c r="I73" i="1"/>
  <c r="E73" i="1"/>
  <c r="M63" i="1"/>
  <c r="I63" i="1"/>
  <c r="E63" i="1"/>
  <c r="M53" i="1"/>
  <c r="I53" i="1"/>
  <c r="E53" i="1"/>
  <c r="M43" i="1"/>
  <c r="I43" i="1"/>
  <c r="E43" i="1"/>
  <c r="M33" i="1"/>
  <c r="J33" i="1"/>
  <c r="I33" i="1"/>
  <c r="H33" i="1"/>
  <c r="E33" i="1"/>
  <c r="M23" i="1"/>
  <c r="I23" i="1"/>
  <c r="E23" i="1"/>
  <c r="M13" i="1"/>
  <c r="J13" i="1"/>
  <c r="I13" i="1"/>
  <c r="E13" i="1"/>
  <c r="B133" i="1"/>
  <c r="B123" i="1"/>
  <c r="B113" i="1"/>
  <c r="B103" i="1"/>
  <c r="B93" i="1"/>
  <c r="B83" i="1"/>
  <c r="B73" i="1"/>
  <c r="B63" i="1"/>
  <c r="B53" i="1"/>
  <c r="B43" i="1"/>
  <c r="B33" i="1"/>
  <c r="B23" i="1"/>
  <c r="B13" i="1"/>
  <c r="G72" i="1"/>
  <c r="G132" i="1"/>
  <c r="G137" i="1"/>
  <c r="G122" i="1"/>
  <c r="H122" i="1"/>
  <c r="G112" i="1"/>
  <c r="G117" i="1"/>
  <c r="G102" i="1"/>
  <c r="G92" i="1"/>
  <c r="G82" i="1"/>
  <c r="H82" i="1"/>
  <c r="G62" i="1"/>
  <c r="G52" i="1"/>
  <c r="G42" i="1"/>
  <c r="H42" i="1"/>
  <c r="G32" i="1"/>
  <c r="G22" i="1"/>
  <c r="G12" i="1"/>
  <c r="F11" i="1"/>
  <c r="H11" i="1"/>
  <c r="F12" i="1"/>
  <c r="J12" i="1"/>
  <c r="F132" i="1"/>
  <c r="J132" i="1"/>
  <c r="F121" i="1"/>
  <c r="J121" i="1"/>
  <c r="F122" i="1"/>
  <c r="J122" i="1"/>
  <c r="F112" i="1"/>
  <c r="J112" i="1"/>
  <c r="H102" i="1"/>
  <c r="F92" i="1"/>
  <c r="J92" i="1"/>
  <c r="F82" i="1"/>
  <c r="J82" i="1"/>
  <c r="F62" i="1"/>
  <c r="J62" i="1"/>
  <c r="F51" i="1"/>
  <c r="F52" i="1"/>
  <c r="H52" i="1"/>
  <c r="F40" i="1"/>
  <c r="F39" i="1"/>
  <c r="H39" i="1"/>
  <c r="J39" i="1"/>
  <c r="F42" i="1"/>
  <c r="J42" i="1"/>
  <c r="F32" i="1"/>
  <c r="J32" i="1"/>
  <c r="F22" i="1"/>
  <c r="G133" i="4"/>
  <c r="H133" i="4"/>
  <c r="F133" i="4"/>
  <c r="G123" i="4"/>
  <c r="H123" i="4"/>
  <c r="F123" i="4"/>
  <c r="G113" i="4"/>
  <c r="H113" i="4"/>
  <c r="F113" i="4"/>
  <c r="G103" i="4"/>
  <c r="H103" i="4"/>
  <c r="F103" i="4"/>
  <c r="G93" i="4"/>
  <c r="H93" i="4"/>
  <c r="F93" i="4"/>
  <c r="G83" i="4"/>
  <c r="H83" i="4"/>
  <c r="F83" i="4"/>
  <c r="G73" i="4"/>
  <c r="H73" i="4"/>
  <c r="F73" i="4"/>
  <c r="G63" i="4"/>
  <c r="H63" i="4"/>
  <c r="F63" i="4"/>
  <c r="G53" i="4"/>
  <c r="H53" i="4"/>
  <c r="F53" i="4"/>
  <c r="G43" i="4"/>
  <c r="H43" i="4"/>
  <c r="F43" i="4"/>
  <c r="G33" i="4"/>
  <c r="H33" i="4"/>
  <c r="F33" i="4"/>
  <c r="G23" i="4"/>
  <c r="H23" i="4"/>
  <c r="F23" i="4"/>
  <c r="G13" i="4"/>
  <c r="H13" i="4"/>
  <c r="F13" i="4"/>
  <c r="B133" i="4"/>
  <c r="B123" i="4"/>
  <c r="B113" i="4"/>
  <c r="B103" i="4"/>
  <c r="B93" i="4"/>
  <c r="B83" i="4"/>
  <c r="B73" i="4"/>
  <c r="B63" i="4"/>
  <c r="B53" i="4"/>
  <c r="B43" i="4"/>
  <c r="B33" i="4"/>
  <c r="B23" i="4"/>
  <c r="B13" i="4"/>
  <c r="G123" i="5"/>
  <c r="H123" i="5"/>
  <c r="F123" i="5"/>
  <c r="B133" i="5"/>
  <c r="B123" i="5"/>
  <c r="B113" i="5"/>
  <c r="B103" i="5"/>
  <c r="B93" i="5"/>
  <c r="B83" i="5"/>
  <c r="B73" i="5"/>
  <c r="B63" i="5"/>
  <c r="B53" i="5"/>
  <c r="B43" i="5"/>
  <c r="B33" i="5"/>
  <c r="B23" i="5"/>
  <c r="B13" i="5"/>
  <c r="G132" i="3"/>
  <c r="F132" i="3"/>
  <c r="G122" i="3"/>
  <c r="F122" i="3"/>
  <c r="G112" i="3"/>
  <c r="F112" i="3"/>
  <c r="G102" i="3"/>
  <c r="F102" i="3"/>
  <c r="G92" i="3"/>
  <c r="F92" i="3"/>
  <c r="G82" i="3"/>
  <c r="F82" i="3"/>
  <c r="G72" i="3"/>
  <c r="F72" i="3"/>
  <c r="G62" i="3"/>
  <c r="F62" i="3"/>
  <c r="G52" i="3"/>
  <c r="F52" i="3"/>
  <c r="G42" i="3"/>
  <c r="F42" i="3"/>
  <c r="G32" i="3"/>
  <c r="F32" i="3"/>
  <c r="G22" i="3"/>
  <c r="F22" i="3"/>
  <c r="B132" i="3"/>
  <c r="B122" i="3"/>
  <c r="B112" i="3"/>
  <c r="B102" i="3"/>
  <c r="B92" i="3"/>
  <c r="B82" i="3"/>
  <c r="B72" i="3"/>
  <c r="B62" i="3"/>
  <c r="B52" i="3"/>
  <c r="B42" i="3"/>
  <c r="B32" i="3"/>
  <c r="B22" i="3"/>
  <c r="G12" i="3"/>
  <c r="F12" i="3"/>
  <c r="B12" i="3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M132" i="1"/>
  <c r="I132" i="1"/>
  <c r="H132" i="1"/>
  <c r="E132" i="1"/>
  <c r="M122" i="1"/>
  <c r="I122" i="1"/>
  <c r="E122" i="1"/>
  <c r="M112" i="1"/>
  <c r="I112" i="1"/>
  <c r="E112" i="1"/>
  <c r="M102" i="1"/>
  <c r="I102" i="1"/>
  <c r="E102" i="1"/>
  <c r="M92" i="1"/>
  <c r="I92" i="1"/>
  <c r="E92" i="1"/>
  <c r="M82" i="1"/>
  <c r="I82" i="1"/>
  <c r="E82" i="1"/>
  <c r="M72" i="1"/>
  <c r="I72" i="1"/>
  <c r="E72" i="1"/>
  <c r="M62" i="1"/>
  <c r="I62" i="1"/>
  <c r="E62" i="1"/>
  <c r="M52" i="1"/>
  <c r="J52" i="1"/>
  <c r="I52" i="1"/>
  <c r="E52" i="1"/>
  <c r="M42" i="1"/>
  <c r="I42" i="1"/>
  <c r="E42" i="1"/>
  <c r="M32" i="1"/>
  <c r="I32" i="1"/>
  <c r="H32" i="1"/>
  <c r="E32" i="1"/>
  <c r="M22" i="1"/>
  <c r="J22" i="1"/>
  <c r="I22" i="1"/>
  <c r="E22" i="1"/>
  <c r="M12" i="1"/>
  <c r="I12" i="1"/>
  <c r="H12" i="1"/>
  <c r="E12" i="1"/>
  <c r="B132" i="1"/>
  <c r="B122" i="1"/>
  <c r="B112" i="1"/>
  <c r="B102" i="1"/>
  <c r="B92" i="1"/>
  <c r="B82" i="1"/>
  <c r="B72" i="1"/>
  <c r="B62" i="1"/>
  <c r="B52" i="1"/>
  <c r="B42" i="1"/>
  <c r="B32" i="1"/>
  <c r="B22" i="1"/>
  <c r="B12" i="1"/>
  <c r="F71" i="1"/>
  <c r="H71" i="1"/>
  <c r="G131" i="1"/>
  <c r="G121" i="1"/>
  <c r="G111" i="1"/>
  <c r="G101" i="1"/>
  <c r="G91" i="1"/>
  <c r="G81" i="1"/>
  <c r="G71" i="1"/>
  <c r="G61" i="1"/>
  <c r="G51" i="1"/>
  <c r="G41" i="1"/>
  <c r="H41" i="1"/>
  <c r="G31" i="1"/>
  <c r="G21" i="1"/>
  <c r="G11" i="1"/>
  <c r="G17" i="1"/>
  <c r="F131" i="1"/>
  <c r="F111" i="1"/>
  <c r="F101" i="1"/>
  <c r="F91" i="1"/>
  <c r="F81" i="1"/>
  <c r="F61" i="1"/>
  <c r="H51" i="1"/>
  <c r="F41" i="1"/>
  <c r="F31" i="1"/>
  <c r="H31" i="1"/>
  <c r="F21" i="1"/>
  <c r="J21" i="1"/>
  <c r="G132" i="4"/>
  <c r="H132" i="4"/>
  <c r="F132" i="4"/>
  <c r="G122" i="4"/>
  <c r="H122" i="4"/>
  <c r="F122" i="4"/>
  <c r="G112" i="4"/>
  <c r="H112" i="4"/>
  <c r="F112" i="4"/>
  <c r="G102" i="4"/>
  <c r="H102" i="4"/>
  <c r="F102" i="4"/>
  <c r="G92" i="4"/>
  <c r="H92" i="4"/>
  <c r="F92" i="4"/>
  <c r="G82" i="4"/>
  <c r="H82" i="4"/>
  <c r="F82" i="4"/>
  <c r="G72" i="4"/>
  <c r="H72" i="4"/>
  <c r="F72" i="4"/>
  <c r="G62" i="4"/>
  <c r="H62" i="4"/>
  <c r="F62" i="4"/>
  <c r="G52" i="4"/>
  <c r="H52" i="4"/>
  <c r="F52" i="4"/>
  <c r="G42" i="4"/>
  <c r="H42" i="4"/>
  <c r="F42" i="4"/>
  <c r="G32" i="4"/>
  <c r="H32" i="4"/>
  <c r="F32" i="4"/>
  <c r="G22" i="4"/>
  <c r="H22" i="4"/>
  <c r="F22" i="4"/>
  <c r="G12" i="4"/>
  <c r="H12" i="4"/>
  <c r="F12" i="4"/>
  <c r="B132" i="4"/>
  <c r="B122" i="4"/>
  <c r="B112" i="4"/>
  <c r="B102" i="4"/>
  <c r="B92" i="4"/>
  <c r="B82" i="4"/>
  <c r="B72" i="4"/>
  <c r="B62" i="4"/>
  <c r="B52" i="4"/>
  <c r="B42" i="4"/>
  <c r="B32" i="4"/>
  <c r="B22" i="4"/>
  <c r="B12" i="4"/>
  <c r="G122" i="5"/>
  <c r="H122" i="5"/>
  <c r="F122" i="5"/>
  <c r="B132" i="5"/>
  <c r="B122" i="5"/>
  <c r="B112" i="5"/>
  <c r="B102" i="5"/>
  <c r="B92" i="5"/>
  <c r="B82" i="5"/>
  <c r="B72" i="5"/>
  <c r="B62" i="5"/>
  <c r="B52" i="5"/>
  <c r="B42" i="5"/>
  <c r="B32" i="5"/>
  <c r="B22" i="5"/>
  <c r="B12" i="5"/>
  <c r="G131" i="3"/>
  <c r="F131" i="3"/>
  <c r="G121" i="3"/>
  <c r="F121" i="3"/>
  <c r="G111" i="3"/>
  <c r="F111" i="3"/>
  <c r="G101" i="3"/>
  <c r="F101" i="3"/>
  <c r="G91" i="3"/>
  <c r="F91" i="3"/>
  <c r="G81" i="3"/>
  <c r="F81" i="3"/>
  <c r="G71" i="3"/>
  <c r="F71" i="3"/>
  <c r="G61" i="3"/>
  <c r="F61" i="3"/>
  <c r="G51" i="3"/>
  <c r="F51" i="3"/>
  <c r="G41" i="3"/>
  <c r="F41" i="3"/>
  <c r="G31" i="3"/>
  <c r="F31" i="3"/>
  <c r="G21" i="3"/>
  <c r="F21" i="3"/>
  <c r="B131" i="3"/>
  <c r="B121" i="3"/>
  <c r="B111" i="3"/>
  <c r="B101" i="3"/>
  <c r="B91" i="3"/>
  <c r="B81" i="3"/>
  <c r="B71" i="3"/>
  <c r="B61" i="3"/>
  <c r="B51" i="3"/>
  <c r="B41" i="3"/>
  <c r="B31" i="3"/>
  <c r="B21" i="3"/>
  <c r="G11" i="3"/>
  <c r="F11" i="3"/>
  <c r="B11" i="3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M131" i="1"/>
  <c r="J131" i="1"/>
  <c r="I131" i="1"/>
  <c r="E131" i="1"/>
  <c r="M121" i="1"/>
  <c r="I121" i="1"/>
  <c r="E121" i="1"/>
  <c r="M111" i="1"/>
  <c r="J111" i="1"/>
  <c r="I111" i="1"/>
  <c r="E111" i="1"/>
  <c r="M101" i="1"/>
  <c r="J101" i="1"/>
  <c r="I101" i="1"/>
  <c r="E101" i="1"/>
  <c r="M91" i="1"/>
  <c r="J91" i="1"/>
  <c r="I91" i="1"/>
  <c r="H91" i="1"/>
  <c r="E91" i="1"/>
  <c r="M81" i="1"/>
  <c r="J81" i="1"/>
  <c r="I81" i="1"/>
  <c r="E81" i="1"/>
  <c r="M71" i="1"/>
  <c r="I71" i="1"/>
  <c r="E71" i="1"/>
  <c r="M61" i="1"/>
  <c r="J61" i="1"/>
  <c r="I61" i="1"/>
  <c r="E61" i="1"/>
  <c r="M51" i="1"/>
  <c r="J51" i="1"/>
  <c r="I51" i="1"/>
  <c r="E51" i="1"/>
  <c r="M41" i="1"/>
  <c r="J41" i="1"/>
  <c r="I41" i="1"/>
  <c r="E41" i="1"/>
  <c r="M31" i="1"/>
  <c r="J31" i="1"/>
  <c r="I31" i="1"/>
  <c r="E31" i="1"/>
  <c r="M21" i="1"/>
  <c r="I21" i="1"/>
  <c r="E21" i="1"/>
  <c r="M11" i="1"/>
  <c r="I11" i="1"/>
  <c r="E11" i="1"/>
  <c r="B131" i="1"/>
  <c r="B121" i="1"/>
  <c r="B111" i="1"/>
  <c r="B101" i="1"/>
  <c r="B91" i="1"/>
  <c r="B81" i="1"/>
  <c r="B71" i="1"/>
  <c r="B61" i="1"/>
  <c r="B51" i="1"/>
  <c r="B41" i="1"/>
  <c r="B31" i="1"/>
  <c r="B21" i="1"/>
  <c r="B11" i="1"/>
  <c r="G131" i="4"/>
  <c r="H131" i="4"/>
  <c r="F131" i="4"/>
  <c r="G121" i="4"/>
  <c r="H121" i="4"/>
  <c r="F121" i="4"/>
  <c r="G111" i="4"/>
  <c r="H111" i="4"/>
  <c r="F111" i="4"/>
  <c r="G101" i="4"/>
  <c r="H101" i="4"/>
  <c r="F101" i="4"/>
  <c r="G91" i="4"/>
  <c r="H91" i="4"/>
  <c r="F91" i="4"/>
  <c r="G81" i="4"/>
  <c r="H81" i="4"/>
  <c r="F81" i="4"/>
  <c r="G71" i="4"/>
  <c r="H71" i="4"/>
  <c r="F71" i="4"/>
  <c r="G61" i="4"/>
  <c r="H61" i="4"/>
  <c r="F61" i="4"/>
  <c r="G51" i="4"/>
  <c r="H51" i="4"/>
  <c r="F51" i="4"/>
  <c r="G41" i="4"/>
  <c r="H41" i="4"/>
  <c r="F41" i="4"/>
  <c r="G31" i="4"/>
  <c r="H31" i="4"/>
  <c r="F31" i="4"/>
  <c r="G21" i="4"/>
  <c r="H21" i="4"/>
  <c r="F21" i="4"/>
  <c r="G11" i="4"/>
  <c r="H11" i="4"/>
  <c r="F11" i="4"/>
  <c r="B131" i="4"/>
  <c r="B121" i="4"/>
  <c r="B111" i="4"/>
  <c r="B101" i="4"/>
  <c r="B91" i="4"/>
  <c r="B81" i="4"/>
  <c r="B71" i="4"/>
  <c r="B61" i="4"/>
  <c r="B51" i="4"/>
  <c r="B41" i="4"/>
  <c r="B31" i="4"/>
  <c r="B21" i="4"/>
  <c r="B11" i="4"/>
  <c r="G121" i="5"/>
  <c r="H121" i="5"/>
  <c r="F121" i="5"/>
  <c r="B131" i="5"/>
  <c r="B121" i="5"/>
  <c r="B111" i="5"/>
  <c r="B101" i="5"/>
  <c r="B91" i="5"/>
  <c r="B81" i="5"/>
  <c r="B71" i="5"/>
  <c r="B61" i="5"/>
  <c r="B51" i="5"/>
  <c r="B41" i="5"/>
  <c r="B31" i="5"/>
  <c r="B21" i="5"/>
  <c r="B11" i="5"/>
  <c r="G130" i="3"/>
  <c r="F130" i="3"/>
  <c r="G120" i="3"/>
  <c r="F120" i="3"/>
  <c r="G110" i="3"/>
  <c r="F110" i="3"/>
  <c r="G100" i="3"/>
  <c r="F100" i="3"/>
  <c r="G90" i="3"/>
  <c r="F90" i="3"/>
  <c r="G80" i="3"/>
  <c r="F80" i="3"/>
  <c r="G70" i="3"/>
  <c r="F70" i="3"/>
  <c r="G60" i="3"/>
  <c r="F60" i="3"/>
  <c r="G50" i="3"/>
  <c r="F50" i="3"/>
  <c r="G40" i="3"/>
  <c r="F40" i="3"/>
  <c r="G30" i="3"/>
  <c r="F30" i="3"/>
  <c r="G20" i="3"/>
  <c r="F20" i="3"/>
  <c r="G10" i="3"/>
  <c r="F10" i="3"/>
  <c r="B130" i="3"/>
  <c r="B120" i="3"/>
  <c r="B110" i="3"/>
  <c r="B100" i="3"/>
  <c r="B90" i="3"/>
  <c r="B80" i="3"/>
  <c r="B70" i="3"/>
  <c r="B60" i="3"/>
  <c r="B50" i="3"/>
  <c r="B40" i="3"/>
  <c r="B30" i="3"/>
  <c r="B20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G79" i="1"/>
  <c r="M130" i="1"/>
  <c r="J130" i="1"/>
  <c r="I130" i="1"/>
  <c r="H130" i="1"/>
  <c r="E130" i="1"/>
  <c r="G130" i="1"/>
  <c r="F130" i="1"/>
  <c r="M120" i="1"/>
  <c r="J120" i="1"/>
  <c r="I120" i="1"/>
  <c r="H120" i="1"/>
  <c r="E120" i="1"/>
  <c r="G120" i="1"/>
  <c r="F120" i="1"/>
  <c r="M110" i="1"/>
  <c r="J110" i="1"/>
  <c r="I110" i="1"/>
  <c r="H110" i="1"/>
  <c r="E110" i="1"/>
  <c r="G110" i="1"/>
  <c r="F110" i="1"/>
  <c r="M100" i="1"/>
  <c r="J100" i="1"/>
  <c r="I100" i="1"/>
  <c r="H100" i="1"/>
  <c r="E100" i="1"/>
  <c r="G100" i="1"/>
  <c r="F100" i="1"/>
  <c r="M90" i="1"/>
  <c r="J90" i="1"/>
  <c r="I90" i="1"/>
  <c r="H90" i="1"/>
  <c r="E90" i="1"/>
  <c r="G90" i="1"/>
  <c r="F90" i="1"/>
  <c r="M80" i="1"/>
  <c r="I80" i="1"/>
  <c r="E80" i="1"/>
  <c r="G80" i="1"/>
  <c r="M70" i="1"/>
  <c r="J70" i="1"/>
  <c r="I70" i="1"/>
  <c r="H70" i="1"/>
  <c r="E70" i="1"/>
  <c r="G70" i="1"/>
  <c r="F70" i="1"/>
  <c r="M60" i="1"/>
  <c r="J60" i="1"/>
  <c r="I60" i="1"/>
  <c r="H60" i="1"/>
  <c r="E60" i="1"/>
  <c r="G60" i="1"/>
  <c r="F60" i="1"/>
  <c r="M50" i="1"/>
  <c r="J50" i="1"/>
  <c r="I50" i="1"/>
  <c r="H50" i="1"/>
  <c r="E50" i="1"/>
  <c r="G50" i="1"/>
  <c r="F50" i="1"/>
  <c r="M40" i="1"/>
  <c r="I40" i="1"/>
  <c r="E40" i="1"/>
  <c r="G40" i="1"/>
  <c r="J40" i="1"/>
  <c r="M30" i="1"/>
  <c r="J30" i="1"/>
  <c r="I30" i="1"/>
  <c r="H30" i="1"/>
  <c r="E30" i="1"/>
  <c r="G30" i="1"/>
  <c r="F30" i="1"/>
  <c r="M20" i="1"/>
  <c r="I20" i="1"/>
  <c r="E20" i="1"/>
  <c r="G20" i="1"/>
  <c r="F20" i="1"/>
  <c r="H20" i="1"/>
  <c r="M10" i="1"/>
  <c r="J10" i="1"/>
  <c r="I10" i="1"/>
  <c r="H10" i="1"/>
  <c r="E10" i="1"/>
  <c r="G10" i="1"/>
  <c r="F10" i="1"/>
  <c r="B130" i="1"/>
  <c r="B120" i="1"/>
  <c r="B110" i="1"/>
  <c r="B100" i="1"/>
  <c r="B90" i="1"/>
  <c r="B80" i="1"/>
  <c r="B70" i="1"/>
  <c r="B60" i="1"/>
  <c r="B50" i="1"/>
  <c r="B40" i="1"/>
  <c r="B30" i="1"/>
  <c r="B20" i="1"/>
  <c r="B10" i="1"/>
  <c r="B130" i="4"/>
  <c r="B120" i="4"/>
  <c r="B110" i="4"/>
  <c r="B100" i="4"/>
  <c r="B90" i="4"/>
  <c r="B80" i="4"/>
  <c r="B70" i="4"/>
  <c r="B60" i="4"/>
  <c r="B50" i="4"/>
  <c r="B40" i="4"/>
  <c r="B30" i="4"/>
  <c r="B20" i="4"/>
  <c r="B10" i="4"/>
  <c r="B130" i="5"/>
  <c r="B120" i="5"/>
  <c r="B110" i="5"/>
  <c r="B100" i="5"/>
  <c r="B90" i="5"/>
  <c r="B80" i="5"/>
  <c r="B70" i="5"/>
  <c r="B60" i="5"/>
  <c r="B50" i="5"/>
  <c r="B40" i="5"/>
  <c r="B30" i="5"/>
  <c r="B20" i="5"/>
  <c r="B10" i="5"/>
  <c r="B129" i="3"/>
  <c r="B119" i="3"/>
  <c r="B109" i="3"/>
  <c r="B99" i="3"/>
  <c r="B89" i="3"/>
  <c r="B79" i="3"/>
  <c r="B69" i="3"/>
  <c r="B59" i="3"/>
  <c r="B49" i="3"/>
  <c r="B39" i="3"/>
  <c r="B29" i="3"/>
  <c r="B19" i="3"/>
  <c r="B9" i="3"/>
  <c r="A31" i="2"/>
  <c r="A10" i="2"/>
  <c r="G129" i="1"/>
  <c r="F129" i="1"/>
  <c r="G119" i="1"/>
  <c r="F119" i="1"/>
  <c r="G109" i="1"/>
  <c r="F109" i="1"/>
  <c r="G99" i="1"/>
  <c r="F99" i="1"/>
  <c r="G89" i="1"/>
  <c r="F89" i="1"/>
  <c r="F79" i="1"/>
  <c r="G69" i="1"/>
  <c r="F69" i="1"/>
  <c r="G59" i="1"/>
  <c r="F59" i="1"/>
  <c r="G49" i="1"/>
  <c r="F49" i="1"/>
  <c r="G39" i="1"/>
  <c r="G29" i="1"/>
  <c r="F29" i="1"/>
  <c r="G19" i="1"/>
  <c r="F19" i="1"/>
  <c r="G9" i="1"/>
  <c r="F9" i="1"/>
  <c r="B129" i="1"/>
  <c r="B119" i="1"/>
  <c r="B109" i="1"/>
  <c r="B99" i="1"/>
  <c r="B89" i="1"/>
  <c r="B79" i="1"/>
  <c r="B69" i="1"/>
  <c r="B59" i="1"/>
  <c r="B49" i="1"/>
  <c r="B39" i="1"/>
  <c r="B29" i="1"/>
  <c r="B19" i="1"/>
  <c r="B9" i="1"/>
  <c r="J99" i="1"/>
  <c r="F17" i="1"/>
  <c r="F120" i="5"/>
  <c r="J109" i="1"/>
  <c r="J59" i="1"/>
  <c r="G120" i="5"/>
  <c r="H120" i="5"/>
  <c r="B10" i="2"/>
  <c r="E138" i="5"/>
  <c r="D138" i="5"/>
  <c r="C138" i="5"/>
  <c r="E128" i="5"/>
  <c r="D128" i="5"/>
  <c r="G128" i="5"/>
  <c r="H128" i="5"/>
  <c r="C128" i="5"/>
  <c r="E118" i="5"/>
  <c r="D118" i="5"/>
  <c r="C118" i="5"/>
  <c r="E108" i="5"/>
  <c r="D108" i="5"/>
  <c r="C108" i="5"/>
  <c r="E98" i="5"/>
  <c r="D98" i="5"/>
  <c r="C98" i="5"/>
  <c r="E88" i="5"/>
  <c r="D88" i="5"/>
  <c r="C88" i="5"/>
  <c r="E78" i="5"/>
  <c r="D78" i="5"/>
  <c r="C78" i="5"/>
  <c r="E68" i="5"/>
  <c r="D68" i="5"/>
  <c r="C68" i="5"/>
  <c r="E58" i="5"/>
  <c r="D58" i="5"/>
  <c r="C58" i="5"/>
  <c r="E48" i="5"/>
  <c r="D48" i="5"/>
  <c r="C48" i="5"/>
  <c r="E38" i="5"/>
  <c r="D38" i="5"/>
  <c r="C38" i="5"/>
  <c r="E28" i="5"/>
  <c r="D28" i="5"/>
  <c r="C28" i="5"/>
  <c r="E18" i="5"/>
  <c r="D18" i="5"/>
  <c r="C18" i="5"/>
  <c r="L47" i="1"/>
  <c r="M47" i="1"/>
  <c r="F60" i="4"/>
  <c r="F59" i="3"/>
  <c r="M59" i="1"/>
  <c r="E59" i="1"/>
  <c r="F130" i="4"/>
  <c r="F129" i="3"/>
  <c r="G31" i="2"/>
  <c r="G10" i="2"/>
  <c r="M129" i="1"/>
  <c r="E129" i="1"/>
  <c r="E68" i="4"/>
  <c r="F68" i="4"/>
  <c r="D68" i="4"/>
  <c r="C68" i="4"/>
  <c r="G60" i="4"/>
  <c r="H60" i="4"/>
  <c r="E67" i="3"/>
  <c r="D67" i="3"/>
  <c r="F67" i="3"/>
  <c r="G67" i="3"/>
  <c r="C67" i="3"/>
  <c r="G59" i="3"/>
  <c r="L67" i="1"/>
  <c r="D67" i="1"/>
  <c r="C67" i="1"/>
  <c r="I67" i="1"/>
  <c r="I59" i="1"/>
  <c r="G130" i="4"/>
  <c r="H130" i="4"/>
  <c r="G129" i="3"/>
  <c r="I129" i="1"/>
  <c r="D17" i="1"/>
  <c r="D27" i="1"/>
  <c r="D37" i="1"/>
  <c r="D47" i="1"/>
  <c r="E47" i="1"/>
  <c r="D57" i="1"/>
  <c r="D77" i="1"/>
  <c r="D87" i="1"/>
  <c r="D97" i="1"/>
  <c r="D107" i="1"/>
  <c r="D117" i="1"/>
  <c r="D127" i="1"/>
  <c r="D137" i="1"/>
  <c r="C137" i="1"/>
  <c r="C138" i="4"/>
  <c r="D138" i="4"/>
  <c r="C137" i="3"/>
  <c r="D137" i="3"/>
  <c r="E18" i="4"/>
  <c r="E28" i="4"/>
  <c r="F28" i="4"/>
  <c r="E38" i="4"/>
  <c r="E48" i="4"/>
  <c r="E58" i="4"/>
  <c r="F58" i="4"/>
  <c r="E78" i="4"/>
  <c r="E88" i="4"/>
  <c r="F88" i="4"/>
  <c r="E98" i="4"/>
  <c r="F98" i="4"/>
  <c r="E108" i="4"/>
  <c r="E118" i="4"/>
  <c r="E128" i="4"/>
  <c r="E138" i="4"/>
  <c r="D18" i="4"/>
  <c r="G18" i="4"/>
  <c r="H18" i="4"/>
  <c r="D28" i="4"/>
  <c r="D38" i="4"/>
  <c r="F38" i="4"/>
  <c r="D48" i="4"/>
  <c r="D58" i="4"/>
  <c r="D78" i="4"/>
  <c r="G78" i="4"/>
  <c r="H78" i="4"/>
  <c r="D88" i="4"/>
  <c r="D98" i="4"/>
  <c r="D108" i="4"/>
  <c r="F108" i="4"/>
  <c r="D118" i="4"/>
  <c r="D128" i="4"/>
  <c r="G128" i="4"/>
  <c r="H128" i="4"/>
  <c r="C18" i="4"/>
  <c r="C28" i="4"/>
  <c r="G28" i="4"/>
  <c r="H28" i="4"/>
  <c r="C38" i="4"/>
  <c r="C48" i="4"/>
  <c r="C58" i="4"/>
  <c r="C78" i="4"/>
  <c r="C88" i="4"/>
  <c r="C98" i="4"/>
  <c r="G98" i="4"/>
  <c r="H98" i="4"/>
  <c r="C108" i="4"/>
  <c r="G108" i="4"/>
  <c r="H108" i="4"/>
  <c r="C118" i="4"/>
  <c r="G118" i="4"/>
  <c r="H118" i="4"/>
  <c r="C128" i="4"/>
  <c r="F100" i="4"/>
  <c r="E17" i="3"/>
  <c r="F17" i="3"/>
  <c r="E27" i="3"/>
  <c r="E37" i="3"/>
  <c r="F37" i="3"/>
  <c r="E47" i="3"/>
  <c r="E57" i="3"/>
  <c r="E77" i="3"/>
  <c r="E87" i="3"/>
  <c r="F87" i="3"/>
  <c r="E97" i="3"/>
  <c r="E107" i="3"/>
  <c r="F107" i="3"/>
  <c r="E117" i="3"/>
  <c r="E127" i="3"/>
  <c r="E137" i="3"/>
  <c r="D17" i="3"/>
  <c r="D27" i="3"/>
  <c r="D37" i="3"/>
  <c r="D47" i="3"/>
  <c r="F47" i="3"/>
  <c r="D57" i="3"/>
  <c r="D77" i="3"/>
  <c r="D87" i="3"/>
  <c r="D97" i="3"/>
  <c r="D107" i="3"/>
  <c r="D117" i="3"/>
  <c r="D127" i="3"/>
  <c r="F127" i="3"/>
  <c r="C17" i="3"/>
  <c r="G17" i="3"/>
  <c r="C27" i="3"/>
  <c r="C37" i="3"/>
  <c r="C47" i="3"/>
  <c r="C57" i="3"/>
  <c r="C77" i="3"/>
  <c r="C87" i="3"/>
  <c r="C97" i="3"/>
  <c r="G97" i="3"/>
  <c r="C107" i="3"/>
  <c r="C117" i="3"/>
  <c r="C127" i="3"/>
  <c r="F99" i="3"/>
  <c r="M99" i="1"/>
  <c r="E99" i="1"/>
  <c r="L17" i="1"/>
  <c r="L27" i="1"/>
  <c r="L37" i="1"/>
  <c r="L57" i="1"/>
  <c r="L77" i="1"/>
  <c r="L87" i="1"/>
  <c r="L97" i="1"/>
  <c r="L107" i="1"/>
  <c r="L117" i="1"/>
  <c r="L127" i="1"/>
  <c r="K17" i="1"/>
  <c r="K27" i="1"/>
  <c r="M27" i="1"/>
  <c r="C17" i="1"/>
  <c r="C27" i="1"/>
  <c r="C37" i="1"/>
  <c r="C47" i="1"/>
  <c r="I47" i="1"/>
  <c r="C57" i="1"/>
  <c r="C77" i="1"/>
  <c r="C87" i="1"/>
  <c r="C97" i="1"/>
  <c r="C107" i="1"/>
  <c r="C117" i="1"/>
  <c r="C127" i="1"/>
  <c r="I127" i="1"/>
  <c r="E109" i="1"/>
  <c r="I109" i="1"/>
  <c r="M109" i="1"/>
  <c r="K107" i="1"/>
  <c r="F120" i="4"/>
  <c r="K31" i="2"/>
  <c r="K10" i="2"/>
  <c r="K47" i="1"/>
  <c r="K57" i="1"/>
  <c r="I57" i="1"/>
  <c r="K77" i="1"/>
  <c r="M77" i="1"/>
  <c r="K87" i="1"/>
  <c r="M87" i="1"/>
  <c r="K97" i="1"/>
  <c r="M97" i="1"/>
  <c r="K127" i="1"/>
  <c r="I99" i="1"/>
  <c r="G100" i="4"/>
  <c r="H100" i="4"/>
  <c r="G99" i="3"/>
  <c r="F80" i="4"/>
  <c r="F79" i="3"/>
  <c r="N31" i="2"/>
  <c r="M31" i="2"/>
  <c r="L31" i="2"/>
  <c r="J31" i="2"/>
  <c r="I31" i="2"/>
  <c r="H31" i="2"/>
  <c r="F31" i="2"/>
  <c r="E31" i="2"/>
  <c r="C31" i="2"/>
  <c r="B31" i="2"/>
  <c r="M79" i="1"/>
  <c r="E79" i="1"/>
  <c r="I10" i="2"/>
  <c r="G80" i="4"/>
  <c r="H80" i="4"/>
  <c r="G90" i="4"/>
  <c r="H90" i="4"/>
  <c r="F90" i="4"/>
  <c r="G79" i="3"/>
  <c r="I79" i="1"/>
  <c r="F10" i="4"/>
  <c r="G10" i="4"/>
  <c r="H10" i="4"/>
  <c r="I9" i="1"/>
  <c r="I19" i="1"/>
  <c r="I39" i="1"/>
  <c r="I49" i="1"/>
  <c r="I69" i="1"/>
  <c r="I89" i="1"/>
  <c r="I119" i="1"/>
  <c r="E9" i="1"/>
  <c r="M9" i="1"/>
  <c r="E19" i="1"/>
  <c r="M19" i="1"/>
  <c r="E29" i="1"/>
  <c r="E39" i="1"/>
  <c r="M39" i="1"/>
  <c r="E49" i="1"/>
  <c r="M49" i="1"/>
  <c r="E69" i="1"/>
  <c r="M69" i="1"/>
  <c r="E89" i="1"/>
  <c r="M89" i="1"/>
  <c r="E119" i="1"/>
  <c r="M119" i="1"/>
  <c r="F20" i="4"/>
  <c r="G20" i="4"/>
  <c r="H20" i="4"/>
  <c r="F30" i="4"/>
  <c r="G30" i="4"/>
  <c r="H30" i="4"/>
  <c r="F40" i="4"/>
  <c r="G40" i="4"/>
  <c r="H40" i="4"/>
  <c r="F50" i="4"/>
  <c r="G50" i="4"/>
  <c r="H50" i="4"/>
  <c r="F70" i="4"/>
  <c r="G70" i="4"/>
  <c r="H70" i="4"/>
  <c r="F110" i="4"/>
  <c r="G110" i="4"/>
  <c r="H110" i="4"/>
  <c r="G120" i="4"/>
  <c r="H120" i="4"/>
  <c r="F9" i="3"/>
  <c r="F19" i="3"/>
  <c r="G19" i="3"/>
  <c r="F29" i="3"/>
  <c r="G29" i="3"/>
  <c r="F39" i="3"/>
  <c r="G39" i="3"/>
  <c r="F49" i="3"/>
  <c r="G49" i="3"/>
  <c r="F69" i="3"/>
  <c r="G69" i="3"/>
  <c r="F89" i="3"/>
  <c r="G89" i="3"/>
  <c r="F109" i="3"/>
  <c r="G109" i="3"/>
  <c r="F119" i="3"/>
  <c r="G119" i="3"/>
  <c r="G9" i="3"/>
  <c r="C10" i="2"/>
  <c r="D10" i="2"/>
  <c r="E10" i="2"/>
  <c r="F10" i="2"/>
  <c r="H10" i="2"/>
  <c r="J10" i="2"/>
  <c r="L10" i="2"/>
  <c r="M10" i="2"/>
  <c r="N10" i="2"/>
  <c r="I29" i="1"/>
  <c r="M29" i="1"/>
  <c r="K37" i="1"/>
  <c r="D31" i="2"/>
  <c r="L137" i="1"/>
  <c r="K137" i="1"/>
  <c r="J137" i="1"/>
  <c r="K67" i="1"/>
  <c r="M67" i="1"/>
  <c r="K117" i="1"/>
  <c r="J117" i="1"/>
  <c r="J19" i="1"/>
  <c r="H59" i="1"/>
  <c r="J9" i="1"/>
  <c r="H19" i="1"/>
  <c r="J29" i="1"/>
  <c r="H29" i="1"/>
  <c r="H9" i="1"/>
  <c r="H99" i="1"/>
  <c r="G57" i="1"/>
  <c r="H57" i="1"/>
  <c r="H89" i="1"/>
  <c r="G97" i="1"/>
  <c r="H69" i="1"/>
  <c r="H109" i="1"/>
  <c r="G77" i="1"/>
  <c r="H119" i="1"/>
  <c r="H79" i="1"/>
  <c r="J69" i="1"/>
  <c r="J79" i="1"/>
  <c r="J49" i="1"/>
  <c r="J119" i="1"/>
  <c r="H49" i="1"/>
  <c r="J129" i="1"/>
  <c r="J89" i="1"/>
  <c r="H129" i="1"/>
  <c r="H131" i="1"/>
  <c r="H111" i="1"/>
  <c r="H101" i="1"/>
  <c r="H61" i="1"/>
  <c r="J20" i="1"/>
  <c r="H81" i="1"/>
  <c r="H21" i="1"/>
  <c r="J11" i="1"/>
  <c r="J71" i="1"/>
  <c r="G127" i="1"/>
  <c r="H62" i="1"/>
  <c r="G47" i="1"/>
  <c r="H22" i="1"/>
  <c r="H121" i="1"/>
  <c r="H112" i="1"/>
  <c r="F107" i="1"/>
  <c r="H92" i="1"/>
  <c r="F67" i="1"/>
  <c r="J67" i="1"/>
  <c r="H40" i="1"/>
  <c r="F47" i="1"/>
  <c r="G27" i="3"/>
  <c r="H113" i="1"/>
  <c r="H63" i="1"/>
  <c r="H13" i="1"/>
  <c r="H123" i="1"/>
  <c r="F117" i="1"/>
  <c r="H117" i="1"/>
  <c r="J80" i="1"/>
  <c r="H72" i="1"/>
  <c r="J72" i="1"/>
  <c r="J53" i="1"/>
  <c r="F27" i="1"/>
  <c r="H23" i="1"/>
  <c r="F138" i="4"/>
  <c r="G138" i="4"/>
  <c r="H138" i="4"/>
  <c r="F128" i="4"/>
  <c r="F78" i="4"/>
  <c r="G127" i="3"/>
  <c r="F117" i="3"/>
  <c r="J73" i="1"/>
  <c r="H43" i="1"/>
  <c r="H137" i="1"/>
  <c r="M107" i="1"/>
  <c r="H87" i="1"/>
  <c r="E77" i="1"/>
  <c r="J47" i="1"/>
  <c r="H47" i="1"/>
  <c r="H17" i="1"/>
  <c r="J17" i="1"/>
  <c r="F118" i="4"/>
  <c r="E140" i="4"/>
  <c r="F48" i="4"/>
  <c r="F142" i="4"/>
  <c r="G88" i="4"/>
  <c r="H88" i="4"/>
  <c r="G68" i="4"/>
  <c r="H68" i="4"/>
  <c r="G58" i="4"/>
  <c r="H58" i="4"/>
  <c r="G48" i="4"/>
  <c r="H48" i="4"/>
  <c r="D140" i="4"/>
  <c r="G38" i="4"/>
  <c r="H38" i="4"/>
  <c r="C140" i="4"/>
  <c r="G142" i="4"/>
  <c r="H142" i="4"/>
  <c r="F18" i="4"/>
  <c r="F48" i="5"/>
  <c r="F137" i="3"/>
  <c r="F97" i="3"/>
  <c r="F77" i="3"/>
  <c r="F57" i="3"/>
  <c r="E139" i="3"/>
  <c r="F141" i="3"/>
  <c r="G137" i="3"/>
  <c r="G117" i="3"/>
  <c r="G107" i="3"/>
  <c r="G87" i="3"/>
  <c r="G77" i="3"/>
  <c r="G57" i="3"/>
  <c r="G47" i="3"/>
  <c r="D139" i="3"/>
  <c r="G37" i="3"/>
  <c r="C139" i="3"/>
  <c r="F27" i="3"/>
  <c r="G141" i="3"/>
  <c r="E137" i="1"/>
  <c r="M137" i="1"/>
  <c r="I137" i="1"/>
  <c r="M127" i="1"/>
  <c r="H127" i="1"/>
  <c r="J127" i="1"/>
  <c r="J124" i="1"/>
  <c r="E127" i="1"/>
  <c r="E117" i="1"/>
  <c r="M117" i="1"/>
  <c r="I117" i="1"/>
  <c r="E107" i="1"/>
  <c r="J107" i="1"/>
  <c r="H107" i="1"/>
  <c r="I107" i="1"/>
  <c r="I97" i="1"/>
  <c r="F97" i="1"/>
  <c r="J94" i="1"/>
  <c r="E97" i="1"/>
  <c r="J87" i="1"/>
  <c r="I87" i="1"/>
  <c r="E87" i="1"/>
  <c r="I77" i="1"/>
  <c r="F77" i="1"/>
  <c r="J74" i="1"/>
  <c r="H141" i="1"/>
  <c r="H67" i="1"/>
  <c r="E67" i="1"/>
  <c r="G139" i="1"/>
  <c r="E57" i="1"/>
  <c r="M57" i="1"/>
  <c r="J57" i="1"/>
  <c r="M37" i="1"/>
  <c r="D139" i="1"/>
  <c r="I37" i="1"/>
  <c r="K139" i="1"/>
  <c r="D23" i="2"/>
  <c r="E37" i="1"/>
  <c r="F37" i="1"/>
  <c r="J37" i="1"/>
  <c r="C139" i="1"/>
  <c r="M141" i="1"/>
  <c r="L139" i="1"/>
  <c r="E27" i="1"/>
  <c r="J27" i="1"/>
  <c r="H27" i="1"/>
  <c r="H24" i="1"/>
  <c r="I27" i="1"/>
  <c r="M17" i="1"/>
  <c r="E141" i="1"/>
  <c r="J141" i="1"/>
  <c r="I17" i="1"/>
  <c r="E17" i="1"/>
  <c r="D140" i="5"/>
  <c r="C140" i="5"/>
  <c r="F128" i="5"/>
  <c r="F142" i="5"/>
  <c r="F18" i="5"/>
  <c r="E140" i="5"/>
  <c r="O37" i="2"/>
  <c r="O16" i="2"/>
  <c r="I141" i="1"/>
  <c r="E23" i="2"/>
  <c r="M23" i="2"/>
  <c r="G44" i="2"/>
  <c r="O35" i="2"/>
  <c r="H23" i="2"/>
  <c r="B44" i="2"/>
  <c r="J44" i="2"/>
  <c r="O12" i="2"/>
  <c r="M44" i="2"/>
  <c r="F23" i="2"/>
  <c r="N23" i="2"/>
  <c r="J23" i="2"/>
  <c r="I23" i="2"/>
  <c r="O31" i="2"/>
  <c r="O11" i="2"/>
  <c r="O32" i="2"/>
  <c r="K44" i="2"/>
  <c r="L23" i="2"/>
  <c r="O33" i="2"/>
  <c r="N44" i="2"/>
  <c r="G23" i="2"/>
  <c r="O34" i="2"/>
  <c r="O14" i="2"/>
  <c r="K23" i="2"/>
  <c r="O15" i="2"/>
  <c r="D44" i="2"/>
  <c r="L44" i="2"/>
  <c r="C23" i="2"/>
  <c r="E44" i="2"/>
  <c r="O13" i="2"/>
  <c r="O36" i="2"/>
  <c r="C44" i="2"/>
  <c r="F44" i="2"/>
  <c r="B23" i="2"/>
  <c r="I44" i="2"/>
  <c r="O10" i="2"/>
  <c r="H44" i="2"/>
  <c r="F140" i="4"/>
  <c r="G140" i="4"/>
  <c r="H140" i="4"/>
  <c r="G140" i="5"/>
  <c r="H140" i="5"/>
  <c r="F139" i="3"/>
  <c r="G139" i="3"/>
  <c r="H97" i="1"/>
  <c r="J97" i="1"/>
  <c r="J77" i="1"/>
  <c r="H77" i="1"/>
  <c r="I139" i="1"/>
  <c r="M139" i="1"/>
  <c r="E139" i="1"/>
  <c r="F139" i="1"/>
  <c r="J139" i="1"/>
  <c r="H37" i="1"/>
  <c r="F140" i="5"/>
  <c r="O44" i="2"/>
  <c r="O23" i="2"/>
  <c r="H139" i="1"/>
</calcChain>
</file>

<file path=xl/sharedStrings.xml><?xml version="1.0" encoding="utf-8"?>
<sst xmlns="http://schemas.openxmlformats.org/spreadsheetml/2006/main" count="241" uniqueCount="80">
  <si>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</si>
  <si>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</si>
  <si>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</si>
  <si>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</si>
  <si>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</si>
  <si>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</si>
  <si>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</si>
  <si>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</si>
  <si>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</si>
  <si>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</si>
  <si>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</si>
  <si>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</si>
  <si>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</si>
  <si>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</si>
  <si>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</si>
  <si>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</si>
  <si>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</si>
  <si>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</si>
  <si>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</si>
  <si>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</si>
  <si>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</si>
  <si>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</si>
  <si>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</si>
  <si>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</si>
  <si>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</si>
  <si>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</si>
  <si>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</si>
  <si>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</si>
  <si>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</si>
  <si>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</si>
  <si>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</si>
  <si>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</si>
  <si>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</si>
  <si>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</si>
  <si>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</si>
  <si>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</si>
  <si>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</si>
  <si>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</si>
  <si>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</si>
  <si>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</si>
  <si>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</si>
  <si>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</si>
  <si>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</si>
  <si>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</si>
  <si>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</si>
  <si>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</si>
  <si>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</si>
  <si>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</si>
  <si>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</si>
  <si>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</si>
  <si>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</si>
  <si>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</si>
  <si>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</si>
  <si>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</si>
  <si>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</si>
  <si>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</si>
  <si>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</si>
  <si>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</si>
  <si>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</si>
  <si>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</si>
  <si>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</si>
  <si>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</si>
  <si>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</si>
  <si>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</si>
  <si>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</si>
  <si>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</si>
  <si>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</si>
  <si>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</si>
  <si>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</si>
  <si>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</si>
  <si>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</si>
  <si>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2024 YTD ADMISSIONS, PATRONS AND AGR SUMMARY </t>
  </si>
  <si>
    <t>MONTH ENDED:  JANUARY 31, 2024</t>
  </si>
  <si>
    <t>FOR THE MONTH ENDED:  JANUARY 31, 2024</t>
  </si>
  <si>
    <t>THRU MONTH ENDED:   JANUARY 31, 2024</t>
  </si>
  <si>
    <t>THRU MONTH ENDED:    JANUARY 31, 2024</t>
  </si>
  <si>
    <t>THRU MONTH ENDED:     JANUARY 31, 2024</t>
  </si>
  <si>
    <t>(as reported on the tax remittal database dtd 2/7/24)</t>
  </si>
  <si>
    <t>(as reported on the tax remittal database as of 2/07/24)</t>
  </si>
  <si>
    <t>(as reported on the tax remittal database dtd 2/07/24)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</si>
</sst>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2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4" fontId="0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13"/>
  <sheetViews>
    <sheetView tabSelected="1" showOutlineSymbols="0" zoomScaleNormal="100" workbookViewId="0">
      <selection activeCell="A9" sqref="A9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9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2"/>
      <c r="L1" s="192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2"/>
      <c r="L2" s="192"/>
      <c r="M2" s="2"/>
      <c r="N2" s="2"/>
      <c r="O2" s="2"/>
      <c r="P2" s="2"/>
      <c r="Q2" s="2"/>
      <c r="R2" s="2"/>
    </row>
    <row r="3" spans="1:18" ht="18" x14ac:dyDescent="0.25">
      <c r="A3" s="277" t="s">
        <v>72</v>
      </c>
      <c r="B3" s="2"/>
      <c r="C3" s="2"/>
      <c r="D3" s="2"/>
      <c r="E3" s="2"/>
      <c r="F3" s="2"/>
      <c r="G3" s="2"/>
      <c r="H3" s="2"/>
      <c r="I3" s="2"/>
      <c r="J3" s="2"/>
      <c r="K3" s="192"/>
      <c r="L3" s="192"/>
      <c r="M3" s="2"/>
      <c r="N3" s="2"/>
      <c r="O3" s="2"/>
      <c r="P3" s="2"/>
      <c r="Q3" s="2"/>
      <c r="R3" s="2"/>
    </row>
    <row r="4" spans="1:18" x14ac:dyDescent="0.2">
      <c r="A4" s="278" t="s">
        <v>77</v>
      </c>
      <c r="B4" s="2"/>
      <c r="C4" s="2"/>
      <c r="D4" s="2"/>
      <c r="E4" s="2"/>
      <c r="F4" s="2"/>
      <c r="G4" s="2"/>
      <c r="H4" s="2"/>
      <c r="I4" s="2"/>
      <c r="J4" s="2"/>
      <c r="K4" s="192"/>
      <c r="L4" s="192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2"/>
      <c r="L5" s="192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3" t="s">
        <v>1</v>
      </c>
      <c r="L6" s="193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4" t="s">
        <v>12</v>
      </c>
      <c r="L7" s="194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5"/>
      <c r="L8" s="195"/>
      <c r="M8" s="18"/>
      <c r="N8" s="10"/>
      <c r="R8" s="2"/>
    </row>
    <row r="9" spans="1:18" ht="15.75" x14ac:dyDescent="0.25">
      <c r="A9" s="19" t="s">
        <v>13</v>
      </c>
      <c r="B9" s="20">
        <f>DATE(2023,7,1)</f>
        <v>45108</v>
      </c>
      <c r="C9" s="21">
        <v>198971</v>
      </c>
      <c r="D9" s="22">
        <v>217943</v>
      </c>
      <c r="E9" s="23">
        <f t="shared" ref="E9:E15" si="0">(+C9-D9)/D9</f>
        <v>-8.7050283789798247E-2</v>
      </c>
      <c r="F9" s="21">
        <f>+C9-94713</f>
        <v>104258</v>
      </c>
      <c r="G9" s="21">
        <f>+D9-101378</f>
        <v>116565</v>
      </c>
      <c r="H9" s="23">
        <f t="shared" ref="H9:H14" si="1">(+F9-G9)/G9</f>
        <v>-0.1055805773602711</v>
      </c>
      <c r="I9" s="24">
        <f t="shared" ref="I9:I14" si="2">K9/C9</f>
        <v>75.297311065431643</v>
      </c>
      <c r="J9" s="24">
        <f t="shared" ref="J9:J14" si="3">K9/F9</f>
        <v>143.7010232308312</v>
      </c>
      <c r="K9" s="21">
        <v>14981981.279999999</v>
      </c>
      <c r="L9" s="21">
        <v>15995475.4</v>
      </c>
      <c r="M9" s="25">
        <f t="shared" ref="M9:M15" si="4">(+K9-L9)/L9</f>
        <v>-6.3361300283704042E-2</v>
      </c>
      <c r="N9" s="10"/>
      <c r="R9" s="2"/>
    </row>
    <row r="10" spans="1:18" ht="15.75" x14ac:dyDescent="0.25">
      <c r="A10" s="19"/>
      <c r="B10" s="20">
        <f>DATE(2023,8,1)</f>
        <v>45139</v>
      </c>
      <c r="C10" s="21">
        <v>185586</v>
      </c>
      <c r="D10" s="22">
        <v>199444</v>
      </c>
      <c r="E10" s="23">
        <f t="shared" si="0"/>
        <v>-6.9483163193678421E-2</v>
      </c>
      <c r="F10" s="21">
        <f>+C10-87146</f>
        <v>98440</v>
      </c>
      <c r="G10" s="21">
        <f>+D10-93160</f>
        <v>106284</v>
      </c>
      <c r="H10" s="23">
        <f t="shared" si="1"/>
        <v>-7.3802265627940233E-2</v>
      </c>
      <c r="I10" s="24">
        <f t="shared" si="2"/>
        <v>76.121730733999328</v>
      </c>
      <c r="J10" s="24">
        <f t="shared" si="3"/>
        <v>143.51003169443317</v>
      </c>
      <c r="K10" s="21">
        <v>14127127.52</v>
      </c>
      <c r="L10" s="21">
        <v>15184238.189999999</v>
      </c>
      <c r="M10" s="25">
        <f t="shared" si="4"/>
        <v>-6.9618946750729285E-2</v>
      </c>
      <c r="N10" s="10"/>
      <c r="R10" s="2"/>
    </row>
    <row r="11" spans="1:18" ht="15.75" x14ac:dyDescent="0.25">
      <c r="A11" s="19"/>
      <c r="B11" s="20">
        <f>DATE(2023,9,1)</f>
        <v>45170</v>
      </c>
      <c r="C11" s="21">
        <v>185704</v>
      </c>
      <c r="D11" s="22">
        <v>190853</v>
      </c>
      <c r="E11" s="23">
        <f t="shared" si="0"/>
        <v>-2.6978879032553849E-2</v>
      </c>
      <c r="F11" s="21">
        <f>+C11-86770</f>
        <v>98934</v>
      </c>
      <c r="G11" s="21">
        <f>+D11-90801</f>
        <v>100052</v>
      </c>
      <c r="H11" s="23">
        <f t="shared" si="1"/>
        <v>-1.117418942150082E-2</v>
      </c>
      <c r="I11" s="24">
        <f t="shared" si="2"/>
        <v>68.841302179813027</v>
      </c>
      <c r="J11" s="24">
        <f t="shared" si="3"/>
        <v>129.21852123637981</v>
      </c>
      <c r="K11" s="21">
        <v>12784105.18</v>
      </c>
      <c r="L11" s="21">
        <v>13875166.15</v>
      </c>
      <c r="M11" s="25">
        <f t="shared" si="4"/>
        <v>-7.8634083239428498E-2</v>
      </c>
      <c r="N11" s="10"/>
      <c r="R11" s="2"/>
    </row>
    <row r="12" spans="1:18" ht="15.75" x14ac:dyDescent="0.25">
      <c r="A12" s="19"/>
      <c r="B12" s="20">
        <f>DATE(2023,10,1)</f>
        <v>45200</v>
      </c>
      <c r="C12" s="21">
        <v>169461</v>
      </c>
      <c r="D12" s="22">
        <v>191998</v>
      </c>
      <c r="E12" s="23">
        <f t="shared" si="0"/>
        <v>-0.1173814310565735</v>
      </c>
      <c r="F12" s="21">
        <f>+C12-78160</f>
        <v>91301</v>
      </c>
      <c r="G12" s="21">
        <f>+D12-90818</f>
        <v>101180</v>
      </c>
      <c r="H12" s="23">
        <f t="shared" si="1"/>
        <v>-9.763787309745009E-2</v>
      </c>
      <c r="I12" s="24">
        <f t="shared" si="2"/>
        <v>75.899825151509788</v>
      </c>
      <c r="J12" s="24">
        <f t="shared" si="3"/>
        <v>140.87534933899957</v>
      </c>
      <c r="K12" s="21">
        <v>12862060.27</v>
      </c>
      <c r="L12" s="21">
        <v>14645832.02</v>
      </c>
      <c r="M12" s="25">
        <f t="shared" si="4"/>
        <v>-0.1217938146200314</v>
      </c>
      <c r="N12" s="10"/>
      <c r="R12" s="2"/>
    </row>
    <row r="13" spans="1:18" ht="15.75" x14ac:dyDescent="0.25">
      <c r="A13" s="19"/>
      <c r="B13" s="20">
        <f>DATE(2023,11,1)</f>
        <v>45231</v>
      </c>
      <c r="C13" s="21">
        <v>176075</v>
      </c>
      <c r="D13" s="22">
        <v>181329</v>
      </c>
      <c r="E13" s="23">
        <f t="shared" si="0"/>
        <v>-2.8974957122137109E-2</v>
      </c>
      <c r="F13" s="21">
        <f>+C13-85210</f>
        <v>90865</v>
      </c>
      <c r="G13" s="21">
        <f>+D13-85776</f>
        <v>95553</v>
      </c>
      <c r="H13" s="23">
        <f t="shared" si="1"/>
        <v>-4.9061777233577179E-2</v>
      </c>
      <c r="I13" s="24">
        <f t="shared" si="2"/>
        <v>71.677413318188272</v>
      </c>
      <c r="J13" s="24">
        <f t="shared" si="3"/>
        <v>138.89396962526826</v>
      </c>
      <c r="K13" s="21">
        <v>12620600.550000001</v>
      </c>
      <c r="L13" s="21">
        <v>13547746.890000001</v>
      </c>
      <c r="M13" s="25">
        <f t="shared" si="4"/>
        <v>-6.8435463662548532E-2</v>
      </c>
      <c r="N13" s="10"/>
      <c r="R13" s="2"/>
    </row>
    <row r="14" spans="1:18" ht="15.75" x14ac:dyDescent="0.25">
      <c r="A14" s="19"/>
      <c r="B14" s="20">
        <f>DATE(2023,12,1)</f>
        <v>45261</v>
      </c>
      <c r="C14" s="21">
        <v>204702</v>
      </c>
      <c r="D14" s="22">
        <v>198171</v>
      </c>
      <c r="E14" s="23">
        <f t="shared" si="0"/>
        <v>3.2956386151354135E-2</v>
      </c>
      <c r="F14" s="21">
        <f>+C14-98466</f>
        <v>106236</v>
      </c>
      <c r="G14" s="21">
        <f>+D14-94881</f>
        <v>103290</v>
      </c>
      <c r="H14" s="23">
        <f t="shared" si="1"/>
        <v>2.8521638106302642E-2</v>
      </c>
      <c r="I14" s="24">
        <f t="shared" si="2"/>
        <v>67.40296621430177</v>
      </c>
      <c r="J14" s="24">
        <f t="shared" si="3"/>
        <v>129.87614358597838</v>
      </c>
      <c r="K14" s="21">
        <v>13797521.99</v>
      </c>
      <c r="L14" s="21">
        <v>13219110.720000001</v>
      </c>
      <c r="M14" s="25">
        <f t="shared" si="4"/>
        <v>4.3755686918098488E-2</v>
      </c>
      <c r="N14" s="10"/>
      <c r="R14" s="2"/>
    </row>
    <row r="15" spans="1:18" ht="15.75" x14ac:dyDescent="0.25">
      <c r="A15" s="19"/>
      <c r="B15" s="20">
        <f>DATE(2024,1,1)</f>
        <v>45292</v>
      </c>
      <c r="C15" s="21">
        <v>158832</v>
      </c>
      <c r="D15" s="22">
        <v>197003</v>
      </c>
      <c r="E15" s="23">
        <f t="shared" si="0"/>
        <v>-0.19375847068318758</v>
      </c>
      <c r="F15" s="21">
        <f>+C15-76421</f>
        <v>82411</v>
      </c>
      <c r="G15" s="21">
        <f>D15-95273</f>
        <v>101730</v>
      </c>
      <c r="H15" s="23">
        <f>(+F15-G15)/G15</f>
        <v>-0.18990464956256758</v>
      </c>
      <c r="I15" s="24">
        <f>K15/C15</f>
        <v>78.008131988516169</v>
      </c>
      <c r="J15" s="24">
        <f>K15/F15</f>
        <v>150.34628411255778</v>
      </c>
      <c r="K15" s="21">
        <v>12390187.619999999</v>
      </c>
      <c r="L15" s="21">
        <v>14485066.34</v>
      </c>
      <c r="M15" s="25">
        <f t="shared" si="4"/>
        <v>-0.14462334316102282</v>
      </c>
      <c r="N15" s="10"/>
      <c r="R15" s="2"/>
    </row>
    <row r="16" spans="1:18" ht="15.75" customHeight="1" thickBot="1" x14ac:dyDescent="0.3">
      <c r="A16" s="19"/>
      <c r="B16" s="20"/>
      <c r="C16" s="21"/>
      <c r="D16" s="21"/>
      <c r="E16" s="23"/>
      <c r="F16" s="21"/>
      <c r="G16" s="21"/>
      <c r="H16" s="23"/>
      <c r="I16" s="24"/>
      <c r="J16" s="24"/>
      <c r="K16" s="21"/>
      <c r="L16" s="21"/>
      <c r="M16" s="25"/>
      <c r="N16" s="10"/>
      <c r="R16" s="2"/>
    </row>
    <row r="17" spans="1:18" ht="17.25" thickTop="1" thickBot="1" x14ac:dyDescent="0.3">
      <c r="A17" s="26" t="s">
        <v>14</v>
      </c>
      <c r="B17" s="27"/>
      <c r="C17" s="28">
        <f>SUM(C9:C16)</f>
        <v>1279331</v>
      </c>
      <c r="D17" s="28">
        <f>SUM(D9:D16)</f>
        <v>1376741</v>
      </c>
      <c r="E17" s="279">
        <f>(+C17-D17)/D17</f>
        <v>-7.0754048873390124E-2</v>
      </c>
      <c r="F17" s="28">
        <f>SUM(F9:F16)</f>
        <v>672445</v>
      </c>
      <c r="G17" s="28">
        <f>SUM(G9:G16)</f>
        <v>724654</v>
      </c>
      <c r="H17" s="30">
        <f>(+F17-G17)/G17</f>
        <v>-7.2046797506120155E-2</v>
      </c>
      <c r="I17" s="31">
        <f>K17/C17</f>
        <v>73.134774667384747</v>
      </c>
      <c r="J17" s="31">
        <f>K17/F17</f>
        <v>139.13938598695805</v>
      </c>
      <c r="K17" s="28">
        <f>SUM(K9:K16)</f>
        <v>93563584.409999996</v>
      </c>
      <c r="L17" s="28">
        <f>SUM(L9:L16)</f>
        <v>100952635.71000001</v>
      </c>
      <c r="M17" s="32">
        <f>(+K17-L17)/L17</f>
        <v>-7.3193247982410808E-2</v>
      </c>
      <c r="N17" s="10"/>
      <c r="R17" s="2"/>
    </row>
    <row r="18" spans="1:18" ht="15.75" customHeight="1" thickTop="1" x14ac:dyDescent="0.25">
      <c r="A18" s="15"/>
      <c r="B18" s="16"/>
      <c r="C18" s="16"/>
      <c r="D18" s="16"/>
      <c r="E18" s="17"/>
      <c r="F18" s="16"/>
      <c r="G18" s="16"/>
      <c r="H18" s="17"/>
      <c r="I18" s="16"/>
      <c r="J18" s="16"/>
      <c r="K18" s="195"/>
      <c r="L18" s="195"/>
      <c r="M18" s="18"/>
      <c r="N18" s="10"/>
      <c r="R18" s="2"/>
    </row>
    <row r="19" spans="1:18" ht="15.75" x14ac:dyDescent="0.25">
      <c r="A19" s="19" t="s">
        <v>15</v>
      </c>
      <c r="B19" s="20">
        <f>DATE(2023,7,1)</f>
        <v>45108</v>
      </c>
      <c r="C19" s="21">
        <v>114764</v>
      </c>
      <c r="D19" s="21">
        <v>114715</v>
      </c>
      <c r="E19" s="23">
        <f t="shared" ref="E19:E25" si="5">(+C19-D19)/D19</f>
        <v>4.2714553458571243E-4</v>
      </c>
      <c r="F19" s="21">
        <f>+C19-56037</f>
        <v>58727</v>
      </c>
      <c r="G19" s="21">
        <f>+D19-55568</f>
        <v>59147</v>
      </c>
      <c r="H19" s="23">
        <f t="shared" ref="H19:H24" si="6">(+F19-G19)/G19</f>
        <v>-7.1009518656905673E-3</v>
      </c>
      <c r="I19" s="24">
        <f t="shared" ref="I19:I24" si="7">K19/C19</f>
        <v>71.3647338886759</v>
      </c>
      <c r="J19" s="24">
        <f t="shared" ref="J19:J24" si="8">K19/F19</f>
        <v>139.46059427520561</v>
      </c>
      <c r="K19" s="21">
        <v>8190102.3200000003</v>
      </c>
      <c r="L19" s="21">
        <v>8395754.2100000009</v>
      </c>
      <c r="M19" s="25">
        <f t="shared" ref="M19:M25" si="9">(+K19-L19)/L19</f>
        <v>-2.4494748757062597E-2</v>
      </c>
      <c r="N19" s="10"/>
      <c r="R19" s="2"/>
    </row>
    <row r="20" spans="1:18" ht="15.75" x14ac:dyDescent="0.25">
      <c r="A20" s="19"/>
      <c r="B20" s="20">
        <f>DATE(2023,8,1)</f>
        <v>45139</v>
      </c>
      <c r="C20" s="21">
        <v>103488</v>
      </c>
      <c r="D20" s="21">
        <v>103784</v>
      </c>
      <c r="E20" s="23">
        <f t="shared" si="5"/>
        <v>-2.8520773915054346E-3</v>
      </c>
      <c r="F20" s="21">
        <f>+C20-50126</f>
        <v>53362</v>
      </c>
      <c r="G20" s="21">
        <f>+D20-49858</f>
        <v>53926</v>
      </c>
      <c r="H20" s="23">
        <f t="shared" si="6"/>
        <v>-1.0458776842339501E-2</v>
      </c>
      <c r="I20" s="24">
        <f t="shared" si="7"/>
        <v>72.262649099412499</v>
      </c>
      <c r="J20" s="24">
        <f t="shared" si="8"/>
        <v>140.14311738690455</v>
      </c>
      <c r="K20" s="21">
        <v>7478317.0300000003</v>
      </c>
      <c r="L20" s="21">
        <v>7565961.5300000003</v>
      </c>
      <c r="M20" s="25">
        <f t="shared" si="9"/>
        <v>-1.1584053084657965E-2</v>
      </c>
      <c r="N20" s="10"/>
      <c r="R20" s="2"/>
    </row>
    <row r="21" spans="1:18" ht="15.75" x14ac:dyDescent="0.25">
      <c r="A21" s="19"/>
      <c r="B21" s="20">
        <f>DATE(2023,9,1)</f>
        <v>45170</v>
      </c>
      <c r="C21" s="21">
        <v>100304</v>
      </c>
      <c r="D21" s="21">
        <v>107511</v>
      </c>
      <c r="E21" s="23">
        <f t="shared" si="5"/>
        <v>-6.7035001069657985E-2</v>
      </c>
      <c r="F21" s="21">
        <f>+C21-48762</f>
        <v>51542</v>
      </c>
      <c r="G21" s="21">
        <f>+D21-51983</f>
        <v>55528</v>
      </c>
      <c r="H21" s="23">
        <f t="shared" si="6"/>
        <v>-7.1783604667915279E-2</v>
      </c>
      <c r="I21" s="24">
        <f t="shared" si="7"/>
        <v>71.829143703142449</v>
      </c>
      <c r="J21" s="24">
        <f t="shared" si="8"/>
        <v>139.78406794458888</v>
      </c>
      <c r="K21" s="21">
        <v>7204750.4299999997</v>
      </c>
      <c r="L21" s="21">
        <v>7793918.54</v>
      </c>
      <c r="M21" s="25">
        <f t="shared" si="9"/>
        <v>-7.5593311243409581E-2</v>
      </c>
      <c r="N21" s="10"/>
      <c r="R21" s="2"/>
    </row>
    <row r="22" spans="1:18" ht="15.75" x14ac:dyDescent="0.25">
      <c r="A22" s="19"/>
      <c r="B22" s="20">
        <f>DATE(2023,10,1)</f>
        <v>45200</v>
      </c>
      <c r="C22" s="21">
        <v>93178</v>
      </c>
      <c r="D22" s="21">
        <v>104490</v>
      </c>
      <c r="E22" s="23">
        <f t="shared" si="5"/>
        <v>-0.10825916355632118</v>
      </c>
      <c r="F22" s="21">
        <f>+C22-45141</f>
        <v>48037</v>
      </c>
      <c r="G22" s="21">
        <f>+D22-49825</f>
        <v>54665</v>
      </c>
      <c r="H22" s="23">
        <f t="shared" si="6"/>
        <v>-0.121247599012165</v>
      </c>
      <c r="I22" s="24">
        <f t="shared" si="7"/>
        <v>70.092507136877799</v>
      </c>
      <c r="J22" s="24">
        <f t="shared" si="8"/>
        <v>135.95935695401462</v>
      </c>
      <c r="K22" s="21">
        <v>6531079.6299999999</v>
      </c>
      <c r="L22" s="21">
        <v>7661616.3399999999</v>
      </c>
      <c r="M22" s="25">
        <f t="shared" si="9"/>
        <v>-0.14755851243785981</v>
      </c>
      <c r="N22" s="10"/>
      <c r="R22" s="2"/>
    </row>
    <row r="23" spans="1:18" ht="15.75" x14ac:dyDescent="0.25">
      <c r="A23" s="19"/>
      <c r="B23" s="20">
        <f>DATE(2023,11,1)</f>
        <v>45231</v>
      </c>
      <c r="C23" s="21">
        <v>89400</v>
      </c>
      <c r="D23" s="21">
        <v>93678</v>
      </c>
      <c r="E23" s="23">
        <f t="shared" si="5"/>
        <v>-4.5667072311535259E-2</v>
      </c>
      <c r="F23" s="21">
        <f>+C23-43751</f>
        <v>45649</v>
      </c>
      <c r="G23" s="21">
        <f>+D23-44918</f>
        <v>48760</v>
      </c>
      <c r="H23" s="23">
        <f t="shared" si="6"/>
        <v>-6.3802296964725183E-2</v>
      </c>
      <c r="I23" s="24">
        <f t="shared" si="7"/>
        <v>75.990714653243842</v>
      </c>
      <c r="J23" s="24">
        <f t="shared" si="8"/>
        <v>148.82187758767989</v>
      </c>
      <c r="K23" s="21">
        <v>6793569.8899999997</v>
      </c>
      <c r="L23" s="21">
        <v>7032076.0599999996</v>
      </c>
      <c r="M23" s="25">
        <f t="shared" si="9"/>
        <v>-3.3916892815860689E-2</v>
      </c>
      <c r="N23" s="10"/>
      <c r="R23" s="2"/>
    </row>
    <row r="24" spans="1:18" ht="15.75" x14ac:dyDescent="0.25">
      <c r="A24" s="19"/>
      <c r="B24" s="20">
        <f>DATE(2023,12,1)</f>
        <v>45261</v>
      </c>
      <c r="C24" s="21">
        <v>103282</v>
      </c>
      <c r="D24" s="21">
        <v>102036</v>
      </c>
      <c r="E24" s="23">
        <f t="shared" si="5"/>
        <v>1.2211376376964993E-2</v>
      </c>
      <c r="F24" s="21">
        <f>+C24-51256</f>
        <v>52026</v>
      </c>
      <c r="G24" s="21">
        <f>+D24-49071</f>
        <v>52965</v>
      </c>
      <c r="H24" s="23">
        <f t="shared" si="6"/>
        <v>-1.7728688756726139E-2</v>
      </c>
      <c r="I24" s="24">
        <f t="shared" si="7"/>
        <v>75.579002343099475</v>
      </c>
      <c r="J24" s="24">
        <f t="shared" si="8"/>
        <v>150.03941337023795</v>
      </c>
      <c r="K24" s="21">
        <v>7805950.5199999996</v>
      </c>
      <c r="L24" s="21">
        <v>7398968.5199999996</v>
      </c>
      <c r="M24" s="25">
        <f t="shared" si="9"/>
        <v>5.500523470263393E-2</v>
      </c>
      <c r="N24" s="10"/>
      <c r="R24" s="2"/>
    </row>
    <row r="25" spans="1:18" ht="15.75" x14ac:dyDescent="0.25">
      <c r="A25" s="19"/>
      <c r="B25" s="20">
        <f>DATE(2024,1,1)</f>
        <v>45292</v>
      </c>
      <c r="C25" s="21">
        <v>79391</v>
      </c>
      <c r="D25" s="21">
        <v>98251</v>
      </c>
      <c r="E25" s="23">
        <f t="shared" si="5"/>
        <v>-0.19195733376759525</v>
      </c>
      <c r="F25" s="21">
        <f>C25-39096</f>
        <v>40295</v>
      </c>
      <c r="G25" s="21">
        <f>D25-47583</f>
        <v>50668</v>
      </c>
      <c r="H25" s="23">
        <f>(+F25-G25)/G25</f>
        <v>-0.20472487566116682</v>
      </c>
      <c r="I25" s="24">
        <f>K25/C25</f>
        <v>75.650664307037317</v>
      </c>
      <c r="J25" s="24">
        <f>K25/F25</f>
        <v>149.05030127807419</v>
      </c>
      <c r="K25" s="21">
        <v>6005981.8899999997</v>
      </c>
      <c r="L25" s="21">
        <v>7202856.0199999996</v>
      </c>
      <c r="M25" s="25">
        <f t="shared" si="9"/>
        <v>-0.16616660484072815</v>
      </c>
      <c r="N25" s="10"/>
      <c r="R25" s="2"/>
    </row>
    <row r="26" spans="1:18" ht="15.75" customHeight="1" thickBot="1" x14ac:dyDescent="0.3">
      <c r="A26" s="19"/>
      <c r="B26" s="20"/>
      <c r="C26" s="21"/>
      <c r="D26" s="21"/>
      <c r="E26" s="23"/>
      <c r="F26" s="21"/>
      <c r="G26" s="21"/>
      <c r="H26" s="23"/>
      <c r="I26" s="24"/>
      <c r="J26" s="24"/>
      <c r="K26" s="21"/>
      <c r="L26" s="21"/>
      <c r="M26" s="25"/>
      <c r="N26" s="10"/>
      <c r="R26" s="2"/>
    </row>
    <row r="27" spans="1:18" ht="17.25" customHeight="1" thickTop="1" thickBot="1" x14ac:dyDescent="0.3">
      <c r="A27" s="26" t="s">
        <v>14</v>
      </c>
      <c r="B27" s="27"/>
      <c r="C27" s="28">
        <f>SUM(C19:C26)</f>
        <v>683807</v>
      </c>
      <c r="D27" s="28">
        <f>SUM(D19:D26)</f>
        <v>724465</v>
      </c>
      <c r="E27" s="279">
        <f>(+C27-D27)/D27</f>
        <v>-5.6121413732892547E-2</v>
      </c>
      <c r="F27" s="28">
        <f>SUM(F19:F26)</f>
        <v>349638</v>
      </c>
      <c r="G27" s="28">
        <f>SUM(G19:G26)</f>
        <v>375659</v>
      </c>
      <c r="H27" s="30">
        <f>(+F27-G27)/G27</f>
        <v>-6.9267607058529149E-2</v>
      </c>
      <c r="I27" s="31">
        <f>K27/C27</f>
        <v>73.13430794069086</v>
      </c>
      <c r="J27" s="31">
        <f>K27/F27</f>
        <v>143.03294181410484</v>
      </c>
      <c r="K27" s="28">
        <f>SUM(K19:K26)</f>
        <v>50009751.709999993</v>
      </c>
      <c r="L27" s="28">
        <f>SUM(L19:L26)</f>
        <v>53051151.219999999</v>
      </c>
      <c r="M27" s="32">
        <f>(+K27-L27)/L27</f>
        <v>-5.7329566655160806E-2</v>
      </c>
      <c r="N27" s="10"/>
      <c r="R27" s="2"/>
    </row>
    <row r="28" spans="1:18" ht="15.75" customHeight="1" thickTop="1" x14ac:dyDescent="0.25">
      <c r="A28" s="33"/>
      <c r="B28" s="34"/>
      <c r="C28" s="35"/>
      <c r="D28" s="35"/>
      <c r="E28" s="29"/>
      <c r="F28" s="35"/>
      <c r="G28" s="35"/>
      <c r="H28" s="29"/>
      <c r="I28" s="36"/>
      <c r="J28" s="36"/>
      <c r="K28" s="35"/>
      <c r="L28" s="35"/>
      <c r="M28" s="37"/>
      <c r="N28" s="10"/>
      <c r="R28" s="2"/>
    </row>
    <row r="29" spans="1:18" ht="15.75" customHeight="1" x14ac:dyDescent="0.25">
      <c r="A29" s="19" t="s">
        <v>62</v>
      </c>
      <c r="B29" s="20">
        <f>DATE(2023,7,1)</f>
        <v>45108</v>
      </c>
      <c r="C29" s="21">
        <v>62207</v>
      </c>
      <c r="D29" s="21">
        <v>56544</v>
      </c>
      <c r="E29" s="23">
        <f t="shared" ref="E29:E35" si="10">(+C29-D29)/D29</f>
        <v>0.10015209394453876</v>
      </c>
      <c r="F29" s="21">
        <f>+C29-32355</f>
        <v>29852</v>
      </c>
      <c r="G29" s="21">
        <f>+D29-31773</f>
        <v>24771</v>
      </c>
      <c r="H29" s="23">
        <f t="shared" ref="H29:H34" si="11">(+F29-G29)/G29</f>
        <v>0.20511888902345485</v>
      </c>
      <c r="I29" s="24">
        <f t="shared" ref="I29:I34" si="12">K29/C29</f>
        <v>62.61233446396708</v>
      </c>
      <c r="J29" s="24">
        <f t="shared" ref="J29:J34" si="13">K29/F29</f>
        <v>130.47452398499263</v>
      </c>
      <c r="K29" s="21">
        <v>3894925.49</v>
      </c>
      <c r="L29" s="21">
        <v>3786512.7</v>
      </c>
      <c r="M29" s="25">
        <f t="shared" ref="M29:M35" si="14">(+K29-L29)/L29</f>
        <v>2.8631302359028145E-2</v>
      </c>
      <c r="N29" s="10"/>
      <c r="R29" s="2"/>
    </row>
    <row r="30" spans="1:18" ht="15.75" customHeight="1" x14ac:dyDescent="0.25">
      <c r="A30" s="19"/>
      <c r="B30" s="20">
        <f>DATE(2023,8,1)</f>
        <v>45139</v>
      </c>
      <c r="C30" s="21">
        <v>55791</v>
      </c>
      <c r="D30" s="21">
        <v>49669</v>
      </c>
      <c r="E30" s="23">
        <f t="shared" si="10"/>
        <v>0.12325595441824881</v>
      </c>
      <c r="F30" s="21">
        <f>+C30-28978</f>
        <v>26813</v>
      </c>
      <c r="G30" s="21">
        <f>+D30-27651</f>
        <v>22018</v>
      </c>
      <c r="H30" s="23">
        <f t="shared" si="11"/>
        <v>0.21777636479244256</v>
      </c>
      <c r="I30" s="24">
        <f t="shared" si="12"/>
        <v>67.347290960907671</v>
      </c>
      <c r="J30" s="24">
        <f t="shared" si="13"/>
        <v>140.13249953380821</v>
      </c>
      <c r="K30" s="21">
        <v>3757372.71</v>
      </c>
      <c r="L30" s="21">
        <v>3497013.51</v>
      </c>
      <c r="M30" s="25">
        <f t="shared" si="14"/>
        <v>7.4451871362658878E-2</v>
      </c>
      <c r="N30" s="10"/>
      <c r="R30" s="2"/>
    </row>
    <row r="31" spans="1:18" ht="15.75" customHeight="1" x14ac:dyDescent="0.25">
      <c r="A31" s="19"/>
      <c r="B31" s="20">
        <f>DATE(2023,9,1)</f>
        <v>45170</v>
      </c>
      <c r="C31" s="21">
        <v>56687</v>
      </c>
      <c r="D31" s="21">
        <v>50523</v>
      </c>
      <c r="E31" s="23">
        <f t="shared" si="10"/>
        <v>0.12200383983532252</v>
      </c>
      <c r="F31" s="21">
        <f>+C31-29799</f>
        <v>26888</v>
      </c>
      <c r="G31" s="21">
        <f>+D31-27954</f>
        <v>22569</v>
      </c>
      <c r="H31" s="23">
        <f t="shared" si="11"/>
        <v>0.19136869156808012</v>
      </c>
      <c r="I31" s="24">
        <f t="shared" si="12"/>
        <v>70.977173955227826</v>
      </c>
      <c r="J31" s="24">
        <f t="shared" si="13"/>
        <v>149.63861425171081</v>
      </c>
      <c r="K31" s="21">
        <v>4023483.06</v>
      </c>
      <c r="L31" s="21">
        <v>3596804.25</v>
      </c>
      <c r="M31" s="25">
        <f t="shared" si="14"/>
        <v>0.11862719801890804</v>
      </c>
      <c r="N31" s="10"/>
      <c r="R31" s="2"/>
    </row>
    <row r="32" spans="1:18" ht="15.75" customHeight="1" x14ac:dyDescent="0.25">
      <c r="A32" s="19"/>
      <c r="B32" s="20">
        <f>DATE(2023,10,1)</f>
        <v>45200</v>
      </c>
      <c r="C32" s="21">
        <v>50318</v>
      </c>
      <c r="D32" s="21">
        <v>47473</v>
      </c>
      <c r="E32" s="23">
        <f t="shared" si="10"/>
        <v>5.9928801634613359E-2</v>
      </c>
      <c r="F32" s="21">
        <f>+C32-26291</f>
        <v>24027</v>
      </c>
      <c r="G32" s="21">
        <f>+D32-26103</f>
        <v>21370</v>
      </c>
      <c r="H32" s="23">
        <f t="shared" si="11"/>
        <v>0.12433317735142724</v>
      </c>
      <c r="I32" s="24">
        <f t="shared" si="12"/>
        <v>73.565421916610362</v>
      </c>
      <c r="J32" s="24">
        <f t="shared" si="13"/>
        <v>154.06271694343863</v>
      </c>
      <c r="K32" s="21">
        <v>3701664.9</v>
      </c>
      <c r="L32" s="21">
        <v>3359585.24</v>
      </c>
      <c r="M32" s="25">
        <f t="shared" si="14"/>
        <v>0.1018219915741741</v>
      </c>
      <c r="N32" s="10"/>
      <c r="R32" s="2"/>
    </row>
    <row r="33" spans="1:18" ht="15.75" customHeight="1" x14ac:dyDescent="0.25">
      <c r="A33" s="19"/>
      <c r="B33" s="20">
        <f>DATE(2023,11,1)</f>
        <v>45231</v>
      </c>
      <c r="C33" s="21">
        <v>50441</v>
      </c>
      <c r="D33" s="21">
        <v>39425</v>
      </c>
      <c r="E33" s="23">
        <f t="shared" si="10"/>
        <v>0.27941661382371591</v>
      </c>
      <c r="F33" s="21">
        <f>+C33-26944</f>
        <v>23497</v>
      </c>
      <c r="G33" s="21">
        <f>+D33-21931</f>
        <v>17494</v>
      </c>
      <c r="H33" s="23">
        <f t="shared" si="11"/>
        <v>0.34314622156167829</v>
      </c>
      <c r="I33" s="24">
        <f t="shared" si="12"/>
        <v>71.075485022105028</v>
      </c>
      <c r="J33" s="24">
        <f t="shared" si="13"/>
        <v>152.57771375069157</v>
      </c>
      <c r="K33" s="21">
        <v>3585118.54</v>
      </c>
      <c r="L33" s="21">
        <v>3098197.39</v>
      </c>
      <c r="M33" s="25">
        <f t="shared" si="14"/>
        <v>0.15716272680740975</v>
      </c>
      <c r="N33" s="10"/>
      <c r="R33" s="2"/>
    </row>
    <row r="34" spans="1:18" ht="15.75" customHeight="1" x14ac:dyDescent="0.25">
      <c r="A34" s="19"/>
      <c r="B34" s="20">
        <f>DATE(2023,12,1)</f>
        <v>45261</v>
      </c>
      <c r="C34" s="21">
        <v>56340</v>
      </c>
      <c r="D34" s="21">
        <v>43315</v>
      </c>
      <c r="E34" s="23">
        <f t="shared" si="10"/>
        <v>0.30070414406094886</v>
      </c>
      <c r="F34" s="21">
        <f>+C34-30403</f>
        <v>25937</v>
      </c>
      <c r="G34" s="21">
        <f>+D34-23779</f>
        <v>19536</v>
      </c>
      <c r="H34" s="23">
        <f t="shared" si="11"/>
        <v>0.32765151515151514</v>
      </c>
      <c r="I34" s="24">
        <f t="shared" si="12"/>
        <v>72.165827476038345</v>
      </c>
      <c r="J34" s="24">
        <f t="shared" si="13"/>
        <v>156.75763272545015</v>
      </c>
      <c r="K34" s="21">
        <v>4065822.7200000002</v>
      </c>
      <c r="L34" s="21">
        <v>3140293.54</v>
      </c>
      <c r="M34" s="25">
        <f t="shared" si="14"/>
        <v>0.29472696364557061</v>
      </c>
      <c r="N34" s="10"/>
      <c r="R34" s="2"/>
    </row>
    <row r="35" spans="1:18" ht="15.75" customHeight="1" x14ac:dyDescent="0.25">
      <c r="A35" s="19"/>
      <c r="B35" s="20">
        <f>DATE(2024,1,1)</f>
        <v>45292</v>
      </c>
      <c r="C35" s="21">
        <v>44583</v>
      </c>
      <c r="D35" s="21">
        <v>50499</v>
      </c>
      <c r="E35" s="23">
        <f t="shared" si="10"/>
        <v>-0.11715083466999346</v>
      </c>
      <c r="F35" s="21">
        <f>C35-24332</f>
        <v>20251</v>
      </c>
      <c r="G35" s="21">
        <f>D35-27910</f>
        <v>22589</v>
      </c>
      <c r="H35" s="23">
        <f>(+F35-G35)/G35</f>
        <v>-0.10350170436938333</v>
      </c>
      <c r="I35" s="24">
        <f>K35/C35</f>
        <v>75.7228077966938</v>
      </c>
      <c r="J35" s="24">
        <f>K35/F35</f>
        <v>166.70534492123846</v>
      </c>
      <c r="K35" s="21">
        <v>3375949.94</v>
      </c>
      <c r="L35" s="21">
        <v>3631909.7</v>
      </c>
      <c r="M35" s="25">
        <f t="shared" si="14"/>
        <v>-7.0475254382012922E-2</v>
      </c>
      <c r="N35" s="10"/>
      <c r="R35" s="2"/>
    </row>
    <row r="36" spans="1:18" ht="15.75" customHeight="1" thickBot="1" x14ac:dyDescent="0.25">
      <c r="A36" s="38"/>
      <c r="B36" s="20"/>
      <c r="C36" s="21"/>
      <c r="D36" s="21"/>
      <c r="E36" s="23"/>
      <c r="F36" s="21"/>
      <c r="G36" s="21"/>
      <c r="H36" s="23"/>
      <c r="I36" s="24"/>
      <c r="J36" s="24"/>
      <c r="K36" s="21"/>
      <c r="L36" s="21"/>
      <c r="M36" s="25"/>
      <c r="N36" s="10"/>
      <c r="R36" s="2"/>
    </row>
    <row r="37" spans="1:18" ht="17.25" customHeight="1" thickTop="1" thickBot="1" x14ac:dyDescent="0.3">
      <c r="A37" s="39" t="s">
        <v>14</v>
      </c>
      <c r="B37" s="40"/>
      <c r="C37" s="41">
        <f>SUM(C29:C36)</f>
        <v>376367</v>
      </c>
      <c r="D37" s="41">
        <f>SUM(D29:D36)</f>
        <v>337448</v>
      </c>
      <c r="E37" s="280">
        <f>(+C37-D37)/D37</f>
        <v>0.11533332543088121</v>
      </c>
      <c r="F37" s="41">
        <f>SUM(F29:F36)</f>
        <v>177265</v>
      </c>
      <c r="G37" s="41">
        <f>SUM(G29:G36)</f>
        <v>150347</v>
      </c>
      <c r="H37" s="42">
        <f>(+F37-G37)/G37</f>
        <v>0.17903915608558868</v>
      </c>
      <c r="I37" s="43">
        <f>K37/C37</f>
        <v>70.155824926202342</v>
      </c>
      <c r="J37" s="43">
        <f>K37/F37</f>
        <v>148.9540369503286</v>
      </c>
      <c r="K37" s="41">
        <f>SUM(K29:K36)</f>
        <v>26404337.359999999</v>
      </c>
      <c r="L37" s="41">
        <f>SUM(L29:L36)</f>
        <v>24110316.329999998</v>
      </c>
      <c r="M37" s="44">
        <f>(+K37-L37)/L37</f>
        <v>9.5146865706842484E-2</v>
      </c>
      <c r="N37" s="10"/>
      <c r="R37" s="2"/>
    </row>
    <row r="38" spans="1:18" ht="15.75" customHeight="1" thickTop="1" x14ac:dyDescent="0.2">
      <c r="A38" s="38"/>
      <c r="B38" s="45"/>
      <c r="C38" s="21"/>
      <c r="D38" s="21"/>
      <c r="E38" s="23"/>
      <c r="F38" s="21"/>
      <c r="G38" s="21"/>
      <c r="H38" s="23"/>
      <c r="I38" s="24"/>
      <c r="J38" s="24"/>
      <c r="K38" s="21"/>
      <c r="L38" s="21"/>
      <c r="M38" s="25"/>
      <c r="N38" s="10"/>
      <c r="R38" s="2"/>
    </row>
    <row r="39" spans="1:18" ht="15.75" customHeight="1" x14ac:dyDescent="0.25">
      <c r="A39" s="177" t="s">
        <v>58</v>
      </c>
      <c r="B39" s="20">
        <f>DATE(2023,7,1)</f>
        <v>45108</v>
      </c>
      <c r="C39" s="21">
        <v>351840</v>
      </c>
      <c r="D39" s="21">
        <v>327697</v>
      </c>
      <c r="E39" s="23">
        <f t="shared" ref="E39:E45" si="15">(+C39-D39)/D39</f>
        <v>7.3674766628928551E-2</v>
      </c>
      <c r="F39" s="21">
        <f>+C39-174244</f>
        <v>177596</v>
      </c>
      <c r="G39" s="21">
        <f>+D39-165744</f>
        <v>161953</v>
      </c>
      <c r="H39" s="23">
        <f t="shared" ref="H39:H44" si="16">(+F39-G39)/G39</f>
        <v>9.658975134761319E-2</v>
      </c>
      <c r="I39" s="24">
        <f t="shared" ref="I39:I44" si="17">K39/C39</f>
        <v>63.266514836289218</v>
      </c>
      <c r="J39" s="24">
        <f t="shared" ref="J39:J44" si="18">K39/F39</f>
        <v>125.33891855672424</v>
      </c>
      <c r="K39" s="21">
        <v>22259690.579999998</v>
      </c>
      <c r="L39" s="21">
        <v>21404058.239999998</v>
      </c>
      <c r="M39" s="25">
        <f t="shared" ref="M39:M45" si="19">(+K39-L39)/L39</f>
        <v>3.9975238826485265E-2</v>
      </c>
      <c r="N39" s="10"/>
      <c r="R39" s="2"/>
    </row>
    <row r="40" spans="1:18" ht="15.75" customHeight="1" x14ac:dyDescent="0.25">
      <c r="A40" s="177"/>
      <c r="B40" s="20">
        <f>DATE(2023,8,1)</f>
        <v>45139</v>
      </c>
      <c r="C40" s="21">
        <v>330822</v>
      </c>
      <c r="D40" s="21">
        <v>302775</v>
      </c>
      <c r="E40" s="23">
        <f t="shared" si="15"/>
        <v>9.2633143423334161E-2</v>
      </c>
      <c r="F40" s="21">
        <f>+C40-166752</f>
        <v>164070</v>
      </c>
      <c r="G40" s="21">
        <f>+D40-150422</f>
        <v>152353</v>
      </c>
      <c r="H40" s="23">
        <f t="shared" si="16"/>
        <v>7.6906920113158264E-2</v>
      </c>
      <c r="I40" s="24">
        <f t="shared" si="17"/>
        <v>60.320833197308524</v>
      </c>
      <c r="J40" s="24">
        <f t="shared" si="18"/>
        <v>121.62771183031633</v>
      </c>
      <c r="K40" s="21">
        <v>19955458.68</v>
      </c>
      <c r="L40" s="21">
        <v>19341318.82</v>
      </c>
      <c r="M40" s="25">
        <f t="shared" si="19"/>
        <v>3.1752739599377508E-2</v>
      </c>
      <c r="N40" s="10"/>
      <c r="R40" s="2"/>
    </row>
    <row r="41" spans="1:18" ht="15.75" customHeight="1" x14ac:dyDescent="0.25">
      <c r="A41" s="177"/>
      <c r="B41" s="20">
        <f>DATE(2023,9,1)</f>
        <v>45170</v>
      </c>
      <c r="C41" s="21">
        <v>316962</v>
      </c>
      <c r="D41" s="21">
        <v>299586</v>
      </c>
      <c r="E41" s="23">
        <f t="shared" si="15"/>
        <v>5.8000040055276279E-2</v>
      </c>
      <c r="F41" s="21">
        <f>+C41-158185</f>
        <v>158777</v>
      </c>
      <c r="G41" s="21">
        <f>+D41-150974</f>
        <v>148612</v>
      </c>
      <c r="H41" s="23">
        <f t="shared" si="16"/>
        <v>6.8399590880951738E-2</v>
      </c>
      <c r="I41" s="24">
        <f t="shared" si="17"/>
        <v>64.654702235599217</v>
      </c>
      <c r="J41" s="24">
        <f t="shared" si="18"/>
        <v>129.06833943203361</v>
      </c>
      <c r="K41" s="21">
        <v>20493083.73</v>
      </c>
      <c r="L41" s="21">
        <v>21154344.73</v>
      </c>
      <c r="M41" s="25">
        <f t="shared" si="19"/>
        <v>-3.1258874166980637E-2</v>
      </c>
      <c r="N41" s="10"/>
      <c r="R41" s="2"/>
    </row>
    <row r="42" spans="1:18" ht="15.75" customHeight="1" x14ac:dyDescent="0.25">
      <c r="A42" s="177"/>
      <c r="B42" s="20">
        <f>DATE(2023,10,1)</f>
        <v>45200</v>
      </c>
      <c r="C42" s="21">
        <v>288802</v>
      </c>
      <c r="D42" s="21">
        <v>280901</v>
      </c>
      <c r="E42" s="23">
        <f t="shared" si="15"/>
        <v>2.812734735725398E-2</v>
      </c>
      <c r="F42" s="21">
        <f>+C42-147350</f>
        <v>141452</v>
      </c>
      <c r="G42" s="21">
        <f>+D42-143073</f>
        <v>137828</v>
      </c>
      <c r="H42" s="23">
        <f t="shared" si="16"/>
        <v>2.6293641350088517E-2</v>
      </c>
      <c r="I42" s="24">
        <f t="shared" si="17"/>
        <v>67.021046876406672</v>
      </c>
      <c r="J42" s="24">
        <f t="shared" si="18"/>
        <v>136.83661157141646</v>
      </c>
      <c r="K42" s="21">
        <v>19355812.379999999</v>
      </c>
      <c r="L42" s="21">
        <v>19256450</v>
      </c>
      <c r="M42" s="25">
        <f t="shared" si="19"/>
        <v>5.1599531585520154E-3</v>
      </c>
      <c r="N42" s="10"/>
      <c r="R42" s="2"/>
    </row>
    <row r="43" spans="1:18" ht="15.75" customHeight="1" x14ac:dyDescent="0.25">
      <c r="A43" s="177"/>
      <c r="B43" s="20">
        <f>DATE(2023,11,1)</f>
        <v>45231</v>
      </c>
      <c r="C43" s="21">
        <v>288915</v>
      </c>
      <c r="D43" s="21">
        <v>277702</v>
      </c>
      <c r="E43" s="23">
        <f t="shared" si="15"/>
        <v>4.0377815067950538E-2</v>
      </c>
      <c r="F43" s="21">
        <f>+C43-147815</f>
        <v>141100</v>
      </c>
      <c r="G43" s="21">
        <f>+D43-138977</f>
        <v>138725</v>
      </c>
      <c r="H43" s="23">
        <f t="shared" si="16"/>
        <v>1.7120201838169039E-2</v>
      </c>
      <c r="I43" s="24">
        <f t="shared" si="17"/>
        <v>68.224359309831613</v>
      </c>
      <c r="J43" s="24">
        <f t="shared" si="18"/>
        <v>139.6955405386251</v>
      </c>
      <c r="K43" s="21">
        <v>19711040.77</v>
      </c>
      <c r="L43" s="21">
        <v>17923650.210000001</v>
      </c>
      <c r="M43" s="25">
        <f t="shared" si="19"/>
        <v>9.9722463842927142E-2</v>
      </c>
      <c r="N43" s="10"/>
      <c r="R43" s="2"/>
    </row>
    <row r="44" spans="1:18" ht="15.75" customHeight="1" x14ac:dyDescent="0.25">
      <c r="A44" s="177"/>
      <c r="B44" s="20">
        <f>DATE(2023,12,1)</f>
        <v>45261</v>
      </c>
      <c r="C44" s="21">
        <v>314743</v>
      </c>
      <c r="D44" s="21">
        <v>302510</v>
      </c>
      <c r="E44" s="23">
        <f t="shared" si="15"/>
        <v>4.043833261710357E-2</v>
      </c>
      <c r="F44" s="21">
        <f>+C44-159932</f>
        <v>154811</v>
      </c>
      <c r="G44" s="21">
        <f>+D44-154252</f>
        <v>148258</v>
      </c>
      <c r="H44" s="23">
        <f t="shared" si="16"/>
        <v>4.4199975718005102E-2</v>
      </c>
      <c r="I44" s="24">
        <f t="shared" si="17"/>
        <v>67.908941453821058</v>
      </c>
      <c r="J44" s="24">
        <f t="shared" si="18"/>
        <v>138.06424582232529</v>
      </c>
      <c r="K44" s="21">
        <v>21373863.960000001</v>
      </c>
      <c r="L44" s="21">
        <v>20223315.530000001</v>
      </c>
      <c r="M44" s="25">
        <f t="shared" si="19"/>
        <v>5.689217617621771E-2</v>
      </c>
      <c r="N44" s="10"/>
      <c r="R44" s="2"/>
    </row>
    <row r="45" spans="1:18" ht="15.75" customHeight="1" x14ac:dyDescent="0.25">
      <c r="A45" s="177"/>
      <c r="B45" s="20">
        <f>DATE(2024,1,1)</f>
        <v>45292</v>
      </c>
      <c r="C45" s="21">
        <v>260243</v>
      </c>
      <c r="D45" s="21">
        <v>303832</v>
      </c>
      <c r="E45" s="23">
        <f t="shared" si="15"/>
        <v>-0.14346415124147555</v>
      </c>
      <c r="F45" s="21">
        <f>C45-132491</f>
        <v>127752</v>
      </c>
      <c r="G45" s="21">
        <f>D45-157346</f>
        <v>146486</v>
      </c>
      <c r="H45" s="23">
        <f>(+F45-G45)/G45</f>
        <v>-0.12788935461409282</v>
      </c>
      <c r="I45" s="24">
        <f>K45/C45</f>
        <v>69.20564910487505</v>
      </c>
      <c r="J45" s="24">
        <f>K45/F45</f>
        <v>140.97850319368774</v>
      </c>
      <c r="K45" s="21">
        <v>18010285.739999998</v>
      </c>
      <c r="L45" s="21">
        <v>18911652.34</v>
      </c>
      <c r="M45" s="25">
        <f t="shared" si="19"/>
        <v>-4.7661969657380107E-2</v>
      </c>
      <c r="N45" s="10"/>
      <c r="R45" s="2"/>
    </row>
    <row r="46" spans="1:18" ht="15.75" thickBot="1" x14ac:dyDescent="0.25">
      <c r="A46" s="38"/>
      <c r="B46" s="45"/>
      <c r="C46" s="21"/>
      <c r="D46" s="21"/>
      <c r="E46" s="23"/>
      <c r="F46" s="21"/>
      <c r="G46" s="21"/>
      <c r="H46" s="23"/>
      <c r="I46" s="24"/>
      <c r="J46" s="24"/>
      <c r="K46" s="21"/>
      <c r="L46" s="21"/>
      <c r="M46" s="25"/>
      <c r="N46" s="10"/>
      <c r="R46" s="2"/>
    </row>
    <row r="47" spans="1:18" ht="17.25" thickTop="1" thickBot="1" x14ac:dyDescent="0.3">
      <c r="A47" s="39" t="s">
        <v>14</v>
      </c>
      <c r="B47" s="40"/>
      <c r="C47" s="41">
        <f>SUM(C39:C46)</f>
        <v>2152327</v>
      </c>
      <c r="D47" s="41">
        <f>SUM(D39:D46)</f>
        <v>2095003</v>
      </c>
      <c r="E47" s="280">
        <f>(+C47-D47)/D47</f>
        <v>2.7362251987228657E-2</v>
      </c>
      <c r="F47" s="41">
        <f>SUM(F39:F46)</f>
        <v>1065558</v>
      </c>
      <c r="G47" s="41">
        <f>SUM(G39:G46)</f>
        <v>1034215</v>
      </c>
      <c r="H47" s="42">
        <f>(+F47-G47)/G47</f>
        <v>3.0306077556407518E-2</v>
      </c>
      <c r="I47" s="43">
        <f>K47/C47</f>
        <v>65.584474775440725</v>
      </c>
      <c r="J47" s="43">
        <f>K47/F47</f>
        <v>132.47447425668054</v>
      </c>
      <c r="K47" s="41">
        <f>SUM(K39:K46)</f>
        <v>141159235.84</v>
      </c>
      <c r="L47" s="41">
        <f>SUM(L39:L46)</f>
        <v>138214789.87</v>
      </c>
      <c r="M47" s="44">
        <f>(+K47-L47)/L47</f>
        <v>2.1303407347140212E-2</v>
      </c>
      <c r="N47" s="10"/>
      <c r="R47" s="2"/>
    </row>
    <row r="48" spans="1:18" ht="15.75" thickTop="1" x14ac:dyDescent="0.2">
      <c r="A48" s="38"/>
      <c r="B48" s="45"/>
      <c r="C48" s="21"/>
      <c r="D48" s="21"/>
      <c r="E48" s="23"/>
      <c r="F48" s="21"/>
      <c r="G48" s="21"/>
      <c r="H48" s="23"/>
      <c r="I48" s="24"/>
      <c r="J48" s="24"/>
      <c r="K48" s="21"/>
      <c r="L48" s="21"/>
      <c r="M48" s="25"/>
      <c r="N48" s="10"/>
      <c r="R48" s="2"/>
    </row>
    <row r="49" spans="1:18" ht="15.75" x14ac:dyDescent="0.25">
      <c r="A49" s="19" t="s">
        <v>60</v>
      </c>
      <c r="B49" s="20">
        <f>DATE(2023,7,1)</f>
        <v>45108</v>
      </c>
      <c r="C49" s="21">
        <v>199698</v>
      </c>
      <c r="D49" s="21">
        <v>219130</v>
      </c>
      <c r="E49" s="23">
        <f t="shared" ref="E49:E55" si="20">(+C49-D49)/D49</f>
        <v>-8.8677953726098657E-2</v>
      </c>
      <c r="F49" s="21">
        <f>+C49-94634</f>
        <v>105064</v>
      </c>
      <c r="G49" s="21">
        <f>+D49-103416</f>
        <v>115714</v>
      </c>
      <c r="H49" s="23">
        <f t="shared" ref="H49:H54" si="21">(+F49-G49)/G49</f>
        <v>-9.2037264289541454E-2</v>
      </c>
      <c r="I49" s="24">
        <f t="shared" ref="I49:I54" si="22">K49/C49</f>
        <v>76.994882722911598</v>
      </c>
      <c r="J49" s="24">
        <f t="shared" ref="J49:J54" si="23">K49/F49</f>
        <v>146.34626599025356</v>
      </c>
      <c r="K49" s="21">
        <v>15375724.09</v>
      </c>
      <c r="L49" s="21">
        <v>15073309.060000001</v>
      </c>
      <c r="M49" s="25">
        <f t="shared" ref="M49:M55" si="24">(+K49-L49)/L49</f>
        <v>2.0062948938167617E-2</v>
      </c>
      <c r="N49" s="10"/>
      <c r="R49" s="2"/>
    </row>
    <row r="50" spans="1:18" ht="15.75" x14ac:dyDescent="0.25">
      <c r="A50" s="19"/>
      <c r="B50" s="20">
        <f>DATE(2023,8,1)</f>
        <v>45139</v>
      </c>
      <c r="C50" s="21">
        <v>185862</v>
      </c>
      <c r="D50" s="21">
        <v>204381</v>
      </c>
      <c r="E50" s="23">
        <f t="shared" si="20"/>
        <v>-9.0610183921205983E-2</v>
      </c>
      <c r="F50" s="21">
        <f>+C50-90658</f>
        <v>95204</v>
      </c>
      <c r="G50" s="21">
        <f>+D50-97907</f>
        <v>106474</v>
      </c>
      <c r="H50" s="23">
        <f t="shared" si="21"/>
        <v>-0.10584743693296016</v>
      </c>
      <c r="I50" s="24">
        <f t="shared" si="22"/>
        <v>75.718013848984725</v>
      </c>
      <c r="J50" s="24">
        <f t="shared" si="23"/>
        <v>147.8204853787656</v>
      </c>
      <c r="K50" s="21">
        <v>14073101.49</v>
      </c>
      <c r="L50" s="21">
        <v>15308950.33</v>
      </c>
      <c r="M50" s="25">
        <f t="shared" si="24"/>
        <v>-8.0727209466359265E-2</v>
      </c>
      <c r="N50" s="10"/>
      <c r="R50" s="2"/>
    </row>
    <row r="51" spans="1:18" ht="15.75" x14ac:dyDescent="0.25">
      <c r="A51" s="19"/>
      <c r="B51" s="20">
        <f>DATE(2023,9,1)</f>
        <v>45170</v>
      </c>
      <c r="C51" s="21">
        <v>187631</v>
      </c>
      <c r="D51" s="21">
        <v>195879</v>
      </c>
      <c r="E51" s="23">
        <f t="shared" si="20"/>
        <v>-4.2107627668101229E-2</v>
      </c>
      <c r="F51" s="21">
        <f>+C51-91547</f>
        <v>96084</v>
      </c>
      <c r="G51" s="21">
        <f>+D51-93599</f>
        <v>102280</v>
      </c>
      <c r="H51" s="23">
        <f t="shared" si="21"/>
        <v>-6.0578803285099729E-2</v>
      </c>
      <c r="I51" s="24">
        <f t="shared" si="22"/>
        <v>73.725347463905223</v>
      </c>
      <c r="J51" s="24">
        <f t="shared" si="23"/>
        <v>143.96945037675368</v>
      </c>
      <c r="K51" s="21">
        <v>13833160.67</v>
      </c>
      <c r="L51" s="21">
        <v>13847415.310000001</v>
      </c>
      <c r="M51" s="25">
        <f t="shared" si="24"/>
        <v>-1.0294079928191736E-3</v>
      </c>
      <c r="N51" s="10"/>
      <c r="R51" s="2"/>
    </row>
    <row r="52" spans="1:18" ht="15.75" x14ac:dyDescent="0.25">
      <c r="A52" s="19"/>
      <c r="B52" s="20">
        <f>DATE(2023,10,1)</f>
        <v>45200</v>
      </c>
      <c r="C52" s="21">
        <v>183725</v>
      </c>
      <c r="D52" s="21">
        <v>197679</v>
      </c>
      <c r="E52" s="23">
        <f t="shared" si="20"/>
        <v>-7.058918752118333E-2</v>
      </c>
      <c r="F52" s="21">
        <f>+C52-90840</f>
        <v>92885</v>
      </c>
      <c r="G52" s="21">
        <f>+D52-94885</f>
        <v>102794</v>
      </c>
      <c r="H52" s="23">
        <f t="shared" si="21"/>
        <v>-9.6396676848843316E-2</v>
      </c>
      <c r="I52" s="24">
        <f t="shared" si="22"/>
        <v>72.951255517757517</v>
      </c>
      <c r="J52" s="24">
        <f t="shared" si="23"/>
        <v>144.29638176239436</v>
      </c>
      <c r="K52" s="21">
        <v>13402969.42</v>
      </c>
      <c r="L52" s="21">
        <v>11929810.6</v>
      </c>
      <c r="M52" s="25">
        <f t="shared" si="24"/>
        <v>0.12348551619084383</v>
      </c>
      <c r="N52" s="10"/>
      <c r="R52" s="2"/>
    </row>
    <row r="53" spans="1:18" ht="15.75" x14ac:dyDescent="0.25">
      <c r="A53" s="19"/>
      <c r="B53" s="20">
        <f>DATE(2023,11,1)</f>
        <v>45231</v>
      </c>
      <c r="C53" s="21">
        <v>168217</v>
      </c>
      <c r="D53" s="21">
        <v>191974</v>
      </c>
      <c r="E53" s="23">
        <f t="shared" si="20"/>
        <v>-0.12375113296592247</v>
      </c>
      <c r="F53" s="21">
        <f>+C53-79459</f>
        <v>88758</v>
      </c>
      <c r="G53" s="21">
        <f>+D53-91566</f>
        <v>100408</v>
      </c>
      <c r="H53" s="23">
        <f t="shared" si="21"/>
        <v>-0.11602661142538444</v>
      </c>
      <c r="I53" s="24">
        <f t="shared" si="22"/>
        <v>75.426880576873927</v>
      </c>
      <c r="J53" s="24">
        <f t="shared" si="23"/>
        <v>142.95143615223418</v>
      </c>
      <c r="K53" s="21">
        <v>12688083.57</v>
      </c>
      <c r="L53" s="21">
        <v>14099198.119999999</v>
      </c>
      <c r="M53" s="25">
        <f t="shared" si="24"/>
        <v>-0.10008473801061808</v>
      </c>
      <c r="N53" s="10"/>
      <c r="R53" s="2"/>
    </row>
    <row r="54" spans="1:18" ht="15.75" x14ac:dyDescent="0.25">
      <c r="A54" s="19"/>
      <c r="B54" s="20">
        <f>DATE(2023,12,1)</f>
        <v>45261</v>
      </c>
      <c r="C54" s="21">
        <v>202200</v>
      </c>
      <c r="D54" s="21">
        <v>193245</v>
      </c>
      <c r="E54" s="23">
        <f t="shared" si="20"/>
        <v>4.634013816657611E-2</v>
      </c>
      <c r="F54" s="21">
        <f>+C54-96202</f>
        <v>105998</v>
      </c>
      <c r="G54" s="21">
        <f>+D54-93799</f>
        <v>99446</v>
      </c>
      <c r="H54" s="23">
        <f t="shared" si="21"/>
        <v>6.5885002916155497E-2</v>
      </c>
      <c r="I54" s="24">
        <f t="shared" si="22"/>
        <v>77.010245301681508</v>
      </c>
      <c r="J54" s="24">
        <f t="shared" si="23"/>
        <v>146.90344723485347</v>
      </c>
      <c r="K54" s="21">
        <v>15571471.6</v>
      </c>
      <c r="L54" s="21">
        <v>14757470.5</v>
      </c>
      <c r="M54" s="25">
        <f t="shared" si="24"/>
        <v>5.5158578836393378E-2</v>
      </c>
      <c r="N54" s="10"/>
      <c r="R54" s="2"/>
    </row>
    <row r="55" spans="1:18" ht="15.75" x14ac:dyDescent="0.25">
      <c r="A55" s="19"/>
      <c r="B55" s="20">
        <f>DATE(2024,1,1)</f>
        <v>45292</v>
      </c>
      <c r="C55" s="21">
        <v>146132</v>
      </c>
      <c r="D55" s="21">
        <v>186881</v>
      </c>
      <c r="E55" s="23">
        <f t="shared" si="20"/>
        <v>-0.21804784863094698</v>
      </c>
      <c r="F55" s="21">
        <f>C55-67849</f>
        <v>78283</v>
      </c>
      <c r="G55" s="21">
        <f>D55-92185</f>
        <v>94696</v>
      </c>
      <c r="H55" s="23">
        <f>(+F55-G55)/G55</f>
        <v>-0.17332305482808144</v>
      </c>
      <c r="I55" s="24">
        <f>K55/C55</f>
        <v>77.318952385514464</v>
      </c>
      <c r="J55" s="24">
        <f>K55/F55</f>
        <v>144.33239847731949</v>
      </c>
      <c r="K55" s="21">
        <v>11298773.15</v>
      </c>
      <c r="L55" s="21">
        <v>14118368.050000001</v>
      </c>
      <c r="M55" s="25">
        <f t="shared" si="24"/>
        <v>-0.19971110612887019</v>
      </c>
      <c r="N55" s="10"/>
      <c r="R55" s="2"/>
    </row>
    <row r="56" spans="1:18" ht="15.75" thickBot="1" x14ac:dyDescent="0.25">
      <c r="A56" s="38"/>
      <c r="B56" s="20"/>
      <c r="C56" s="21"/>
      <c r="D56" s="21"/>
      <c r="E56" s="23"/>
      <c r="F56" s="21"/>
      <c r="G56" s="21"/>
      <c r="H56" s="23"/>
      <c r="I56" s="24"/>
      <c r="J56" s="24"/>
      <c r="K56" s="21"/>
      <c r="L56" s="21"/>
      <c r="M56" s="25"/>
      <c r="N56" s="10"/>
      <c r="R56" s="2"/>
    </row>
    <row r="57" spans="1:18" ht="17.25" thickTop="1" thickBot="1" x14ac:dyDescent="0.3">
      <c r="A57" s="39" t="s">
        <v>14</v>
      </c>
      <c r="B57" s="40"/>
      <c r="C57" s="41">
        <f>SUM(C49:C56)</f>
        <v>1273465</v>
      </c>
      <c r="D57" s="41">
        <f>SUM(D49:D56)</f>
        <v>1389169</v>
      </c>
      <c r="E57" s="281">
        <f>(+C57-D57)/D57</f>
        <v>-8.3290082056250894E-2</v>
      </c>
      <c r="F57" s="47">
        <f>SUM(F49:F56)</f>
        <v>662276</v>
      </c>
      <c r="G57" s="48">
        <f>SUM(G49:G56)</f>
        <v>721812</v>
      </c>
      <c r="H57" s="49">
        <f>(+F57-G57)/G57</f>
        <v>-8.2481310923065834E-2</v>
      </c>
      <c r="I57" s="50">
        <f>K57/C57</f>
        <v>75.575916095063477</v>
      </c>
      <c r="J57" s="51">
        <f>K57/F57</f>
        <v>145.32201678756292</v>
      </c>
      <c r="K57" s="48">
        <f>SUM(K49:K56)</f>
        <v>96243283.99000001</v>
      </c>
      <c r="L57" s="47">
        <f>SUM(L49:L56)</f>
        <v>99134521.969999999</v>
      </c>
      <c r="M57" s="44">
        <f>(+K57-L57)/L57</f>
        <v>-2.9164794690541132E-2</v>
      </c>
      <c r="N57" s="10"/>
      <c r="R57" s="2"/>
    </row>
    <row r="58" spans="1:18" ht="15.75" customHeight="1" thickTop="1" x14ac:dyDescent="0.25">
      <c r="A58" s="273"/>
      <c r="B58" s="45"/>
      <c r="C58" s="21"/>
      <c r="D58" s="21"/>
      <c r="E58" s="23"/>
      <c r="F58" s="21"/>
      <c r="G58" s="21"/>
      <c r="H58" s="23"/>
      <c r="I58" s="24"/>
      <c r="J58" s="24"/>
      <c r="K58" s="21"/>
      <c r="L58" s="21"/>
      <c r="M58" s="25"/>
      <c r="N58" s="10"/>
      <c r="R58" s="2"/>
    </row>
    <row r="59" spans="1:18" ht="15.75" x14ac:dyDescent="0.25">
      <c r="A59" s="274" t="s">
        <v>61</v>
      </c>
      <c r="B59" s="20">
        <f>DATE(2023,7,1)</f>
        <v>45108</v>
      </c>
      <c r="C59" s="21">
        <v>94450</v>
      </c>
      <c r="D59" s="21">
        <v>95268</v>
      </c>
      <c r="E59" s="23">
        <f t="shared" ref="E59:E65" si="25">(+C59-D59)/D59</f>
        <v>-8.5863039005752186E-3</v>
      </c>
      <c r="F59" s="21">
        <f>+C59-47449</f>
        <v>47001</v>
      </c>
      <c r="G59" s="21">
        <f>+D59-47922</f>
        <v>47346</v>
      </c>
      <c r="H59" s="23">
        <f t="shared" ref="H59:H64" si="26">(+F59-G59)/G59</f>
        <v>-7.2867824103408944E-3</v>
      </c>
      <c r="I59" s="24">
        <f t="shared" ref="I59:I64" si="27">K59/C59</f>
        <v>66.529558814187396</v>
      </c>
      <c r="J59" s="24">
        <f t="shared" ref="J59:J64" si="28">K59/F59</f>
        <v>133.69325822854833</v>
      </c>
      <c r="K59" s="21">
        <v>6283716.8300000001</v>
      </c>
      <c r="L59" s="21">
        <v>6260150.0999999996</v>
      </c>
      <c r="M59" s="25">
        <f t="shared" ref="M59:M65" si="29">(+K59-L59)/L59</f>
        <v>3.7645630893100228E-3</v>
      </c>
      <c r="N59" s="10"/>
      <c r="R59" s="2"/>
    </row>
    <row r="60" spans="1:18" ht="15.75" x14ac:dyDescent="0.25">
      <c r="A60" s="274"/>
      <c r="B60" s="20">
        <f>DATE(2023,8,1)</f>
        <v>45139</v>
      </c>
      <c r="C60" s="21">
        <v>85640</v>
      </c>
      <c r="D60" s="21">
        <v>85207</v>
      </c>
      <c r="E60" s="23">
        <f t="shared" si="25"/>
        <v>5.0817421103899916E-3</v>
      </c>
      <c r="F60" s="21">
        <f>+C60-42807</f>
        <v>42833</v>
      </c>
      <c r="G60" s="21">
        <f>+D60-42477</f>
        <v>42730</v>
      </c>
      <c r="H60" s="23">
        <f t="shared" si="26"/>
        <v>2.4104844371635853E-3</v>
      </c>
      <c r="I60" s="24">
        <f t="shared" si="27"/>
        <v>70.000778608127035</v>
      </c>
      <c r="J60" s="24">
        <f t="shared" si="28"/>
        <v>139.95906614059254</v>
      </c>
      <c r="K60" s="21">
        <v>5994866.6799999997</v>
      </c>
      <c r="L60" s="21">
        <v>5465144.5899999999</v>
      </c>
      <c r="M60" s="25">
        <f t="shared" si="29"/>
        <v>9.6927369674587122E-2</v>
      </c>
      <c r="N60" s="10"/>
      <c r="R60" s="2"/>
    </row>
    <row r="61" spans="1:18" ht="15.75" x14ac:dyDescent="0.25">
      <c r="A61" s="274"/>
      <c r="B61" s="20">
        <f>DATE(2023,9,1)</f>
        <v>45170</v>
      </c>
      <c r="C61" s="21">
        <v>85140</v>
      </c>
      <c r="D61" s="21">
        <v>84321</v>
      </c>
      <c r="E61" s="23">
        <f t="shared" si="25"/>
        <v>9.7128829117301748E-3</v>
      </c>
      <c r="F61" s="21">
        <f>+C61-42349</f>
        <v>42791</v>
      </c>
      <c r="G61" s="21">
        <f>+D61-41917</f>
        <v>42404</v>
      </c>
      <c r="H61" s="23">
        <f t="shared" si="26"/>
        <v>9.1264975002358275E-3</v>
      </c>
      <c r="I61" s="24">
        <f t="shared" si="27"/>
        <v>61.348339558374441</v>
      </c>
      <c r="J61" s="24">
        <f t="shared" si="28"/>
        <v>122.06299525601177</v>
      </c>
      <c r="K61" s="21">
        <v>5223197.63</v>
      </c>
      <c r="L61" s="21">
        <v>5380839.7999999998</v>
      </c>
      <c r="M61" s="25">
        <f t="shared" si="29"/>
        <v>-2.9296945432198136E-2</v>
      </c>
      <c r="N61" s="10"/>
      <c r="R61" s="2"/>
    </row>
    <row r="62" spans="1:18" ht="15.75" x14ac:dyDescent="0.25">
      <c r="A62" s="274"/>
      <c r="B62" s="20">
        <f>DATE(2023,10,1)</f>
        <v>45200</v>
      </c>
      <c r="C62" s="21">
        <v>78312</v>
      </c>
      <c r="D62" s="21">
        <v>85227</v>
      </c>
      <c r="E62" s="23">
        <f t="shared" si="25"/>
        <v>-8.1136259636030841E-2</v>
      </c>
      <c r="F62" s="21">
        <f>+C62-38948</f>
        <v>39364</v>
      </c>
      <c r="G62" s="21">
        <f>+D62-43095</f>
        <v>42132</v>
      </c>
      <c r="H62" s="23">
        <f t="shared" si="26"/>
        <v>-6.5698281591189595E-2</v>
      </c>
      <c r="I62" s="24">
        <f t="shared" si="27"/>
        <v>66.954319772193287</v>
      </c>
      <c r="J62" s="24">
        <f t="shared" si="28"/>
        <v>133.20106417030792</v>
      </c>
      <c r="K62" s="21">
        <v>5243326.6900000004</v>
      </c>
      <c r="L62" s="21">
        <v>5518454.2199999997</v>
      </c>
      <c r="M62" s="25">
        <f t="shared" si="29"/>
        <v>-4.9855905119749154E-2</v>
      </c>
      <c r="N62" s="10"/>
      <c r="R62" s="2"/>
    </row>
    <row r="63" spans="1:18" ht="15.75" x14ac:dyDescent="0.25">
      <c r="A63" s="274"/>
      <c r="B63" s="20">
        <f>DATE(2023,11,1)</f>
        <v>45231</v>
      </c>
      <c r="C63" s="21">
        <v>76656</v>
      </c>
      <c r="D63" s="21">
        <v>76718</v>
      </c>
      <c r="E63" s="23">
        <f t="shared" si="25"/>
        <v>-8.0815454000364971E-4</v>
      </c>
      <c r="F63" s="21">
        <f>+C63-38503</f>
        <v>38153</v>
      </c>
      <c r="G63" s="21">
        <f>+D63-38746</f>
        <v>37972</v>
      </c>
      <c r="H63" s="23">
        <f t="shared" si="26"/>
        <v>4.7666701780259141E-3</v>
      </c>
      <c r="I63" s="24">
        <f t="shared" si="27"/>
        <v>68.035706011271131</v>
      </c>
      <c r="J63" s="24">
        <f t="shared" si="28"/>
        <v>136.69554373181663</v>
      </c>
      <c r="K63" s="21">
        <v>5215345.08</v>
      </c>
      <c r="L63" s="21">
        <v>5081236.03</v>
      </c>
      <c r="M63" s="25">
        <f t="shared" si="29"/>
        <v>2.6392997532137825E-2</v>
      </c>
      <c r="N63" s="10"/>
      <c r="R63" s="2"/>
    </row>
    <row r="64" spans="1:18" ht="15.75" x14ac:dyDescent="0.25">
      <c r="A64" s="274"/>
      <c r="B64" s="20">
        <f>DATE(2023,12,1)</f>
        <v>45261</v>
      </c>
      <c r="C64" s="21">
        <v>96790</v>
      </c>
      <c r="D64" s="21">
        <v>89653</v>
      </c>
      <c r="E64" s="23">
        <f t="shared" si="25"/>
        <v>7.9606928937124247E-2</v>
      </c>
      <c r="F64" s="21">
        <f>+C64-48686</f>
        <v>48104</v>
      </c>
      <c r="G64" s="21">
        <f>+D64-45455</f>
        <v>44198</v>
      </c>
      <c r="H64" s="23">
        <f t="shared" si="26"/>
        <v>8.8375039594551785E-2</v>
      </c>
      <c r="I64" s="24">
        <f t="shared" si="27"/>
        <v>61.921447670213865</v>
      </c>
      <c r="J64" s="24">
        <f t="shared" si="28"/>
        <v>124.59206968235489</v>
      </c>
      <c r="K64" s="21">
        <v>5993376.9199999999</v>
      </c>
      <c r="L64" s="21">
        <v>5500508.3099999996</v>
      </c>
      <c r="M64" s="25">
        <f t="shared" si="29"/>
        <v>8.9604193325907439E-2</v>
      </c>
      <c r="N64" s="10"/>
      <c r="R64" s="2"/>
    </row>
    <row r="65" spans="1:18" ht="15.75" x14ac:dyDescent="0.25">
      <c r="A65" s="274"/>
      <c r="B65" s="20">
        <f>DATE(2024,1,1)</f>
        <v>45292</v>
      </c>
      <c r="C65" s="21">
        <v>74334</v>
      </c>
      <c r="D65" s="21">
        <v>84414</v>
      </c>
      <c r="E65" s="23">
        <f t="shared" si="25"/>
        <v>-0.1194114720307058</v>
      </c>
      <c r="F65" s="21">
        <f>C65-36987</f>
        <v>37347</v>
      </c>
      <c r="G65" s="21">
        <f>D65-42996</f>
        <v>41418</v>
      </c>
      <c r="H65" s="23">
        <f>(+F65-G65)/G65</f>
        <v>-9.8290598290598288E-2</v>
      </c>
      <c r="I65" s="24">
        <f>K65/C65</f>
        <v>64.335160895417971</v>
      </c>
      <c r="J65" s="24">
        <f>K65/F65</f>
        <v>128.05017404343053</v>
      </c>
      <c r="K65" s="21">
        <v>4782289.8499999996</v>
      </c>
      <c r="L65" s="21">
        <v>5295672.4000000004</v>
      </c>
      <c r="M65" s="25">
        <f t="shared" si="29"/>
        <v>-9.6943789423228052E-2</v>
      </c>
      <c r="N65" s="10"/>
      <c r="R65" s="2"/>
    </row>
    <row r="66" spans="1:18" ht="15.75" customHeight="1" thickBot="1" x14ac:dyDescent="0.3">
      <c r="A66" s="19"/>
      <c r="B66" s="20"/>
      <c r="C66" s="21"/>
      <c r="D66" s="21"/>
      <c r="E66" s="23"/>
      <c r="F66" s="21"/>
      <c r="G66" s="21"/>
      <c r="H66" s="23"/>
      <c r="I66" s="24"/>
      <c r="J66" s="24"/>
      <c r="K66" s="21"/>
      <c r="L66" s="21"/>
      <c r="M66" s="25"/>
      <c r="N66" s="10"/>
      <c r="R66" s="2"/>
    </row>
    <row r="67" spans="1:18" ht="17.45" customHeight="1" thickTop="1" thickBot="1" x14ac:dyDescent="0.3">
      <c r="A67" s="39" t="s">
        <v>14</v>
      </c>
      <c r="B67" s="52"/>
      <c r="C67" s="47">
        <f>SUM(C59:C66)</f>
        <v>591322</v>
      </c>
      <c r="D67" s="48">
        <f>SUM(D59:D66)</f>
        <v>600808</v>
      </c>
      <c r="E67" s="281">
        <f>(+C67-D67)/D67</f>
        <v>-1.578873783305149E-2</v>
      </c>
      <c r="F67" s="48">
        <f>SUM(F59:F66)</f>
        <v>295593</v>
      </c>
      <c r="G67" s="47">
        <f>SUM(G59:G66)</f>
        <v>298200</v>
      </c>
      <c r="H67" s="46">
        <f>(+F67-G67)/G67</f>
        <v>-8.742454728370222E-3</v>
      </c>
      <c r="I67" s="51">
        <f>K67/C67</f>
        <v>65.507658568428042</v>
      </c>
      <c r="J67" s="50">
        <f>K67/F67</f>
        <v>131.0454566921409</v>
      </c>
      <c r="K67" s="47">
        <f>SUM(K59:K66)</f>
        <v>38736119.680000007</v>
      </c>
      <c r="L67" s="48">
        <f>SUM(L59:L66)</f>
        <v>38502005.449999996</v>
      </c>
      <c r="M67" s="44">
        <f>(+K67-L67)/L67</f>
        <v>6.0805723562644097E-3</v>
      </c>
      <c r="N67" s="10"/>
      <c r="R67" s="2"/>
    </row>
    <row r="68" spans="1:18" ht="15.75" customHeight="1" thickTop="1" x14ac:dyDescent="0.25">
      <c r="A68" s="19"/>
      <c r="B68" s="45"/>
      <c r="C68" s="21"/>
      <c r="D68" s="21"/>
      <c r="E68" s="23"/>
      <c r="F68" s="21"/>
      <c r="G68" s="21"/>
      <c r="H68" s="23"/>
      <c r="I68" s="24"/>
      <c r="J68" s="24"/>
      <c r="K68" s="21"/>
      <c r="L68" s="21"/>
      <c r="M68" s="25"/>
      <c r="N68" s="10"/>
      <c r="R68" s="2"/>
    </row>
    <row r="69" spans="1:18" ht="15.75" x14ac:dyDescent="0.25">
      <c r="A69" s="19" t="s">
        <v>67</v>
      </c>
      <c r="B69" s="20">
        <f>DATE(2023,7,1)</f>
        <v>45108</v>
      </c>
      <c r="C69" s="21">
        <v>219120</v>
      </c>
      <c r="D69" s="21">
        <v>220596</v>
      </c>
      <c r="E69" s="23">
        <f t="shared" ref="E69:E75" si="30">(+C69-D69)/D69</f>
        <v>-6.6909644780503725E-3</v>
      </c>
      <c r="F69" s="21">
        <f>+C69-104679</f>
        <v>114441</v>
      </c>
      <c r="G69" s="21">
        <f>+D69-105104</f>
        <v>115492</v>
      </c>
      <c r="H69" s="23">
        <f t="shared" ref="H69:H74" si="31">(+F69-G69)/G69</f>
        <v>-9.1001974162712562E-3</v>
      </c>
      <c r="I69" s="24">
        <f t="shared" ref="I69:I74" si="32">K69/C69</f>
        <v>49.308570098576126</v>
      </c>
      <c r="J69" s="24">
        <f t="shared" ref="J69:J74" si="33">K69/F69</f>
        <v>94.411040448790217</v>
      </c>
      <c r="K69" s="21">
        <v>10804493.880000001</v>
      </c>
      <c r="L69" s="21">
        <v>10606782.82</v>
      </c>
      <c r="M69" s="25">
        <f t="shared" ref="M69:M75" si="34">(+K69-L69)/L69</f>
        <v>1.8640059229571414E-2</v>
      </c>
      <c r="N69" s="10"/>
      <c r="R69" s="2"/>
    </row>
    <row r="70" spans="1:18" ht="15.75" x14ac:dyDescent="0.25">
      <c r="A70" s="19"/>
      <c r="B70" s="20">
        <f>DATE(2023,8,1)</f>
        <v>45139</v>
      </c>
      <c r="C70" s="21">
        <v>218088</v>
      </c>
      <c r="D70" s="21">
        <v>204208</v>
      </c>
      <c r="E70" s="23">
        <f t="shared" si="30"/>
        <v>6.7969913029851919E-2</v>
      </c>
      <c r="F70" s="21">
        <f>+C70-101100</f>
        <v>116988</v>
      </c>
      <c r="G70" s="21">
        <f>+D70-95602</f>
        <v>108606</v>
      </c>
      <c r="H70" s="23">
        <f t="shared" si="31"/>
        <v>7.7178056460969008E-2</v>
      </c>
      <c r="I70" s="24">
        <f t="shared" si="32"/>
        <v>49.852029364293315</v>
      </c>
      <c r="J70" s="24">
        <f t="shared" si="33"/>
        <v>92.93371439805793</v>
      </c>
      <c r="K70" s="21">
        <v>10872129.380000001</v>
      </c>
      <c r="L70" s="21">
        <v>10300469.970000001</v>
      </c>
      <c r="M70" s="25">
        <f t="shared" si="34"/>
        <v>5.5498381303469797E-2</v>
      </c>
      <c r="N70" s="10"/>
      <c r="R70" s="2"/>
    </row>
    <row r="71" spans="1:18" ht="15.75" x14ac:dyDescent="0.25">
      <c r="A71" s="19"/>
      <c r="B71" s="20">
        <f>DATE(2023,9,1)</f>
        <v>45170</v>
      </c>
      <c r="C71" s="21">
        <v>241793</v>
      </c>
      <c r="D71" s="21">
        <v>202639</v>
      </c>
      <c r="E71" s="23">
        <f t="shared" si="30"/>
        <v>0.19322045608199803</v>
      </c>
      <c r="F71" s="21">
        <f>+C71-107184</f>
        <v>134609</v>
      </c>
      <c r="G71" s="21">
        <f>+D71-96056</f>
        <v>106583</v>
      </c>
      <c r="H71" s="23">
        <f t="shared" si="31"/>
        <v>0.26295000140735392</v>
      </c>
      <c r="I71" s="24">
        <f t="shared" si="32"/>
        <v>48.595700785382533</v>
      </c>
      <c r="J71" s="24">
        <f t="shared" si="33"/>
        <v>87.290599291280671</v>
      </c>
      <c r="K71" s="21">
        <v>11750100.279999999</v>
      </c>
      <c r="L71" s="21">
        <v>9829370.3000000007</v>
      </c>
      <c r="M71" s="25">
        <f t="shared" si="34"/>
        <v>0.19540722562868534</v>
      </c>
      <c r="N71" s="10"/>
      <c r="R71" s="2"/>
    </row>
    <row r="72" spans="1:18" ht="15.75" x14ac:dyDescent="0.25">
      <c r="A72" s="19"/>
      <c r="B72" s="20">
        <f>DATE(2023,10,1)</f>
        <v>45200</v>
      </c>
      <c r="C72" s="21">
        <v>245062</v>
      </c>
      <c r="D72" s="21">
        <v>197805</v>
      </c>
      <c r="E72" s="23">
        <f t="shared" si="30"/>
        <v>0.23890700437299361</v>
      </c>
      <c r="F72" s="21">
        <f>+C72-106359</f>
        <v>138703</v>
      </c>
      <c r="G72" s="21">
        <f>+D72-92993</f>
        <v>104812</v>
      </c>
      <c r="H72" s="23">
        <f t="shared" si="31"/>
        <v>0.32335037972751213</v>
      </c>
      <c r="I72" s="24">
        <f t="shared" si="32"/>
        <v>48.159280590217982</v>
      </c>
      <c r="J72" s="24">
        <f t="shared" si="33"/>
        <v>85.088351513665884</v>
      </c>
      <c r="K72" s="21">
        <v>11802009.619999999</v>
      </c>
      <c r="L72" s="21">
        <v>10418532.619999999</v>
      </c>
      <c r="M72" s="25">
        <f t="shared" si="34"/>
        <v>0.13279000512454125</v>
      </c>
      <c r="N72" s="10"/>
      <c r="R72" s="2"/>
    </row>
    <row r="73" spans="1:18" ht="15.75" x14ac:dyDescent="0.25">
      <c r="A73" s="19"/>
      <c r="B73" s="20">
        <f>DATE(2023,11,1)</f>
        <v>45231</v>
      </c>
      <c r="C73" s="21">
        <v>235399</v>
      </c>
      <c r="D73" s="21">
        <v>202426</v>
      </c>
      <c r="E73" s="23">
        <f t="shared" si="30"/>
        <v>0.16288915455524489</v>
      </c>
      <c r="F73" s="21">
        <f>+C73-106054</f>
        <v>129345</v>
      </c>
      <c r="G73" s="21">
        <f>+D73-94010</f>
        <v>108416</v>
      </c>
      <c r="H73" s="23">
        <f t="shared" si="31"/>
        <v>0.19304346221959859</v>
      </c>
      <c r="I73" s="24">
        <f t="shared" si="32"/>
        <v>49.233655580524974</v>
      </c>
      <c r="J73" s="24">
        <f t="shared" si="33"/>
        <v>89.60186547605241</v>
      </c>
      <c r="K73" s="21">
        <v>11589553.289999999</v>
      </c>
      <c r="L73" s="21">
        <v>10533865.85</v>
      </c>
      <c r="M73" s="25">
        <f t="shared" si="34"/>
        <v>0.10021842455872926</v>
      </c>
      <c r="N73" s="10"/>
      <c r="R73" s="2"/>
    </row>
    <row r="74" spans="1:18" ht="15.75" x14ac:dyDescent="0.25">
      <c r="A74" s="19"/>
      <c r="B74" s="20">
        <f>DATE(2023,12,1)</f>
        <v>45261</v>
      </c>
      <c r="C74" s="21">
        <v>239412</v>
      </c>
      <c r="D74" s="21">
        <v>223222</v>
      </c>
      <c r="E74" s="23">
        <f t="shared" si="30"/>
        <v>7.2528693408355813E-2</v>
      </c>
      <c r="F74" s="21">
        <f>+C74-109257</f>
        <v>130155</v>
      </c>
      <c r="G74" s="21">
        <f>+D74-104080</f>
        <v>119142</v>
      </c>
      <c r="H74" s="23">
        <f t="shared" si="31"/>
        <v>9.2435916805156865E-2</v>
      </c>
      <c r="I74" s="24">
        <f t="shared" si="32"/>
        <v>49.700069879538205</v>
      </c>
      <c r="J74" s="24">
        <f t="shared" si="33"/>
        <v>91.420176942875813</v>
      </c>
      <c r="K74" s="21">
        <v>11898793.130000001</v>
      </c>
      <c r="L74" s="21">
        <v>10662461.43</v>
      </c>
      <c r="M74" s="25">
        <f t="shared" si="34"/>
        <v>0.11595180982521042</v>
      </c>
      <c r="N74" s="10"/>
      <c r="R74" s="2"/>
    </row>
    <row r="75" spans="1:18" ht="15.75" x14ac:dyDescent="0.25">
      <c r="A75" s="19"/>
      <c r="B75" s="20">
        <f>DATE(2024,1,1)</f>
        <v>45292</v>
      </c>
      <c r="C75" s="21">
        <v>186353</v>
      </c>
      <c r="D75" s="21">
        <v>215124</v>
      </c>
      <c r="E75" s="23">
        <f t="shared" si="30"/>
        <v>-0.13374147003588627</v>
      </c>
      <c r="F75" s="21">
        <f>C75-85781</f>
        <v>100572</v>
      </c>
      <c r="G75" s="21">
        <f>D75-101475</f>
        <v>113649</v>
      </c>
      <c r="H75" s="23">
        <f>(+F75-G75)/G75</f>
        <v>-0.11506480479370694</v>
      </c>
      <c r="I75" s="24">
        <f>K75/C75</f>
        <v>50.669137067822888</v>
      </c>
      <c r="J75" s="24">
        <f>K75/F75</f>
        <v>93.886426639621362</v>
      </c>
      <c r="K75" s="21">
        <v>9442345.6999999993</v>
      </c>
      <c r="L75" s="21">
        <v>10889174.949999999</v>
      </c>
      <c r="M75" s="25">
        <f t="shared" si="34"/>
        <v>-0.13286858339988375</v>
      </c>
      <c r="N75" s="10"/>
      <c r="R75" s="2"/>
    </row>
    <row r="76" spans="1:18" ht="15.75" customHeight="1" thickBot="1" x14ac:dyDescent="0.3">
      <c r="A76" s="19"/>
      <c r="B76" s="45"/>
      <c r="C76" s="21"/>
      <c r="D76" s="21"/>
      <c r="E76" s="23"/>
      <c r="F76" s="21"/>
      <c r="G76" s="21"/>
      <c r="H76" s="23"/>
      <c r="I76" s="24"/>
      <c r="J76" s="24"/>
      <c r="K76" s="21"/>
      <c r="L76" s="21"/>
      <c r="M76" s="25"/>
      <c r="N76" s="10"/>
      <c r="R76" s="2"/>
    </row>
    <row r="77" spans="1:18" ht="17.45" customHeight="1" thickTop="1" thickBot="1" x14ac:dyDescent="0.3">
      <c r="A77" s="39" t="s">
        <v>14</v>
      </c>
      <c r="B77" s="52"/>
      <c r="C77" s="47">
        <f>SUM(C69:C76)</f>
        <v>1585227</v>
      </c>
      <c r="D77" s="48">
        <f>SUM(D69:D76)</f>
        <v>1466020</v>
      </c>
      <c r="E77" s="281">
        <f>(+C77-D77)/D77</f>
        <v>8.1313351796019159E-2</v>
      </c>
      <c r="F77" s="48">
        <f>SUM(F69:F76)</f>
        <v>864813</v>
      </c>
      <c r="G77" s="47">
        <f>SUM(G69:G76)</f>
        <v>776700</v>
      </c>
      <c r="H77" s="53">
        <f>(+F77-G77)/G77</f>
        <v>0.11344534569331788</v>
      </c>
      <c r="I77" s="51">
        <f>K77/C77</f>
        <v>49.304878910086693</v>
      </c>
      <c r="J77" s="50">
        <f>K77/F77</f>
        <v>90.377255291028234</v>
      </c>
      <c r="K77" s="47">
        <f>SUM(K69:K76)</f>
        <v>78159425.280000001</v>
      </c>
      <c r="L77" s="48">
        <f>SUM(L69:L76)</f>
        <v>73240657.939999998</v>
      </c>
      <c r="M77" s="44">
        <f>(+K77-L77)/L77</f>
        <v>6.7158972602752179E-2</v>
      </c>
      <c r="N77" s="10"/>
      <c r="R77" s="2"/>
    </row>
    <row r="78" spans="1:18" ht="15.75" customHeight="1" thickTop="1" x14ac:dyDescent="0.25">
      <c r="A78" s="19"/>
      <c r="B78" s="45"/>
      <c r="C78" s="21"/>
      <c r="D78" s="21"/>
      <c r="E78" s="23"/>
      <c r="F78" s="21"/>
      <c r="G78" s="21"/>
      <c r="H78" s="23"/>
      <c r="I78" s="24"/>
      <c r="J78" s="24"/>
      <c r="K78" s="21"/>
      <c r="L78" s="21"/>
      <c r="M78" s="25"/>
      <c r="N78" s="10"/>
      <c r="R78" s="2"/>
    </row>
    <row r="79" spans="1:18" ht="15.75" customHeight="1" x14ac:dyDescent="0.25">
      <c r="A79" s="19" t="s">
        <v>69</v>
      </c>
      <c r="B79" s="20">
        <f>DATE(2023,7,1)</f>
        <v>45108</v>
      </c>
      <c r="C79" s="21">
        <v>227955</v>
      </c>
      <c r="D79" s="21">
        <v>226404</v>
      </c>
      <c r="E79" s="23">
        <f t="shared" ref="E79:E85" si="35">(+C79-D79)/D79</f>
        <v>6.8505856786982566E-3</v>
      </c>
      <c r="F79" s="21">
        <f>+C79-105186</f>
        <v>122769</v>
      </c>
      <c r="G79" s="21">
        <f>+D79-105902</f>
        <v>120502</v>
      </c>
      <c r="H79" s="23">
        <f t="shared" ref="H79:H84" si="36">(+F79-G79)/G79</f>
        <v>1.8812965759904401E-2</v>
      </c>
      <c r="I79" s="24">
        <f t="shared" ref="I79:I84" si="37">K79/C79</f>
        <v>61.567241209887918</v>
      </c>
      <c r="J79" s="24">
        <f t="shared" ref="J79:J84" si="38">K79/F79</f>
        <v>114.31681018823971</v>
      </c>
      <c r="K79" s="21">
        <v>14034560.470000001</v>
      </c>
      <c r="L79" s="21">
        <v>13168404.74</v>
      </c>
      <c r="M79" s="25">
        <f t="shared" ref="M79:M85" si="39">(+K79-L79)/L79</f>
        <v>6.5775296788151458E-2</v>
      </c>
      <c r="N79" s="10"/>
      <c r="R79" s="2"/>
    </row>
    <row r="80" spans="1:18" ht="15.75" customHeight="1" x14ac:dyDescent="0.25">
      <c r="A80" s="19"/>
      <c r="B80" s="20">
        <f>DATE(2023,8,1)</f>
        <v>45139</v>
      </c>
      <c r="C80" s="21">
        <v>213943</v>
      </c>
      <c r="D80" s="21">
        <v>232585</v>
      </c>
      <c r="E80" s="23">
        <f t="shared" si="35"/>
        <v>-8.0151342519938953E-2</v>
      </c>
      <c r="F80" s="21">
        <f>+C80-98836</f>
        <v>115107</v>
      </c>
      <c r="G80" s="21">
        <f>+D80-107552</f>
        <v>125033</v>
      </c>
      <c r="H80" s="23">
        <f t="shared" si="36"/>
        <v>-7.9387041820959264E-2</v>
      </c>
      <c r="I80" s="24">
        <f t="shared" si="37"/>
        <v>61.074573881828343</v>
      </c>
      <c r="J80" s="24">
        <f t="shared" si="38"/>
        <v>113.51592483515338</v>
      </c>
      <c r="K80" s="21">
        <v>13066477.560000001</v>
      </c>
      <c r="L80" s="21">
        <v>13927721.449999999</v>
      </c>
      <c r="M80" s="25">
        <f t="shared" si="39"/>
        <v>-6.1836668193848664E-2</v>
      </c>
      <c r="N80" s="10"/>
      <c r="R80" s="2"/>
    </row>
    <row r="81" spans="1:18" ht="15.75" customHeight="1" x14ac:dyDescent="0.25">
      <c r="A81" s="19"/>
      <c r="B81" s="20">
        <f>DATE(2023,9,1)</f>
        <v>45170</v>
      </c>
      <c r="C81" s="21">
        <v>210806</v>
      </c>
      <c r="D81" s="21">
        <v>229799</v>
      </c>
      <c r="E81" s="23">
        <f t="shared" si="35"/>
        <v>-8.2650490211010494E-2</v>
      </c>
      <c r="F81" s="21">
        <f>+C81-94978</f>
        <v>115828</v>
      </c>
      <c r="G81" s="21">
        <f>+D81-107359</f>
        <v>122440</v>
      </c>
      <c r="H81" s="23">
        <f t="shared" si="36"/>
        <v>-5.4001960143743873E-2</v>
      </c>
      <c r="I81" s="24">
        <f t="shared" si="37"/>
        <v>64.684465907042494</v>
      </c>
      <c r="J81" s="24">
        <f t="shared" si="38"/>
        <v>117.72519183617086</v>
      </c>
      <c r="K81" s="21">
        <v>13635873.52</v>
      </c>
      <c r="L81" s="21">
        <v>13521948.51</v>
      </c>
      <c r="M81" s="25">
        <f t="shared" si="39"/>
        <v>8.4251918217073413E-3</v>
      </c>
      <c r="N81" s="10"/>
      <c r="R81" s="2"/>
    </row>
    <row r="82" spans="1:18" ht="15.75" customHeight="1" x14ac:dyDescent="0.25">
      <c r="A82" s="19"/>
      <c r="B82" s="20">
        <f>DATE(2023,10,1)</f>
        <v>45200</v>
      </c>
      <c r="C82" s="21">
        <v>192200</v>
      </c>
      <c r="D82" s="21">
        <v>212700</v>
      </c>
      <c r="E82" s="23">
        <f t="shared" si="35"/>
        <v>-9.6379877762106256E-2</v>
      </c>
      <c r="F82" s="21">
        <f>+C82-87717</f>
        <v>104483</v>
      </c>
      <c r="G82" s="21">
        <f>+D82-99072</f>
        <v>113628</v>
      </c>
      <c r="H82" s="23">
        <f t="shared" si="36"/>
        <v>-8.0481923469567354E-2</v>
      </c>
      <c r="I82" s="24">
        <f t="shared" si="37"/>
        <v>60.226780332986472</v>
      </c>
      <c r="J82" s="24">
        <f t="shared" si="38"/>
        <v>110.78919230879664</v>
      </c>
      <c r="K82" s="21">
        <v>11575587.18</v>
      </c>
      <c r="L82" s="21">
        <v>12950831.189999999</v>
      </c>
      <c r="M82" s="25">
        <f t="shared" si="39"/>
        <v>-0.10618963291420988</v>
      </c>
      <c r="N82" s="10"/>
      <c r="R82" s="2"/>
    </row>
    <row r="83" spans="1:18" ht="15.75" customHeight="1" x14ac:dyDescent="0.25">
      <c r="A83" s="19"/>
      <c r="B83" s="20">
        <f>DATE(2023,11,1)</f>
        <v>45231</v>
      </c>
      <c r="C83" s="21">
        <v>197061</v>
      </c>
      <c r="D83" s="21">
        <v>191508</v>
      </c>
      <c r="E83" s="23">
        <f t="shared" si="35"/>
        <v>2.899617770537001E-2</v>
      </c>
      <c r="F83" s="21">
        <f>+C83-91318</f>
        <v>105743</v>
      </c>
      <c r="G83" s="21">
        <f>+D83-91306</f>
        <v>100202</v>
      </c>
      <c r="H83" s="23">
        <f t="shared" si="36"/>
        <v>5.5298297439172868E-2</v>
      </c>
      <c r="I83" s="24">
        <f t="shared" si="37"/>
        <v>61.029115654543517</v>
      </c>
      <c r="J83" s="24">
        <f t="shared" si="38"/>
        <v>113.73290487313581</v>
      </c>
      <c r="K83" s="21">
        <v>12026458.560000001</v>
      </c>
      <c r="L83" s="21">
        <v>11870439.130000001</v>
      </c>
      <c r="M83" s="25">
        <f t="shared" si="39"/>
        <v>1.3143526392860556E-2</v>
      </c>
      <c r="N83" s="10"/>
      <c r="R83" s="2"/>
    </row>
    <row r="84" spans="1:18" ht="15.75" customHeight="1" x14ac:dyDescent="0.25">
      <c r="A84" s="19"/>
      <c r="B84" s="20">
        <f>DATE(2023,12,1)</f>
        <v>45261</v>
      </c>
      <c r="C84" s="21">
        <v>222895</v>
      </c>
      <c r="D84" s="21">
        <v>214147</v>
      </c>
      <c r="E84" s="23">
        <f t="shared" si="35"/>
        <v>4.0850443853988151E-2</v>
      </c>
      <c r="F84" s="21">
        <f>+C84-106183</f>
        <v>116712</v>
      </c>
      <c r="G84" s="21">
        <f>+D84-102215</f>
        <v>111932</v>
      </c>
      <c r="H84" s="23">
        <f t="shared" si="36"/>
        <v>4.2704499160204412E-2</v>
      </c>
      <c r="I84" s="24">
        <f t="shared" si="37"/>
        <v>62.715877296484898</v>
      </c>
      <c r="J84" s="24">
        <f t="shared" si="38"/>
        <v>119.7739347282199</v>
      </c>
      <c r="K84" s="21">
        <v>13979055.470000001</v>
      </c>
      <c r="L84" s="21">
        <v>13055866.52</v>
      </c>
      <c r="M84" s="25">
        <f t="shared" si="39"/>
        <v>7.0710660880745679E-2</v>
      </c>
      <c r="N84" s="10"/>
      <c r="R84" s="2"/>
    </row>
    <row r="85" spans="1:18" ht="15.75" customHeight="1" x14ac:dyDescent="0.25">
      <c r="A85" s="19"/>
      <c r="B85" s="20">
        <f>DATE(2024,1,1)</f>
        <v>45292</v>
      </c>
      <c r="C85" s="21">
        <v>172021</v>
      </c>
      <c r="D85" s="21">
        <v>203689</v>
      </c>
      <c r="E85" s="23">
        <f t="shared" si="35"/>
        <v>-0.1554723131833334</v>
      </c>
      <c r="F85" s="21">
        <f>C85-81877</f>
        <v>90144</v>
      </c>
      <c r="G85" s="21">
        <f>D85-97201</f>
        <v>106488</v>
      </c>
      <c r="H85" s="23">
        <f>(+F85-G85)/G85</f>
        <v>-0.15348208248816769</v>
      </c>
      <c r="I85" s="24">
        <f>K85/C85</f>
        <v>63.421267926590353</v>
      </c>
      <c r="J85" s="24">
        <f>K85/F85</f>
        <v>121.0262461173234</v>
      </c>
      <c r="K85" s="21">
        <v>10909789.93</v>
      </c>
      <c r="L85" s="21">
        <v>11950275.130000001</v>
      </c>
      <c r="M85" s="25">
        <f t="shared" si="39"/>
        <v>-8.7067886611912768E-2</v>
      </c>
      <c r="N85" s="10"/>
      <c r="R85" s="2"/>
    </row>
    <row r="86" spans="1:18" ht="15.75" customHeight="1" thickBot="1" x14ac:dyDescent="0.3">
      <c r="A86" s="19"/>
      <c r="B86" s="45"/>
      <c r="C86" s="21"/>
      <c r="D86" s="21"/>
      <c r="E86" s="23"/>
      <c r="F86" s="21"/>
      <c r="G86" s="21"/>
      <c r="H86" s="23"/>
      <c r="I86" s="24"/>
      <c r="J86" s="24"/>
      <c r="K86" s="21"/>
      <c r="L86" s="21"/>
      <c r="M86" s="25"/>
      <c r="N86" s="10"/>
      <c r="R86" s="2"/>
    </row>
    <row r="87" spans="1:18" ht="17.25" thickTop="1" thickBot="1" x14ac:dyDescent="0.3">
      <c r="A87" s="39" t="s">
        <v>14</v>
      </c>
      <c r="B87" s="40"/>
      <c r="C87" s="41">
        <f>SUM(C79:C86)</f>
        <v>1436881</v>
      </c>
      <c r="D87" s="41">
        <f>SUM(D79:D86)</f>
        <v>1510832</v>
      </c>
      <c r="E87" s="280">
        <f>(+C87-D87)/D87</f>
        <v>-4.8947202600950999E-2</v>
      </c>
      <c r="F87" s="41">
        <f>SUM(F79:F86)</f>
        <v>770786</v>
      </c>
      <c r="G87" s="41">
        <f>SUM(G79:G86)</f>
        <v>800225</v>
      </c>
      <c r="H87" s="42">
        <f>(+F87-G87)/G87</f>
        <v>-3.6788403261582676E-2</v>
      </c>
      <c r="I87" s="43">
        <f>K87/C87</f>
        <v>62.098254963354655</v>
      </c>
      <c r="J87" s="43">
        <f>K87/F87</f>
        <v>115.76209569193006</v>
      </c>
      <c r="K87" s="41">
        <f>SUM(K79:K86)</f>
        <v>89227802.689999998</v>
      </c>
      <c r="L87" s="41">
        <f>SUM(L79:L86)</f>
        <v>90445486.669999987</v>
      </c>
      <c r="M87" s="44">
        <f>(+K87-L87)/L87</f>
        <v>-1.3463181246874588E-2</v>
      </c>
      <c r="N87" s="10"/>
      <c r="R87" s="2"/>
    </row>
    <row r="88" spans="1:18" ht="15.75" customHeight="1" thickTop="1" x14ac:dyDescent="0.2">
      <c r="A88" s="54"/>
      <c r="B88" s="55"/>
      <c r="C88" s="55"/>
      <c r="D88" s="55"/>
      <c r="E88" s="56"/>
      <c r="F88" s="55"/>
      <c r="G88" s="55"/>
      <c r="H88" s="56"/>
      <c r="I88" s="55"/>
      <c r="J88" s="55"/>
      <c r="K88" s="196"/>
      <c r="L88" s="196"/>
      <c r="M88" s="57"/>
      <c r="N88" s="10"/>
      <c r="R88" s="2"/>
    </row>
    <row r="89" spans="1:18" ht="15.75" customHeight="1" x14ac:dyDescent="0.25">
      <c r="A89" s="19" t="s">
        <v>16</v>
      </c>
      <c r="B89" s="20">
        <f>DATE(2023,7,1)</f>
        <v>45108</v>
      </c>
      <c r="C89" s="21">
        <v>262088</v>
      </c>
      <c r="D89" s="21">
        <v>271337</v>
      </c>
      <c r="E89" s="23">
        <f t="shared" ref="E89:E95" si="40">(+C89-D89)/D89</f>
        <v>-3.4086762955291762E-2</v>
      </c>
      <c r="F89" s="21">
        <f>+C89-132418</f>
        <v>129670</v>
      </c>
      <c r="G89" s="21">
        <f>+D89-134570</f>
        <v>136767</v>
      </c>
      <c r="H89" s="23">
        <f t="shared" ref="H89:H94" si="41">(+F89-G89)/G89</f>
        <v>-5.1891172578180406E-2</v>
      </c>
      <c r="I89" s="24">
        <f t="shared" ref="I89:I94" si="42">K89/C89</f>
        <v>67.305416539482934</v>
      </c>
      <c r="J89" s="24">
        <f t="shared" ref="J89:J94" si="43">K89/F89</f>
        <v>136.03718678183083</v>
      </c>
      <c r="K89" s="21">
        <v>17639942.010000002</v>
      </c>
      <c r="L89" s="21">
        <v>18204043.98</v>
      </c>
      <c r="M89" s="25">
        <f t="shared" ref="M89:M95" si="44">(+K89-L89)/L89</f>
        <v>-3.0987728365178272E-2</v>
      </c>
      <c r="N89" s="10"/>
      <c r="R89" s="2"/>
    </row>
    <row r="90" spans="1:18" ht="15.75" customHeight="1" x14ac:dyDescent="0.25">
      <c r="A90" s="19"/>
      <c r="B90" s="20">
        <f>DATE(2023,8,1)</f>
        <v>45139</v>
      </c>
      <c r="C90" s="21">
        <v>239223</v>
      </c>
      <c r="D90" s="21">
        <v>244622</v>
      </c>
      <c r="E90" s="23">
        <f t="shared" si="40"/>
        <v>-2.2070786764886233E-2</v>
      </c>
      <c r="F90" s="21">
        <f>+C90-117748</f>
        <v>121475</v>
      </c>
      <c r="G90" s="21">
        <f>+D90-120033</f>
        <v>124589</v>
      </c>
      <c r="H90" s="23">
        <f t="shared" si="41"/>
        <v>-2.4994180866689676E-2</v>
      </c>
      <c r="I90" s="24">
        <f t="shared" si="42"/>
        <v>68.308296568473764</v>
      </c>
      <c r="J90" s="24">
        <f t="shared" si="43"/>
        <v>134.52081193661249</v>
      </c>
      <c r="K90" s="21">
        <v>16340915.630000001</v>
      </c>
      <c r="L90" s="21">
        <v>16440004.18</v>
      </c>
      <c r="M90" s="25">
        <f t="shared" si="44"/>
        <v>-6.0272825307760283E-3</v>
      </c>
      <c r="N90" s="10"/>
      <c r="R90" s="2"/>
    </row>
    <row r="91" spans="1:18" ht="15.75" customHeight="1" x14ac:dyDescent="0.25">
      <c r="A91" s="19"/>
      <c r="B91" s="20">
        <f>DATE(2023,9,1)</f>
        <v>45170</v>
      </c>
      <c r="C91" s="21">
        <v>248313</v>
      </c>
      <c r="D91" s="21">
        <v>238237</v>
      </c>
      <c r="E91" s="23">
        <f t="shared" si="40"/>
        <v>4.2294018141598493E-2</v>
      </c>
      <c r="F91" s="21">
        <f>+C91-122761</f>
        <v>125552</v>
      </c>
      <c r="G91" s="21">
        <f>+D91-117564</f>
        <v>120673</v>
      </c>
      <c r="H91" s="23">
        <f t="shared" si="41"/>
        <v>4.0431579557978999E-2</v>
      </c>
      <c r="I91" s="24">
        <f t="shared" si="42"/>
        <v>67.885279143661435</v>
      </c>
      <c r="J91" s="24">
        <f t="shared" si="43"/>
        <v>134.26147986491654</v>
      </c>
      <c r="K91" s="21">
        <v>16856797.32</v>
      </c>
      <c r="L91" s="21">
        <v>16961699.789999999</v>
      </c>
      <c r="M91" s="25">
        <f t="shared" si="44"/>
        <v>-6.1846672974276724E-3</v>
      </c>
      <c r="N91" s="10"/>
      <c r="R91" s="2"/>
    </row>
    <row r="92" spans="1:18" ht="15.75" customHeight="1" x14ac:dyDescent="0.25">
      <c r="A92" s="19"/>
      <c r="B92" s="20">
        <f>DATE(2023,10,1)</f>
        <v>45200</v>
      </c>
      <c r="C92" s="21">
        <v>227962</v>
      </c>
      <c r="D92" s="21">
        <v>243168</v>
      </c>
      <c r="E92" s="23">
        <f t="shared" si="40"/>
        <v>-6.2532899065666531E-2</v>
      </c>
      <c r="F92" s="21">
        <f>+C92-111422</f>
        <v>116540</v>
      </c>
      <c r="G92" s="21">
        <f>+D92-122237</f>
        <v>120931</v>
      </c>
      <c r="H92" s="23">
        <f t="shared" si="41"/>
        <v>-3.6309961879088075E-2</v>
      </c>
      <c r="I92" s="24">
        <f t="shared" si="42"/>
        <v>69.891412647721992</v>
      </c>
      <c r="J92" s="24">
        <f t="shared" si="43"/>
        <v>136.71345640981639</v>
      </c>
      <c r="K92" s="21">
        <v>15932586.210000001</v>
      </c>
      <c r="L92" s="21">
        <v>16273788.960000001</v>
      </c>
      <c r="M92" s="25">
        <f t="shared" si="44"/>
        <v>-2.0966398841637673E-2</v>
      </c>
      <c r="N92" s="10"/>
      <c r="R92" s="2"/>
    </row>
    <row r="93" spans="1:18" ht="15.75" customHeight="1" x14ac:dyDescent="0.25">
      <c r="A93" s="19"/>
      <c r="B93" s="20">
        <f>DATE(2023,11,1)</f>
        <v>45231</v>
      </c>
      <c r="C93" s="21">
        <v>224275</v>
      </c>
      <c r="D93" s="21">
        <v>218400</v>
      </c>
      <c r="E93" s="23">
        <f t="shared" si="40"/>
        <v>2.6900183150183152E-2</v>
      </c>
      <c r="F93" s="21">
        <f>+C93-113252</f>
        <v>111023</v>
      </c>
      <c r="G93" s="21">
        <f>+D93-108404</f>
        <v>109996</v>
      </c>
      <c r="H93" s="23">
        <f t="shared" si="41"/>
        <v>9.3367031528419214E-3</v>
      </c>
      <c r="I93" s="24">
        <f t="shared" si="42"/>
        <v>65.56001431278564</v>
      </c>
      <c r="J93" s="24">
        <f t="shared" si="43"/>
        <v>132.43627185357991</v>
      </c>
      <c r="K93" s="21">
        <v>14703472.210000001</v>
      </c>
      <c r="L93" s="21">
        <v>15198397.5</v>
      </c>
      <c r="M93" s="25">
        <f t="shared" si="44"/>
        <v>-3.2564307519921037E-2</v>
      </c>
      <c r="N93" s="10"/>
      <c r="R93" s="2"/>
    </row>
    <row r="94" spans="1:18" ht="15.75" customHeight="1" x14ac:dyDescent="0.25">
      <c r="A94" s="19"/>
      <c r="B94" s="20">
        <f>DATE(2023,12,1)</f>
        <v>45261</v>
      </c>
      <c r="C94" s="21">
        <v>270162</v>
      </c>
      <c r="D94" s="21">
        <v>250765</v>
      </c>
      <c r="E94" s="23">
        <f t="shared" si="40"/>
        <v>7.7351305006679555E-2</v>
      </c>
      <c r="F94" s="21">
        <f>+C94-137072</f>
        <v>133090</v>
      </c>
      <c r="G94" s="21">
        <f>+D94-124228</f>
        <v>126537</v>
      </c>
      <c r="H94" s="23">
        <f t="shared" si="41"/>
        <v>5.1787224290128581E-2</v>
      </c>
      <c r="I94" s="24">
        <f t="shared" si="42"/>
        <v>68.95012388862979</v>
      </c>
      <c r="J94" s="24">
        <f t="shared" si="43"/>
        <v>139.96320812983697</v>
      </c>
      <c r="K94" s="21">
        <v>18627703.370000001</v>
      </c>
      <c r="L94" s="21">
        <v>16605420.529999999</v>
      </c>
      <c r="M94" s="25">
        <f t="shared" si="44"/>
        <v>0.12178450020861964</v>
      </c>
      <c r="N94" s="10"/>
      <c r="R94" s="2"/>
    </row>
    <row r="95" spans="1:18" ht="15.75" customHeight="1" x14ac:dyDescent="0.25">
      <c r="A95" s="19"/>
      <c r="B95" s="20">
        <f>DATE(2024,1,1)</f>
        <v>45292</v>
      </c>
      <c r="C95" s="21">
        <v>198314</v>
      </c>
      <c r="D95" s="21">
        <v>242722</v>
      </c>
      <c r="E95" s="23">
        <f t="shared" si="40"/>
        <v>-0.18295828149075896</v>
      </c>
      <c r="F95" s="21">
        <f>C95-99827</f>
        <v>98487</v>
      </c>
      <c r="G95" s="21">
        <f>D95-123375</f>
        <v>119347</v>
      </c>
      <c r="H95" s="23">
        <f>(+F95-G95)/G95</f>
        <v>-0.17478445205995963</v>
      </c>
      <c r="I95" s="24">
        <f>K95/C95</f>
        <v>71.012547122240491</v>
      </c>
      <c r="J95" s="24">
        <f>K95/F95</f>
        <v>142.99128077817377</v>
      </c>
      <c r="K95" s="21">
        <v>14082782.27</v>
      </c>
      <c r="L95" s="21">
        <v>15648852.220000001</v>
      </c>
      <c r="M95" s="25">
        <f t="shared" si="44"/>
        <v>-0.10007570702204516</v>
      </c>
      <c r="N95" s="10"/>
      <c r="R95" s="2"/>
    </row>
    <row r="96" spans="1:18" ht="15.75" customHeight="1" thickBot="1" x14ac:dyDescent="0.3">
      <c r="A96" s="19"/>
      <c r="B96" s="45"/>
      <c r="C96" s="21"/>
      <c r="D96" s="21"/>
      <c r="E96" s="23"/>
      <c r="F96" s="21"/>
      <c r="G96" s="21"/>
      <c r="H96" s="23"/>
      <c r="I96" s="24"/>
      <c r="J96" s="24"/>
      <c r="K96" s="21"/>
      <c r="L96" s="21"/>
      <c r="M96" s="25"/>
      <c r="N96" s="10"/>
      <c r="R96" s="2"/>
    </row>
    <row r="97" spans="1:18" ht="17.25" thickTop="1" thickBot="1" x14ac:dyDescent="0.3">
      <c r="A97" s="39" t="s">
        <v>14</v>
      </c>
      <c r="B97" s="40"/>
      <c r="C97" s="41">
        <f>SUM(C89:C96)</f>
        <v>1670337</v>
      </c>
      <c r="D97" s="41">
        <f>SUM(D89:D96)</f>
        <v>1709251</v>
      </c>
      <c r="E97" s="280">
        <f>(+C97-D97)/D97</f>
        <v>-2.2766697225860919E-2</v>
      </c>
      <c r="F97" s="41">
        <f>SUM(F89:F96)</f>
        <v>835837</v>
      </c>
      <c r="G97" s="41">
        <f>SUM(G89:G96)</f>
        <v>858840</v>
      </c>
      <c r="H97" s="42">
        <f>(+F97-G97)/G97</f>
        <v>-2.6783801406548367E-2</v>
      </c>
      <c r="I97" s="43">
        <f>K97/C97</f>
        <v>68.359977070495347</v>
      </c>
      <c r="J97" s="43">
        <f>K97/F97</f>
        <v>136.61060591957522</v>
      </c>
      <c r="K97" s="41">
        <f>SUM(K89:K96)</f>
        <v>114184199.02</v>
      </c>
      <c r="L97" s="41">
        <f>SUM(L89:L96)</f>
        <v>115332207.16</v>
      </c>
      <c r="M97" s="44">
        <f>(+K97-L97)/L97</f>
        <v>-9.9539249986551684E-3</v>
      </c>
      <c r="N97" s="10"/>
      <c r="R97" s="2"/>
    </row>
    <row r="98" spans="1:18" ht="15.75" customHeight="1" thickTop="1" x14ac:dyDescent="0.2">
      <c r="A98" s="54"/>
      <c r="B98" s="55"/>
      <c r="C98" s="55"/>
      <c r="D98" s="55"/>
      <c r="E98" s="56"/>
      <c r="F98" s="55"/>
      <c r="G98" s="55"/>
      <c r="H98" s="56"/>
      <c r="I98" s="55"/>
      <c r="J98" s="55"/>
      <c r="K98" s="196"/>
      <c r="L98" s="196"/>
      <c r="M98" s="57"/>
      <c r="N98" s="10"/>
      <c r="R98" s="2"/>
    </row>
    <row r="99" spans="1:18" ht="15.75" customHeight="1" x14ac:dyDescent="0.25">
      <c r="A99" s="19" t="s">
        <v>53</v>
      </c>
      <c r="B99" s="20">
        <f>DATE(2023,7,1)</f>
        <v>45108</v>
      </c>
      <c r="C99" s="21">
        <v>372664</v>
      </c>
      <c r="D99" s="21">
        <v>358906</v>
      </c>
      <c r="E99" s="23">
        <f t="shared" ref="E99:E105" si="45">(+C99-D99)/D99</f>
        <v>3.8333156871158465E-2</v>
      </c>
      <c r="F99" s="21">
        <f>+C99-175639</f>
        <v>197025</v>
      </c>
      <c r="G99" s="21">
        <f>+D99-172463</f>
        <v>186443</v>
      </c>
      <c r="H99" s="23">
        <f t="shared" ref="H99:H104" si="46">(+F99-G99)/G99</f>
        <v>5.6757293113713039E-2</v>
      </c>
      <c r="I99" s="24">
        <f t="shared" ref="I99:I104" si="47">K99/C99</f>
        <v>59.665630729021316</v>
      </c>
      <c r="J99" s="24">
        <f t="shared" ref="J99:J104" si="48">K99/F99</f>
        <v>112.85487938078924</v>
      </c>
      <c r="K99" s="21">
        <v>22235232.609999999</v>
      </c>
      <c r="L99" s="21">
        <v>22397002.989999998</v>
      </c>
      <c r="M99" s="25">
        <f t="shared" ref="M99:M105" si="49">(+K99-L99)/L99</f>
        <v>-7.2228583472631388E-3</v>
      </c>
      <c r="N99" s="10"/>
      <c r="R99" s="2"/>
    </row>
    <row r="100" spans="1:18" ht="15.75" customHeight="1" x14ac:dyDescent="0.25">
      <c r="A100" s="19"/>
      <c r="B100" s="20">
        <f>DATE(2023,8,1)</f>
        <v>45139</v>
      </c>
      <c r="C100" s="21">
        <v>342645</v>
      </c>
      <c r="D100" s="21">
        <v>332390</v>
      </c>
      <c r="E100" s="23">
        <f t="shared" si="45"/>
        <v>3.0852312043081923E-2</v>
      </c>
      <c r="F100" s="21">
        <f>+C100-159996</f>
        <v>182649</v>
      </c>
      <c r="G100" s="21">
        <f>+D100-159690</f>
        <v>172700</v>
      </c>
      <c r="H100" s="23">
        <f t="shared" si="46"/>
        <v>5.7608569774174868E-2</v>
      </c>
      <c r="I100" s="24">
        <f t="shared" si="47"/>
        <v>60.158932422769915</v>
      </c>
      <c r="J100" s="24">
        <f t="shared" si="48"/>
        <v>112.85666715941504</v>
      </c>
      <c r="K100" s="21">
        <v>20613157.399999999</v>
      </c>
      <c r="L100" s="21">
        <v>20719744.75</v>
      </c>
      <c r="M100" s="25">
        <f t="shared" si="49"/>
        <v>-5.1442404955303073E-3</v>
      </c>
      <c r="N100" s="10"/>
      <c r="R100" s="2"/>
    </row>
    <row r="101" spans="1:18" ht="15.75" customHeight="1" x14ac:dyDescent="0.25">
      <c r="A101" s="19"/>
      <c r="B101" s="20">
        <f>DATE(2023,9,1)</f>
        <v>45170</v>
      </c>
      <c r="C101" s="21">
        <v>340628</v>
      </c>
      <c r="D101" s="21">
        <v>333101</v>
      </c>
      <c r="E101" s="23">
        <f t="shared" si="45"/>
        <v>2.259674993470449E-2</v>
      </c>
      <c r="F101" s="21">
        <f>+C101-161145</f>
        <v>179483</v>
      </c>
      <c r="G101" s="21">
        <f>+D101-160339</f>
        <v>172762</v>
      </c>
      <c r="H101" s="23">
        <f t="shared" si="46"/>
        <v>3.8903231034602519E-2</v>
      </c>
      <c r="I101" s="24">
        <f t="shared" si="47"/>
        <v>63.235720052373857</v>
      </c>
      <c r="J101" s="24">
        <f t="shared" si="48"/>
        <v>120.01056841037871</v>
      </c>
      <c r="K101" s="21">
        <v>21539856.850000001</v>
      </c>
      <c r="L101" s="21">
        <v>20315248.210000001</v>
      </c>
      <c r="M101" s="25">
        <f t="shared" si="49"/>
        <v>6.0280269644807878E-2</v>
      </c>
      <c r="N101" s="10"/>
      <c r="R101" s="2"/>
    </row>
    <row r="102" spans="1:18" ht="15.75" customHeight="1" x14ac:dyDescent="0.25">
      <c r="A102" s="19"/>
      <c r="B102" s="20">
        <f>DATE(2023,10,1)</f>
        <v>45200</v>
      </c>
      <c r="C102" s="21">
        <v>330243</v>
      </c>
      <c r="D102" s="21">
        <v>337264</v>
      </c>
      <c r="E102" s="23">
        <f t="shared" si="45"/>
        <v>-2.081751980644243E-2</v>
      </c>
      <c r="F102" s="21">
        <f>+C102-156735</f>
        <v>173508</v>
      </c>
      <c r="G102" s="21">
        <f>+D102-160233</f>
        <v>177031</v>
      </c>
      <c r="H102" s="23">
        <f t="shared" si="46"/>
        <v>-1.9900469409312494E-2</v>
      </c>
      <c r="I102" s="24">
        <f t="shared" si="47"/>
        <v>59.923552353872751</v>
      </c>
      <c r="J102" s="24">
        <f t="shared" si="48"/>
        <v>114.05430124259399</v>
      </c>
      <c r="K102" s="21">
        <v>19789333.699999999</v>
      </c>
      <c r="L102" s="21">
        <v>21004131.789999999</v>
      </c>
      <c r="M102" s="25">
        <f t="shared" si="49"/>
        <v>-5.7836148722812786E-2</v>
      </c>
      <c r="N102" s="10"/>
      <c r="R102" s="2"/>
    </row>
    <row r="103" spans="1:18" ht="15.75" customHeight="1" x14ac:dyDescent="0.25">
      <c r="A103" s="19"/>
      <c r="B103" s="20">
        <f>DATE(2023,11,1)</f>
        <v>45231</v>
      </c>
      <c r="C103" s="21">
        <v>341108</v>
      </c>
      <c r="D103" s="21">
        <v>335976</v>
      </c>
      <c r="E103" s="23">
        <f t="shared" si="45"/>
        <v>1.5274900588137248E-2</v>
      </c>
      <c r="F103" s="21">
        <f>+C103-167799</f>
        <v>173309</v>
      </c>
      <c r="G103" s="21">
        <f>+D103-165580</f>
        <v>170396</v>
      </c>
      <c r="H103" s="23">
        <f t="shared" si="46"/>
        <v>1.7095471724688373E-2</v>
      </c>
      <c r="I103" s="24">
        <f t="shared" si="47"/>
        <v>59.221123749662858</v>
      </c>
      <c r="J103" s="24">
        <f t="shared" si="48"/>
        <v>116.55943476680379</v>
      </c>
      <c r="K103" s="21">
        <v>20200799.079999998</v>
      </c>
      <c r="L103" s="21">
        <v>20877358.670000002</v>
      </c>
      <c r="M103" s="25">
        <f t="shared" si="49"/>
        <v>-3.2406378636977429E-2</v>
      </c>
      <c r="N103" s="10"/>
      <c r="R103" s="2"/>
    </row>
    <row r="104" spans="1:18" ht="15.75" customHeight="1" x14ac:dyDescent="0.25">
      <c r="A104" s="19"/>
      <c r="B104" s="20">
        <f>DATE(2023,12,1)</f>
        <v>45261</v>
      </c>
      <c r="C104" s="21">
        <v>360595</v>
      </c>
      <c r="D104" s="21">
        <v>365348</v>
      </c>
      <c r="E104" s="23">
        <f t="shared" si="45"/>
        <v>-1.3009514216582545E-2</v>
      </c>
      <c r="F104" s="21">
        <f>+C104-173565</f>
        <v>187030</v>
      </c>
      <c r="G104" s="21">
        <f>+D104-180304</f>
        <v>185044</v>
      </c>
      <c r="H104" s="23">
        <f t="shared" si="46"/>
        <v>1.0732582520913945E-2</v>
      </c>
      <c r="I104" s="24">
        <f t="shared" si="47"/>
        <v>59.736622249337898</v>
      </c>
      <c r="J104" s="24">
        <f t="shared" si="48"/>
        <v>115.17257819601134</v>
      </c>
      <c r="K104" s="21">
        <v>21540727.300000001</v>
      </c>
      <c r="L104" s="21">
        <v>20814881.129999999</v>
      </c>
      <c r="M104" s="25">
        <f t="shared" si="49"/>
        <v>3.4871502050225822E-2</v>
      </c>
      <c r="N104" s="10"/>
      <c r="R104" s="2"/>
    </row>
    <row r="105" spans="1:18" ht="15.75" customHeight="1" x14ac:dyDescent="0.25">
      <c r="A105" s="19"/>
      <c r="B105" s="20">
        <f>DATE(2024,1,1)</f>
        <v>45292</v>
      </c>
      <c r="C105" s="21">
        <v>310478</v>
      </c>
      <c r="D105" s="21">
        <v>342355</v>
      </c>
      <c r="E105" s="23">
        <f t="shared" si="45"/>
        <v>-9.3110952081903287E-2</v>
      </c>
      <c r="F105" s="21">
        <f>C105-156160</f>
        <v>154318</v>
      </c>
      <c r="G105" s="21">
        <f>D105-168925</f>
        <v>173430</v>
      </c>
      <c r="H105" s="23">
        <f>(+F105-G105)/G105</f>
        <v>-0.1102000807242115</v>
      </c>
      <c r="I105" s="24">
        <f>K105/C105</f>
        <v>58.097118958509142</v>
      </c>
      <c r="J105" s="24">
        <f>K105/F105</f>
        <v>116.88770785002399</v>
      </c>
      <c r="K105" s="21">
        <v>18037877.300000001</v>
      </c>
      <c r="L105" s="21">
        <v>20669849.199999999</v>
      </c>
      <c r="M105" s="25">
        <f t="shared" si="49"/>
        <v>-0.12733387043771943</v>
      </c>
      <c r="N105" s="10"/>
      <c r="R105" s="2"/>
    </row>
    <row r="106" spans="1:18" ht="15.75" customHeight="1" thickBot="1" x14ac:dyDescent="0.3">
      <c r="A106" s="19"/>
      <c r="B106" s="45"/>
      <c r="C106" s="21"/>
      <c r="D106" s="21"/>
      <c r="E106" s="23"/>
      <c r="F106" s="21"/>
      <c r="G106" s="21"/>
      <c r="H106" s="23"/>
      <c r="I106" s="24"/>
      <c r="J106" s="24"/>
      <c r="K106" s="21"/>
      <c r="L106" s="21"/>
      <c r="M106" s="25"/>
      <c r="N106" s="10"/>
      <c r="R106" s="2"/>
    </row>
    <row r="107" spans="1:18" ht="17.25" thickTop="1" thickBot="1" x14ac:dyDescent="0.3">
      <c r="A107" s="39" t="s">
        <v>14</v>
      </c>
      <c r="B107" s="40"/>
      <c r="C107" s="41">
        <f>SUM(C99:C106)</f>
        <v>2398361</v>
      </c>
      <c r="D107" s="41">
        <f>SUM(D99:D106)</f>
        <v>2405340</v>
      </c>
      <c r="E107" s="280">
        <f>(+C107-D107)/D107</f>
        <v>-2.9014609161282811E-3</v>
      </c>
      <c r="F107" s="41">
        <f>SUM(F99:F106)</f>
        <v>1247322</v>
      </c>
      <c r="G107" s="41">
        <f>SUM(G99:G106)</f>
        <v>1237806</v>
      </c>
      <c r="H107" s="42">
        <f>(+F107-G107)/G107</f>
        <v>7.6877959874164445E-3</v>
      </c>
      <c r="I107" s="43">
        <f>K107/C107</f>
        <v>60.02306751986044</v>
      </c>
      <c r="J107" s="43">
        <f>K107/F107</f>
        <v>115.41284787729232</v>
      </c>
      <c r="K107" s="41">
        <f>SUM(K99:K106)</f>
        <v>143956984.24000001</v>
      </c>
      <c r="L107" s="41">
        <f>SUM(L99:L106)</f>
        <v>146798216.73999998</v>
      </c>
      <c r="M107" s="44">
        <f>(+K107-L107)/L107</f>
        <v>-1.9354679934785499E-2</v>
      </c>
      <c r="N107" s="10"/>
      <c r="R107" s="2"/>
    </row>
    <row r="108" spans="1:18" ht="15.75" customHeight="1" thickTop="1" x14ac:dyDescent="0.2">
      <c r="A108" s="58"/>
      <c r="B108" s="59"/>
      <c r="C108" s="59"/>
      <c r="D108" s="59"/>
      <c r="E108" s="60"/>
      <c r="F108" s="59"/>
      <c r="G108" s="59"/>
      <c r="H108" s="60"/>
      <c r="I108" s="59"/>
      <c r="J108" s="59"/>
      <c r="K108" s="197"/>
      <c r="L108" s="197"/>
      <c r="M108" s="61"/>
      <c r="N108" s="10"/>
      <c r="R108" s="2"/>
    </row>
    <row r="109" spans="1:18" ht="15" customHeight="1" x14ac:dyDescent="0.25">
      <c r="A109" s="19" t="s">
        <v>54</v>
      </c>
      <c r="B109" s="20">
        <f>DATE(2023,7,1)</f>
        <v>45108</v>
      </c>
      <c r="C109" s="21">
        <v>43122</v>
      </c>
      <c r="D109" s="21">
        <v>45743</v>
      </c>
      <c r="E109" s="23">
        <f t="shared" ref="E109:E115" si="50">(+C109-D109)/D109</f>
        <v>-5.729838445226592E-2</v>
      </c>
      <c r="F109" s="21">
        <f>+C109-21874</f>
        <v>21248</v>
      </c>
      <c r="G109" s="21">
        <f>+D109-23748</f>
        <v>21995</v>
      </c>
      <c r="H109" s="23">
        <f t="shared" ref="H109:H114" si="51">(+F109-G109)/G109</f>
        <v>-3.3962264150943396E-2</v>
      </c>
      <c r="I109" s="24">
        <f t="shared" ref="I109:I114" si="52">K109/C109</f>
        <v>73.706668985668571</v>
      </c>
      <c r="J109" s="24">
        <f t="shared" ref="J109:J114" si="53">K109/F109</f>
        <v>149.58485410391566</v>
      </c>
      <c r="K109" s="21">
        <v>3178378.98</v>
      </c>
      <c r="L109" s="21">
        <v>3253812.68</v>
      </c>
      <c r="M109" s="25">
        <f t="shared" ref="M109:M115" si="54">(+K109-L109)/L109</f>
        <v>-2.3183172302346608E-2</v>
      </c>
      <c r="N109" s="10"/>
      <c r="R109" s="2"/>
    </row>
    <row r="110" spans="1:18" ht="15" customHeight="1" x14ac:dyDescent="0.25">
      <c r="A110" s="19"/>
      <c r="B110" s="20">
        <f>DATE(2023,8,1)</f>
        <v>45139</v>
      </c>
      <c r="C110" s="21">
        <v>38794</v>
      </c>
      <c r="D110" s="21">
        <v>40978</v>
      </c>
      <c r="E110" s="23">
        <f t="shared" si="50"/>
        <v>-5.329689101469081E-2</v>
      </c>
      <c r="F110" s="21">
        <f>+C110-19691</f>
        <v>19103</v>
      </c>
      <c r="G110" s="21">
        <f>+D110-21136</f>
        <v>19842</v>
      </c>
      <c r="H110" s="23">
        <f t="shared" si="51"/>
        <v>-3.7244229412357624E-2</v>
      </c>
      <c r="I110" s="24">
        <f t="shared" si="52"/>
        <v>74.058326803113886</v>
      </c>
      <c r="J110" s="24">
        <f t="shared" si="53"/>
        <v>150.39620635502277</v>
      </c>
      <c r="K110" s="21">
        <v>2873018.73</v>
      </c>
      <c r="L110" s="21">
        <v>2953942.06</v>
      </c>
      <c r="M110" s="25">
        <f t="shared" si="54"/>
        <v>-2.7395029542319482E-2</v>
      </c>
      <c r="N110" s="10"/>
      <c r="R110" s="2"/>
    </row>
    <row r="111" spans="1:18" ht="15" customHeight="1" x14ac:dyDescent="0.25">
      <c r="A111" s="19"/>
      <c r="B111" s="20">
        <f>DATE(2023,9,1)</f>
        <v>45170</v>
      </c>
      <c r="C111" s="21">
        <v>39024</v>
      </c>
      <c r="D111" s="21">
        <v>41696</v>
      </c>
      <c r="E111" s="23">
        <f t="shared" si="50"/>
        <v>-6.4082885648503451E-2</v>
      </c>
      <c r="F111" s="21">
        <f>+C111-19292</f>
        <v>19732</v>
      </c>
      <c r="G111" s="21">
        <f>+D111-21639</f>
        <v>20057</v>
      </c>
      <c r="H111" s="23">
        <f t="shared" si="51"/>
        <v>-1.6203819115520764E-2</v>
      </c>
      <c r="I111" s="24">
        <f t="shared" si="52"/>
        <v>73.702168152931534</v>
      </c>
      <c r="J111" s="24">
        <f t="shared" si="53"/>
        <v>145.76086610581797</v>
      </c>
      <c r="K111" s="21">
        <v>2876153.41</v>
      </c>
      <c r="L111" s="21">
        <v>3101049.85</v>
      </c>
      <c r="M111" s="25">
        <f t="shared" si="54"/>
        <v>-7.2522678085939166E-2</v>
      </c>
      <c r="N111" s="10"/>
      <c r="R111" s="2"/>
    </row>
    <row r="112" spans="1:18" ht="15" customHeight="1" x14ac:dyDescent="0.25">
      <c r="A112" s="19"/>
      <c r="B112" s="20">
        <f>DATE(2023,10,1)</f>
        <v>45200</v>
      </c>
      <c r="C112" s="21">
        <v>39576</v>
      </c>
      <c r="D112" s="21">
        <v>40713</v>
      </c>
      <c r="E112" s="23">
        <f t="shared" si="50"/>
        <v>-2.7927197700980032E-2</v>
      </c>
      <c r="F112" s="21">
        <f>+C112-20256</f>
        <v>19320</v>
      </c>
      <c r="G112" s="21">
        <f>+D112-21150</f>
        <v>19563</v>
      </c>
      <c r="H112" s="23">
        <f t="shared" si="51"/>
        <v>-1.2421407759546081E-2</v>
      </c>
      <c r="I112" s="24">
        <f t="shared" si="52"/>
        <v>78.079089094400643</v>
      </c>
      <c r="J112" s="24">
        <f t="shared" si="53"/>
        <v>159.94089182194617</v>
      </c>
      <c r="K112" s="21">
        <v>3090058.03</v>
      </c>
      <c r="L112" s="21">
        <v>3050192.47</v>
      </c>
      <c r="M112" s="25">
        <f t="shared" si="54"/>
        <v>1.306985063798272E-2</v>
      </c>
      <c r="N112" s="10"/>
      <c r="R112" s="2"/>
    </row>
    <row r="113" spans="1:18" ht="15" customHeight="1" x14ac:dyDescent="0.25">
      <c r="A113" s="19"/>
      <c r="B113" s="20">
        <f>DATE(2023,11,1)</f>
        <v>45231</v>
      </c>
      <c r="C113" s="21">
        <v>38920</v>
      </c>
      <c r="D113" s="21">
        <v>37233</v>
      </c>
      <c r="E113" s="23">
        <f t="shared" si="50"/>
        <v>4.5309268659522464E-2</v>
      </c>
      <c r="F113" s="21">
        <f>+C113-20391</f>
        <v>18529</v>
      </c>
      <c r="G113" s="21">
        <f>+D113-19170</f>
        <v>18063</v>
      </c>
      <c r="H113" s="23">
        <f t="shared" si="51"/>
        <v>2.5798593810551957E-2</v>
      </c>
      <c r="I113" s="24">
        <f t="shared" si="52"/>
        <v>70.912000000000006</v>
      </c>
      <c r="J113" s="24">
        <f t="shared" si="53"/>
        <v>148.95002644503211</v>
      </c>
      <c r="K113" s="21">
        <v>2759895.04</v>
      </c>
      <c r="L113" s="21">
        <v>2799014.1</v>
      </c>
      <c r="M113" s="25">
        <f t="shared" si="54"/>
        <v>-1.3976013911469775E-2</v>
      </c>
      <c r="N113" s="10"/>
      <c r="R113" s="2"/>
    </row>
    <row r="114" spans="1:18" ht="15" customHeight="1" x14ac:dyDescent="0.25">
      <c r="A114" s="19"/>
      <c r="B114" s="20">
        <f>DATE(2023,12,1)</f>
        <v>45261</v>
      </c>
      <c r="C114" s="21">
        <v>39936</v>
      </c>
      <c r="D114" s="21">
        <v>38888</v>
      </c>
      <c r="E114" s="23">
        <f t="shared" si="50"/>
        <v>2.6949187409997941E-2</v>
      </c>
      <c r="F114" s="21">
        <f>+C114-21159</f>
        <v>18777</v>
      </c>
      <c r="G114" s="21">
        <f>+D114-20548</f>
        <v>18340</v>
      </c>
      <c r="H114" s="23">
        <f t="shared" si="51"/>
        <v>2.3827699018538713E-2</v>
      </c>
      <c r="I114" s="24">
        <f t="shared" si="52"/>
        <v>80.196872746394234</v>
      </c>
      <c r="J114" s="24">
        <f t="shared" si="53"/>
        <v>170.56730627895831</v>
      </c>
      <c r="K114" s="21">
        <v>3202742.31</v>
      </c>
      <c r="L114" s="21">
        <v>3097813.72</v>
      </c>
      <c r="M114" s="25">
        <f t="shared" si="54"/>
        <v>3.3871820414043435E-2</v>
      </c>
      <c r="N114" s="10"/>
      <c r="R114" s="2"/>
    </row>
    <row r="115" spans="1:18" ht="15" customHeight="1" x14ac:dyDescent="0.25">
      <c r="A115" s="19"/>
      <c r="B115" s="20">
        <f>DATE(2024,1,1)</f>
        <v>45292</v>
      </c>
      <c r="C115" s="21">
        <v>28423</v>
      </c>
      <c r="D115" s="21">
        <v>39674</v>
      </c>
      <c r="E115" s="23">
        <f t="shared" si="50"/>
        <v>-0.28358622775621312</v>
      </c>
      <c r="F115" s="21">
        <f>C115-15073</f>
        <v>13350</v>
      </c>
      <c r="G115" s="21">
        <f>D115-21146</f>
        <v>18528</v>
      </c>
      <c r="H115" s="23">
        <f>(+F115-G115)/G115</f>
        <v>-0.27946891191709844</v>
      </c>
      <c r="I115" s="24">
        <f>K115/C115</f>
        <v>77.909313935896989</v>
      </c>
      <c r="J115" s="24">
        <f>K115/F115</f>
        <v>165.87388988764047</v>
      </c>
      <c r="K115" s="21">
        <v>2214416.4300000002</v>
      </c>
      <c r="L115" s="21">
        <v>2888248.11</v>
      </c>
      <c r="M115" s="25">
        <f t="shared" si="54"/>
        <v>-0.23330117577745069</v>
      </c>
      <c r="N115" s="10"/>
      <c r="R115" s="2"/>
    </row>
    <row r="116" spans="1:18" ht="15.75" thickBot="1" x14ac:dyDescent="0.25">
      <c r="A116" s="38"/>
      <c r="B116" s="20"/>
      <c r="C116" s="21"/>
      <c r="D116" s="21"/>
      <c r="E116" s="23"/>
      <c r="F116" s="21"/>
      <c r="G116" s="21"/>
      <c r="H116" s="23"/>
      <c r="I116" s="24"/>
      <c r="J116" s="24"/>
      <c r="K116" s="21"/>
      <c r="L116" s="21"/>
      <c r="M116" s="25"/>
      <c r="N116" s="10"/>
      <c r="R116" s="2"/>
    </row>
    <row r="117" spans="1:18" ht="17.25" thickTop="1" thickBot="1" x14ac:dyDescent="0.3">
      <c r="A117" s="62" t="s">
        <v>14</v>
      </c>
      <c r="B117" s="52"/>
      <c r="C117" s="48">
        <f>SUM(C109:C116)</f>
        <v>267795</v>
      </c>
      <c r="D117" s="48">
        <f>SUM(D109:D116)</f>
        <v>284925</v>
      </c>
      <c r="E117" s="280">
        <f>(+C117-D117)/D117</f>
        <v>-6.0121084495919977E-2</v>
      </c>
      <c r="F117" s="48">
        <f>SUM(F109:F116)</f>
        <v>130059</v>
      </c>
      <c r="G117" s="48">
        <f>SUM(G109:G116)</f>
        <v>136388</v>
      </c>
      <c r="H117" s="42">
        <f>(+F117-G117)/G117</f>
        <v>-4.640437575153239E-2</v>
      </c>
      <c r="I117" s="50">
        <f>K117/C117</f>
        <v>75.410903601635582</v>
      </c>
      <c r="J117" s="50">
        <f>K117/F117</f>
        <v>155.273090904897</v>
      </c>
      <c r="K117" s="48">
        <f>SUM(K109:K116)</f>
        <v>20194662.93</v>
      </c>
      <c r="L117" s="48">
        <f>SUM(L109:L116)</f>
        <v>21144072.989999998</v>
      </c>
      <c r="M117" s="44">
        <f>(+K117-L117)/L117</f>
        <v>-4.4901947720716734E-2</v>
      </c>
      <c r="N117" s="10"/>
      <c r="R117" s="2"/>
    </row>
    <row r="118" spans="1:18" ht="15.75" customHeight="1" thickTop="1" x14ac:dyDescent="0.25">
      <c r="A118" s="19"/>
      <c r="B118" s="45"/>
      <c r="C118" s="21"/>
      <c r="D118" s="21"/>
      <c r="E118" s="23"/>
      <c r="F118" s="21"/>
      <c r="G118" s="21"/>
      <c r="H118" s="23"/>
      <c r="I118" s="24"/>
      <c r="J118" s="24"/>
      <c r="K118" s="21"/>
      <c r="L118" s="21"/>
      <c r="M118" s="25"/>
      <c r="N118" s="10"/>
      <c r="R118" s="2"/>
    </row>
    <row r="119" spans="1:18" ht="15.75" x14ac:dyDescent="0.25">
      <c r="A119" s="19" t="s">
        <v>17</v>
      </c>
      <c r="B119" s="20">
        <f>DATE(2023,7,1)</f>
        <v>45108</v>
      </c>
      <c r="C119" s="21">
        <v>341358</v>
      </c>
      <c r="D119" s="21">
        <v>376535</v>
      </c>
      <c r="E119" s="23">
        <f t="shared" ref="E119:E125" si="55">(+C119-D119)/D119</f>
        <v>-9.3422922171909645E-2</v>
      </c>
      <c r="F119" s="21">
        <f>+C119-174275</f>
        <v>167083</v>
      </c>
      <c r="G119" s="21">
        <f>+D119-192471</f>
        <v>184064</v>
      </c>
      <c r="H119" s="23">
        <f t="shared" ref="H119:H124" si="56">(+F119-G119)/G119</f>
        <v>-9.2255954450625871E-2</v>
      </c>
      <c r="I119" s="24">
        <f t="shared" ref="I119:I124" si="57">K119/C119</f>
        <v>75.201336397565015</v>
      </c>
      <c r="J119" s="24">
        <f t="shared" ref="J119:J124" si="58">K119/F119</f>
        <v>153.63967483226898</v>
      </c>
      <c r="K119" s="21">
        <v>25670577.789999999</v>
      </c>
      <c r="L119" s="21">
        <v>26699268.829999998</v>
      </c>
      <c r="M119" s="25">
        <f t="shared" ref="M119:M125" si="59">(+K119-L119)/L119</f>
        <v>-3.8528809404852871E-2</v>
      </c>
      <c r="N119" s="10"/>
      <c r="R119" s="2"/>
    </row>
    <row r="120" spans="1:18" ht="15.75" x14ac:dyDescent="0.25">
      <c r="A120" s="19"/>
      <c r="B120" s="20">
        <f>DATE(2023,8,1)</f>
        <v>45139</v>
      </c>
      <c r="C120" s="21">
        <v>326253</v>
      </c>
      <c r="D120" s="21">
        <v>348725</v>
      </c>
      <c r="E120" s="23">
        <f t="shared" si="55"/>
        <v>-6.4440461681840991E-2</v>
      </c>
      <c r="F120" s="21">
        <f>+C120-166627</f>
        <v>159626</v>
      </c>
      <c r="G120" s="21">
        <f>+D120-177430</f>
        <v>171295</v>
      </c>
      <c r="H120" s="23">
        <f t="shared" si="56"/>
        <v>-6.8122245249423508E-2</v>
      </c>
      <c r="I120" s="24">
        <f t="shared" si="57"/>
        <v>71.558283510036688</v>
      </c>
      <c r="J120" s="24">
        <f t="shared" si="58"/>
        <v>146.25502530916017</v>
      </c>
      <c r="K120" s="21">
        <v>23346104.670000002</v>
      </c>
      <c r="L120" s="21">
        <v>26620249.559999999</v>
      </c>
      <c r="M120" s="25">
        <f t="shared" si="59"/>
        <v>-0.12299452274556351</v>
      </c>
      <c r="N120" s="10"/>
      <c r="R120" s="2"/>
    </row>
    <row r="121" spans="1:18" ht="15.75" x14ac:dyDescent="0.25">
      <c r="A121" s="19"/>
      <c r="B121" s="20">
        <f>DATE(2023,9,1)</f>
        <v>45170</v>
      </c>
      <c r="C121" s="21">
        <v>330805</v>
      </c>
      <c r="D121" s="21">
        <v>351773</v>
      </c>
      <c r="E121" s="23">
        <f t="shared" si="55"/>
        <v>-5.9606621315450588E-2</v>
      </c>
      <c r="F121" s="21">
        <f>+C121-169998</f>
        <v>160807</v>
      </c>
      <c r="G121" s="21">
        <f>+D121-180127</f>
        <v>171646</v>
      </c>
      <c r="H121" s="23">
        <f t="shared" si="56"/>
        <v>-6.3147408037472472E-2</v>
      </c>
      <c r="I121" s="24">
        <f t="shared" si="57"/>
        <v>74.375674521243639</v>
      </c>
      <c r="J121" s="24">
        <f t="shared" si="58"/>
        <v>153.00232583158694</v>
      </c>
      <c r="K121" s="21">
        <v>24603845.010000002</v>
      </c>
      <c r="L121" s="21">
        <v>24480724.719999999</v>
      </c>
      <c r="M121" s="25">
        <f t="shared" si="59"/>
        <v>5.0292747215697148E-3</v>
      </c>
      <c r="N121" s="10"/>
      <c r="R121" s="2"/>
    </row>
    <row r="122" spans="1:18" ht="15.75" x14ac:dyDescent="0.25">
      <c r="A122" s="19"/>
      <c r="B122" s="20">
        <f>DATE(2023,10,1)</f>
        <v>45200</v>
      </c>
      <c r="C122" s="21">
        <v>304204</v>
      </c>
      <c r="D122" s="21">
        <v>353411</v>
      </c>
      <c r="E122" s="23">
        <f t="shared" si="55"/>
        <v>-0.13923448902269595</v>
      </c>
      <c r="F122" s="21">
        <f>+C122-155651</f>
        <v>148553</v>
      </c>
      <c r="G122" s="21">
        <f>+D122-182814</f>
        <v>170597</v>
      </c>
      <c r="H122" s="23">
        <f t="shared" si="56"/>
        <v>-0.12921680920532014</v>
      </c>
      <c r="I122" s="24">
        <f t="shared" si="57"/>
        <v>77.748252258352935</v>
      </c>
      <c r="J122" s="24">
        <f t="shared" si="58"/>
        <v>159.2113880567878</v>
      </c>
      <c r="K122" s="21">
        <v>23651329.329999998</v>
      </c>
      <c r="L122" s="21">
        <v>24469878.329999998</v>
      </c>
      <c r="M122" s="25">
        <f t="shared" si="59"/>
        <v>-3.3451290151960474E-2</v>
      </c>
      <c r="N122" s="10"/>
      <c r="R122" s="2"/>
    </row>
    <row r="123" spans="1:18" ht="15.75" x14ac:dyDescent="0.25">
      <c r="A123" s="19"/>
      <c r="B123" s="20">
        <f>DATE(2023,11,1)</f>
        <v>45231</v>
      </c>
      <c r="C123" s="21">
        <v>307303</v>
      </c>
      <c r="D123" s="21">
        <v>324947</v>
      </c>
      <c r="E123" s="23">
        <f t="shared" si="55"/>
        <v>-5.429808553394861E-2</v>
      </c>
      <c r="F123" s="21">
        <f>+C123-157952</f>
        <v>149351</v>
      </c>
      <c r="G123" s="21">
        <f>+D123-166237</f>
        <v>158710</v>
      </c>
      <c r="H123" s="23">
        <f t="shared" si="56"/>
        <v>-5.8969189087014054E-2</v>
      </c>
      <c r="I123" s="24">
        <f t="shared" si="57"/>
        <v>71.832083871618565</v>
      </c>
      <c r="J123" s="24">
        <f t="shared" si="58"/>
        <v>147.80091777088873</v>
      </c>
      <c r="K123" s="21">
        <v>22074214.870000001</v>
      </c>
      <c r="L123" s="21">
        <v>24161266.16</v>
      </c>
      <c r="M123" s="25">
        <f t="shared" si="59"/>
        <v>-8.6380046317903691E-2</v>
      </c>
      <c r="N123" s="10"/>
      <c r="R123" s="2"/>
    </row>
    <row r="124" spans="1:18" ht="15.75" x14ac:dyDescent="0.25">
      <c r="A124" s="19"/>
      <c r="B124" s="20">
        <f>DATE(2023,12,1)</f>
        <v>45261</v>
      </c>
      <c r="C124" s="21">
        <v>374031</v>
      </c>
      <c r="D124" s="21">
        <v>362717</v>
      </c>
      <c r="E124" s="23">
        <f t="shared" si="55"/>
        <v>3.1192362089452658E-2</v>
      </c>
      <c r="F124" s="21">
        <f>+C124-193719</f>
        <v>180312</v>
      </c>
      <c r="G124" s="21">
        <f>+D124-186399</f>
        <v>176318</v>
      </c>
      <c r="H124" s="23">
        <f t="shared" si="56"/>
        <v>2.2652253315033066E-2</v>
      </c>
      <c r="I124" s="24">
        <f t="shared" si="57"/>
        <v>71.185935577532348</v>
      </c>
      <c r="J124" s="24">
        <f t="shared" si="58"/>
        <v>147.6648624051644</v>
      </c>
      <c r="K124" s="21">
        <v>26625746.670000002</v>
      </c>
      <c r="L124" s="21">
        <v>25274658.52</v>
      </c>
      <c r="M124" s="25">
        <f t="shared" si="59"/>
        <v>5.345623755632059E-2</v>
      </c>
      <c r="N124" s="10"/>
      <c r="R124" s="2"/>
    </row>
    <row r="125" spans="1:18" ht="15.75" x14ac:dyDescent="0.25">
      <c r="A125" s="19"/>
      <c r="B125" s="20">
        <f>DATE(2024,1,1)</f>
        <v>45292</v>
      </c>
      <c r="C125" s="21">
        <v>295457</v>
      </c>
      <c r="D125" s="21">
        <v>343820</v>
      </c>
      <c r="E125" s="23">
        <f t="shared" si="55"/>
        <v>-0.14066371938805189</v>
      </c>
      <c r="F125" s="21">
        <f>C125-151848</f>
        <v>143609</v>
      </c>
      <c r="G125" s="21">
        <f>D125-178333</f>
        <v>165487</v>
      </c>
      <c r="H125" s="23">
        <f>(+F125-G125)/G125</f>
        <v>-0.13220373805797433</v>
      </c>
      <c r="I125" s="24">
        <f>K125/C125</f>
        <v>72.961188023976419</v>
      </c>
      <c r="J125" s="24">
        <f>K125/F125</f>
        <v>150.10823646150311</v>
      </c>
      <c r="K125" s="21">
        <v>21556893.73</v>
      </c>
      <c r="L125" s="21">
        <v>24367687.640000001</v>
      </c>
      <c r="M125" s="25">
        <f t="shared" si="59"/>
        <v>-0.11534922605401553</v>
      </c>
      <c r="N125" s="10"/>
      <c r="R125" s="2"/>
    </row>
    <row r="126" spans="1:18" ht="15.75" thickBot="1" x14ac:dyDescent="0.25">
      <c r="A126" s="38"/>
      <c r="B126" s="45"/>
      <c r="C126" s="21"/>
      <c r="D126" s="21"/>
      <c r="E126" s="23"/>
      <c r="F126" s="21"/>
      <c r="G126" s="21"/>
      <c r="H126" s="23"/>
      <c r="I126" s="24"/>
      <c r="J126" s="24"/>
      <c r="K126" s="21"/>
      <c r="L126" s="21"/>
      <c r="M126" s="25"/>
      <c r="N126" s="10"/>
      <c r="R126" s="2"/>
    </row>
    <row r="127" spans="1:18" ht="17.25" thickTop="1" thickBot="1" x14ac:dyDescent="0.3">
      <c r="A127" s="39" t="s">
        <v>14</v>
      </c>
      <c r="B127" s="40"/>
      <c r="C127" s="41">
        <f>SUM(C119:C126)</f>
        <v>2279411</v>
      </c>
      <c r="D127" s="41">
        <f>SUM(D119:D126)</f>
        <v>2461928</v>
      </c>
      <c r="E127" s="280">
        <f>(+C127-D127)/D127</f>
        <v>-7.4135799259767141E-2</v>
      </c>
      <c r="F127" s="41">
        <f>SUM(F119:F126)</f>
        <v>1109341</v>
      </c>
      <c r="G127" s="41">
        <f>SUM(G119:G126)</f>
        <v>1198117</v>
      </c>
      <c r="H127" s="42">
        <f>(+F127-G127)/G127</f>
        <v>-7.4096269396060649E-2</v>
      </c>
      <c r="I127" s="43">
        <f>K127/C127</f>
        <v>73.496491887597273</v>
      </c>
      <c r="J127" s="43">
        <f>K127/F127</f>
        <v>151.01642512987439</v>
      </c>
      <c r="K127" s="41">
        <f>SUM(K119:K126)</f>
        <v>167528712.06999999</v>
      </c>
      <c r="L127" s="41">
        <f>SUM(L119:L126)</f>
        <v>176073733.75999999</v>
      </c>
      <c r="M127" s="44">
        <f>(+K127-L127)/L127</f>
        <v>-4.8530927967072139E-2</v>
      </c>
      <c r="N127" s="10"/>
      <c r="R127" s="2"/>
    </row>
    <row r="128" spans="1:18" ht="15.75" customHeight="1" thickTop="1" x14ac:dyDescent="0.25">
      <c r="A128" s="19"/>
      <c r="B128" s="45"/>
      <c r="C128" s="21"/>
      <c r="D128" s="21"/>
      <c r="E128" s="23"/>
      <c r="F128" s="21"/>
      <c r="G128" s="21"/>
      <c r="H128" s="23"/>
      <c r="I128" s="24"/>
      <c r="J128" s="24"/>
      <c r="K128" s="21"/>
      <c r="L128" s="21"/>
      <c r="M128" s="25"/>
      <c r="N128" s="10"/>
      <c r="R128" s="2"/>
    </row>
    <row r="129" spans="1:18" ht="15.75" x14ac:dyDescent="0.25">
      <c r="A129" s="19" t="s">
        <v>56</v>
      </c>
      <c r="B129" s="20">
        <f>DATE(2023,7,1)</f>
        <v>45108</v>
      </c>
      <c r="C129" s="21">
        <v>66323</v>
      </c>
      <c r="D129" s="21">
        <v>68778</v>
      </c>
      <c r="E129" s="23">
        <f t="shared" ref="E129:E135" si="60">(+C129-D129)/D129</f>
        <v>-3.5694553490941874E-2</v>
      </c>
      <c r="F129" s="21">
        <f>+C129-28441</f>
        <v>37882</v>
      </c>
      <c r="G129" s="21">
        <f>+D129-29763</f>
        <v>39015</v>
      </c>
      <c r="H129" s="23">
        <f t="shared" ref="H129:H134" si="61">(+F129-G129)/G129</f>
        <v>-2.9040112777136997E-2</v>
      </c>
      <c r="I129" s="24">
        <f t="shared" ref="I129:I134" si="62">K129/C129</f>
        <v>58.975659575109688</v>
      </c>
      <c r="J129" s="24">
        <f t="shared" ref="J129:J134" si="63">K129/F129</f>
        <v>103.25333060556464</v>
      </c>
      <c r="K129" s="21">
        <v>3911442.67</v>
      </c>
      <c r="L129" s="21">
        <v>4137931.7</v>
      </c>
      <c r="M129" s="25">
        <f t="shared" ref="M129:M135" si="64">(+K129-L129)/L129</f>
        <v>-5.4734840113479941E-2</v>
      </c>
      <c r="N129" s="10"/>
      <c r="R129" s="2"/>
    </row>
    <row r="130" spans="1:18" ht="15.75" x14ac:dyDescent="0.25">
      <c r="A130" s="19"/>
      <c r="B130" s="20">
        <f>DATE(2023,8,1)</f>
        <v>45139</v>
      </c>
      <c r="C130" s="21">
        <v>63894</v>
      </c>
      <c r="D130" s="21">
        <v>61732</v>
      </c>
      <c r="E130" s="23">
        <f t="shared" si="60"/>
        <v>3.5022354694485842E-2</v>
      </c>
      <c r="F130" s="21">
        <f>+C130-27335</f>
        <v>36559</v>
      </c>
      <c r="G130" s="21">
        <f>+D130-26815</f>
        <v>34917</v>
      </c>
      <c r="H130" s="23">
        <f t="shared" si="61"/>
        <v>4.7025804049603347E-2</v>
      </c>
      <c r="I130" s="24">
        <f t="shared" si="62"/>
        <v>60.44767067330266</v>
      </c>
      <c r="J130" s="24">
        <f t="shared" si="63"/>
        <v>105.64412237752674</v>
      </c>
      <c r="K130" s="21">
        <v>3862243.47</v>
      </c>
      <c r="L130" s="21">
        <v>3659627.99</v>
      </c>
      <c r="M130" s="25">
        <f t="shared" si="64"/>
        <v>5.5365048183490355E-2</v>
      </c>
      <c r="N130" s="10"/>
      <c r="R130" s="2"/>
    </row>
    <row r="131" spans="1:18" ht="15.75" x14ac:dyDescent="0.25">
      <c r="A131" s="19"/>
      <c r="B131" s="20">
        <f>DATE(2023,9,1)</f>
        <v>45170</v>
      </c>
      <c r="C131" s="21">
        <v>61378</v>
      </c>
      <c r="D131" s="21">
        <v>62788</v>
      </c>
      <c r="E131" s="23">
        <f t="shared" si="60"/>
        <v>-2.245652035420781E-2</v>
      </c>
      <c r="F131" s="21">
        <f>+C131-26751</f>
        <v>34627</v>
      </c>
      <c r="G131" s="21">
        <f>+D131-27365</f>
        <v>35423</v>
      </c>
      <c r="H131" s="23">
        <f t="shared" si="61"/>
        <v>-2.2471275724811564E-2</v>
      </c>
      <c r="I131" s="24">
        <f t="shared" si="62"/>
        <v>60.955323568705403</v>
      </c>
      <c r="J131" s="24">
        <f t="shared" si="63"/>
        <v>108.04620238542178</v>
      </c>
      <c r="K131" s="21">
        <v>3741315.85</v>
      </c>
      <c r="L131" s="21">
        <v>3960660.61</v>
      </c>
      <c r="M131" s="25">
        <f t="shared" si="64"/>
        <v>-5.5380852236162639E-2</v>
      </c>
      <c r="N131" s="10"/>
      <c r="R131" s="2"/>
    </row>
    <row r="132" spans="1:18" ht="15.75" x14ac:dyDescent="0.25">
      <c r="A132" s="19"/>
      <c r="B132" s="20">
        <f>DATE(2023,10,1)</f>
        <v>45200</v>
      </c>
      <c r="C132" s="21">
        <v>57497</v>
      </c>
      <c r="D132" s="21">
        <v>62422</v>
      </c>
      <c r="E132" s="23">
        <f t="shared" si="60"/>
        <v>-7.889846528467527E-2</v>
      </c>
      <c r="F132" s="21">
        <f>+C132-24805</f>
        <v>32692</v>
      </c>
      <c r="G132" s="21">
        <f>+D132-27630</f>
        <v>34792</v>
      </c>
      <c r="H132" s="23">
        <f t="shared" si="61"/>
        <v>-6.0358703150149462E-2</v>
      </c>
      <c r="I132" s="24">
        <f t="shared" si="62"/>
        <v>61.609674591717827</v>
      </c>
      <c r="J132" s="24">
        <f t="shared" si="63"/>
        <v>108.35591153799095</v>
      </c>
      <c r="K132" s="21">
        <v>3542371.46</v>
      </c>
      <c r="L132" s="21">
        <v>3840534.87</v>
      </c>
      <c r="M132" s="25">
        <f t="shared" si="64"/>
        <v>-7.7635907521391712E-2</v>
      </c>
      <c r="N132" s="10"/>
      <c r="R132" s="2"/>
    </row>
    <row r="133" spans="1:18" ht="15.75" x14ac:dyDescent="0.25">
      <c r="A133" s="19"/>
      <c r="B133" s="20">
        <f>DATE(2023,11,1)</f>
        <v>45231</v>
      </c>
      <c r="C133" s="21">
        <v>57953</v>
      </c>
      <c r="D133" s="21">
        <v>58006</v>
      </c>
      <c r="E133" s="23">
        <f t="shared" si="60"/>
        <v>-9.1369858290521672E-4</v>
      </c>
      <c r="F133" s="21">
        <f>+C133-25146</f>
        <v>32807</v>
      </c>
      <c r="G133" s="21">
        <f>+D133-26107</f>
        <v>31899</v>
      </c>
      <c r="H133" s="23">
        <f t="shared" si="61"/>
        <v>2.8464842158061381E-2</v>
      </c>
      <c r="I133" s="24">
        <f t="shared" si="62"/>
        <v>62.883518023225719</v>
      </c>
      <c r="J133" s="24">
        <f t="shared" si="63"/>
        <v>111.08265065382388</v>
      </c>
      <c r="K133" s="21">
        <v>3644288.52</v>
      </c>
      <c r="L133" s="21">
        <v>3573473.44</v>
      </c>
      <c r="M133" s="25">
        <f t="shared" si="64"/>
        <v>1.9816875986071434E-2</v>
      </c>
      <c r="N133" s="10"/>
      <c r="R133" s="2"/>
    </row>
    <row r="134" spans="1:18" ht="15.75" x14ac:dyDescent="0.25">
      <c r="A134" s="19"/>
      <c r="B134" s="20">
        <f>DATE(2023,12,1)</f>
        <v>45261</v>
      </c>
      <c r="C134" s="21">
        <v>70244</v>
      </c>
      <c r="D134" s="21">
        <v>64256</v>
      </c>
      <c r="E134" s="23">
        <f t="shared" si="60"/>
        <v>9.3189741035856574E-2</v>
      </c>
      <c r="F134" s="21">
        <f>+C134-32047</f>
        <v>38197</v>
      </c>
      <c r="G134" s="21">
        <f>+D134-29013</f>
        <v>35243</v>
      </c>
      <c r="H134" s="23">
        <f t="shared" si="61"/>
        <v>8.381806316147887E-2</v>
      </c>
      <c r="I134" s="24">
        <f t="shared" si="62"/>
        <v>65.062498718751783</v>
      </c>
      <c r="J134" s="24">
        <f t="shared" si="63"/>
        <v>119.64945309841087</v>
      </c>
      <c r="K134" s="21">
        <v>4570250.16</v>
      </c>
      <c r="L134" s="21">
        <v>3934523.29</v>
      </c>
      <c r="M134" s="25">
        <f t="shared" si="64"/>
        <v>0.16157659343782918</v>
      </c>
      <c r="N134" s="10"/>
      <c r="R134" s="2"/>
    </row>
    <row r="135" spans="1:18" ht="15.75" x14ac:dyDescent="0.25">
      <c r="A135" s="19"/>
      <c r="B135" s="20">
        <f>DATE(2024,1,1)</f>
        <v>45292</v>
      </c>
      <c r="C135" s="21">
        <v>52821</v>
      </c>
      <c r="D135" s="21">
        <v>59434</v>
      </c>
      <c r="E135" s="23">
        <f t="shared" si="60"/>
        <v>-0.11126627856109297</v>
      </c>
      <c r="F135" s="21">
        <f>C135-23841</f>
        <v>28980</v>
      </c>
      <c r="G135" s="21">
        <f>D135-26887</f>
        <v>32547</v>
      </c>
      <c r="H135" s="23">
        <f>(+F135-G135)/G135</f>
        <v>-0.10959535441054476</v>
      </c>
      <c r="I135" s="24">
        <f>K135/C135</f>
        <v>63.002633990269018</v>
      </c>
      <c r="J135" s="24">
        <f>K135/F135</f>
        <v>114.83306176673568</v>
      </c>
      <c r="K135" s="21">
        <v>3327862.13</v>
      </c>
      <c r="L135" s="21">
        <v>3650361.77</v>
      </c>
      <c r="M135" s="25">
        <f t="shared" si="64"/>
        <v>-8.8347309203821764E-2</v>
      </c>
      <c r="N135" s="10"/>
      <c r="R135" s="2"/>
    </row>
    <row r="136" spans="1:18" ht="15.75" thickBot="1" x14ac:dyDescent="0.25">
      <c r="A136" s="38"/>
      <c r="B136" s="45"/>
      <c r="C136" s="21"/>
      <c r="D136" s="21"/>
      <c r="E136" s="23"/>
      <c r="F136" s="21"/>
      <c r="G136" s="21"/>
      <c r="H136" s="23"/>
      <c r="I136" s="24"/>
      <c r="J136" s="24"/>
      <c r="K136" s="21"/>
      <c r="L136" s="21"/>
      <c r="M136" s="25"/>
      <c r="N136" s="10"/>
      <c r="R136" s="2"/>
    </row>
    <row r="137" spans="1:18" ht="17.25" thickTop="1" thickBot="1" x14ac:dyDescent="0.3">
      <c r="A137" s="26" t="s">
        <v>14</v>
      </c>
      <c r="B137" s="27"/>
      <c r="C137" s="28">
        <f>SUM(C129:C136)</f>
        <v>430110</v>
      </c>
      <c r="D137" s="28">
        <f>SUM(D129:D136)</f>
        <v>437416</v>
      </c>
      <c r="E137" s="280">
        <f>(+C137-D137)/D137</f>
        <v>-1.6702635477440241E-2</v>
      </c>
      <c r="F137" s="28">
        <f>SUM(F129:F136)</f>
        <v>241744</v>
      </c>
      <c r="G137" s="28">
        <f>SUM(G129:G136)</f>
        <v>243836</v>
      </c>
      <c r="H137" s="42">
        <f>(+F137-G137)/G137</f>
        <v>-8.5795370658967498E-3</v>
      </c>
      <c r="I137" s="43">
        <f>K137/C137</f>
        <v>61.844119550812579</v>
      </c>
      <c r="J137" s="43">
        <f>K137/F137</f>
        <v>110.03282091799589</v>
      </c>
      <c r="K137" s="28">
        <f>SUM(K129:K136)</f>
        <v>26599774.259999998</v>
      </c>
      <c r="L137" s="28">
        <f>SUM(L129:L136)</f>
        <v>26757113.670000002</v>
      </c>
      <c r="M137" s="44">
        <f>(+K137-L137)/L137</f>
        <v>-5.8802833497101879E-3</v>
      </c>
      <c r="N137" s="10"/>
      <c r="R137" s="2"/>
    </row>
    <row r="138" spans="1:18" ht="16.5" thickTop="1" thickBot="1" x14ac:dyDescent="0.25">
      <c r="A138" s="63"/>
      <c r="B138" s="34"/>
      <c r="C138" s="35"/>
      <c r="D138" s="35"/>
      <c r="E138" s="29"/>
      <c r="F138" s="35"/>
      <c r="G138" s="35"/>
      <c r="H138" s="29"/>
      <c r="I138" s="36"/>
      <c r="J138" s="36"/>
      <c r="K138" s="35"/>
      <c r="L138" s="35"/>
      <c r="M138" s="37"/>
      <c r="N138" s="10"/>
      <c r="R138" s="2"/>
    </row>
    <row r="139" spans="1:18" ht="17.25" thickTop="1" thickBot="1" x14ac:dyDescent="0.3">
      <c r="A139" s="64" t="s">
        <v>18</v>
      </c>
      <c r="B139" s="65"/>
      <c r="C139" s="28">
        <f>C137+C127+C57+C77+C87+C37+C17+C97+C107+C47+C117+C27+C67</f>
        <v>16424741</v>
      </c>
      <c r="D139" s="28">
        <f>D137+D127+D57+D77+D87+D37+D17+D97+D107+D47+D117+D27+D67</f>
        <v>16799346</v>
      </c>
      <c r="E139" s="279">
        <f>(+C139-D139)/D139</f>
        <v>-2.2298784726500664E-2</v>
      </c>
      <c r="F139" s="28">
        <f>F137+F127+F57+F77+F87+F37+F17+F97+F107+F47+F117+F27+F67</f>
        <v>8422677</v>
      </c>
      <c r="G139" s="28">
        <f>G137+G127+G57+G77+G87+G37+G17+G97+G107+G47+G117+G27+G67</f>
        <v>8556799</v>
      </c>
      <c r="H139" s="30">
        <f>(+F139-G139)/G139</f>
        <v>-1.5674319333666715E-2</v>
      </c>
      <c r="I139" s="31">
        <f>K139/C139</f>
        <v>66.117808096943506</v>
      </c>
      <c r="J139" s="31">
        <f>K139/F139</f>
        <v>128.93381444877917</v>
      </c>
      <c r="K139" s="28">
        <f>K137+K127+K57+K77+K87+K37+K17+K97+K107+K47+K117+K27+K67</f>
        <v>1085967873.48</v>
      </c>
      <c r="L139" s="28">
        <f>L137+L127+L57+L77+L87+L37+L17+L97+L107+L47+L117+L27+L67</f>
        <v>1103756909.48</v>
      </c>
      <c r="M139" s="32">
        <f>(+K139-L139)/L139</f>
        <v>-1.6116806016988595E-2</v>
      </c>
      <c r="N139" s="10"/>
      <c r="R139" s="2"/>
    </row>
    <row r="140" spans="1:18" ht="17.25" thickTop="1" thickBot="1" x14ac:dyDescent="0.3">
      <c r="A140" s="64"/>
      <c r="B140" s="65"/>
      <c r="C140" s="28"/>
      <c r="D140" s="28"/>
      <c r="E140" s="29"/>
      <c r="F140" s="28"/>
      <c r="G140" s="28"/>
      <c r="H140" s="30"/>
      <c r="I140" s="31"/>
      <c r="J140" s="31"/>
      <c r="K140" s="28"/>
      <c r="L140" s="28"/>
      <c r="M140" s="32"/>
      <c r="N140" s="10"/>
      <c r="R140" s="2"/>
    </row>
    <row r="141" spans="1:18" ht="17.25" thickTop="1" thickBot="1" x14ac:dyDescent="0.3">
      <c r="A141" s="64" t="s">
        <v>19</v>
      </c>
      <c r="B141" s="65"/>
      <c r="C141" s="28">
        <f>+C15+C25+C35+C45+C55+C65+C75+C85+C95+C105+C115+C125+C135</f>
        <v>2007382</v>
      </c>
      <c r="D141" s="28">
        <f>+D15+D25+D35+D45+D55+D65+D75+D85+D95+D105+D115+D125+D135</f>
        <v>2367698</v>
      </c>
      <c r="E141" s="279">
        <f>(+C141-D141)/D141</f>
        <v>-0.15217988104901892</v>
      </c>
      <c r="F141" s="28">
        <f>+F15+F25+F35+F45+F55+F65+F75+F85+F95+F105+F115+F125+F135</f>
        <v>1015799</v>
      </c>
      <c r="G141" s="28">
        <f>+G15+G25+G35+G45+G55+G65+G75+G85+G95+G105+G115+G125+G135</f>
        <v>1187063</v>
      </c>
      <c r="H141" s="30">
        <f>(+F141-G141)/G141</f>
        <v>-0.14427540914003723</v>
      </c>
      <c r="I141" s="291">
        <f>K141/C141</f>
        <v>67.46869090188116</v>
      </c>
      <c r="J141" s="31">
        <f>K141/F141</f>
        <v>133.32897126301563</v>
      </c>
      <c r="K141" s="28">
        <f>+K15+K25+K35+K45+K55+K65+K75+K85+K95+K105+K115+K125+K135</f>
        <v>135435435.68000001</v>
      </c>
      <c r="L141" s="28">
        <f>+L15+L25+L35+L45+L55+L65+L75+L85+L95+L105+L115+L125+L135</f>
        <v>153709973.87</v>
      </c>
      <c r="M141" s="32">
        <f>(+K141-L141)/L141</f>
        <v>-0.11888973584404915</v>
      </c>
      <c r="N141" s="10"/>
      <c r="R141" s="2"/>
    </row>
    <row r="142" spans="1:18" ht="15.75" thickTop="1" x14ac:dyDescent="0.2">
      <c r="A142" s="66"/>
      <c r="B142" s="67"/>
      <c r="C142" s="68"/>
      <c r="D142" s="67"/>
      <c r="E142" s="67"/>
      <c r="F142" s="67"/>
      <c r="G142" s="67"/>
      <c r="H142" s="67"/>
      <c r="I142" s="67"/>
      <c r="J142" s="67"/>
      <c r="K142" s="68"/>
      <c r="L142" s="68"/>
      <c r="M142" s="67"/>
      <c r="R142" s="2"/>
    </row>
    <row r="143" spans="1:18" ht="18.75" x14ac:dyDescent="0.3">
      <c r="A143" s="264" t="s">
        <v>20</v>
      </c>
      <c r="B143" s="70"/>
      <c r="C143" s="71"/>
      <c r="D143" s="71"/>
      <c r="E143" s="71"/>
      <c r="F143" s="71"/>
      <c r="G143" s="71"/>
      <c r="H143" s="71"/>
      <c r="I143" s="71"/>
      <c r="J143" s="71"/>
      <c r="K143" s="198"/>
      <c r="L143" s="198"/>
      <c r="M143" s="71"/>
      <c r="N143" s="2"/>
      <c r="O143" s="2"/>
      <c r="P143" s="2"/>
      <c r="Q143" s="2"/>
      <c r="R143" s="2"/>
    </row>
    <row r="144" spans="1:18" ht="18" x14ac:dyDescent="0.25">
      <c r="A144" s="69"/>
      <c r="B144" s="70"/>
      <c r="C144" s="71"/>
      <c r="D144" s="71"/>
      <c r="E144" s="71"/>
      <c r="F144" s="71"/>
      <c r="G144" s="71"/>
      <c r="H144" s="71"/>
      <c r="I144" s="71"/>
      <c r="J144" s="71"/>
      <c r="K144" s="198"/>
      <c r="L144" s="198"/>
      <c r="M144" s="71"/>
      <c r="N144" s="2"/>
      <c r="O144" s="2"/>
      <c r="P144" s="2"/>
      <c r="Q144" s="2"/>
      <c r="R144" s="2"/>
    </row>
    <row r="145" spans="1:18" ht="15.75" x14ac:dyDescent="0.25">
      <c r="A145" s="72"/>
      <c r="B145" s="73"/>
      <c r="C145" s="74"/>
      <c r="D145" s="74"/>
      <c r="E145" s="74"/>
      <c r="F145" s="74"/>
      <c r="G145" s="74"/>
      <c r="H145" s="74"/>
      <c r="I145" s="74"/>
      <c r="J145" s="74"/>
      <c r="K145" s="192"/>
      <c r="L145" s="192"/>
      <c r="M145" s="75"/>
      <c r="N145" s="2"/>
      <c r="O145" s="2"/>
      <c r="P145" s="2"/>
      <c r="Q145" s="2"/>
      <c r="R145" s="2"/>
    </row>
    <row r="146" spans="1:18" x14ac:dyDescent="0.2">
      <c r="A146" s="2"/>
      <c r="B146" s="73"/>
      <c r="C146" s="74"/>
      <c r="D146" s="74"/>
      <c r="E146" s="74"/>
      <c r="F146" s="74"/>
      <c r="G146" s="74"/>
      <c r="H146" s="74"/>
      <c r="I146" s="74"/>
      <c r="J146" s="74"/>
      <c r="K146" s="192"/>
      <c r="L146" s="192"/>
      <c r="M146" s="75"/>
      <c r="N146" s="2"/>
      <c r="O146" s="2"/>
      <c r="P146" s="2"/>
      <c r="Q146" s="2"/>
      <c r="R146" s="2"/>
    </row>
    <row r="147" spans="1:18" x14ac:dyDescent="0.2">
      <c r="A147" s="2"/>
      <c r="B147" s="73"/>
      <c r="C147" s="74"/>
      <c r="D147" s="74"/>
      <c r="E147" s="74"/>
      <c r="F147" s="74"/>
      <c r="G147" s="74"/>
      <c r="H147" s="74"/>
      <c r="I147" s="74"/>
      <c r="J147" s="74"/>
      <c r="K147" s="192"/>
      <c r="L147" s="192"/>
      <c r="M147" s="75"/>
      <c r="N147" s="2"/>
      <c r="O147" s="2"/>
      <c r="P147" s="2"/>
      <c r="Q147" s="2"/>
      <c r="R147" s="2"/>
    </row>
    <row r="148" spans="1:18" x14ac:dyDescent="0.2">
      <c r="A148" s="2"/>
      <c r="B148" s="73"/>
      <c r="C148" s="74"/>
      <c r="D148" s="74"/>
      <c r="E148" s="74"/>
      <c r="F148" s="74"/>
      <c r="G148" s="74"/>
      <c r="H148" s="74"/>
      <c r="I148" s="74"/>
      <c r="J148" s="74"/>
      <c r="K148" s="192"/>
      <c r="L148" s="192"/>
      <c r="M148" s="75"/>
      <c r="N148" s="2"/>
      <c r="O148" s="2"/>
      <c r="P148" s="2"/>
      <c r="Q148" s="2"/>
      <c r="R148" s="2"/>
    </row>
    <row r="149" spans="1:18" x14ac:dyDescent="0.2">
      <c r="A149" s="2"/>
      <c r="B149" s="73"/>
      <c r="C149" s="74"/>
      <c r="D149" s="74"/>
      <c r="E149" s="74"/>
      <c r="F149" s="74"/>
      <c r="G149" s="74"/>
      <c r="H149" s="74"/>
      <c r="I149" s="74"/>
      <c r="J149" s="74"/>
      <c r="K149" s="192"/>
      <c r="L149" s="192"/>
      <c r="M149" s="75"/>
      <c r="N149" s="2"/>
      <c r="O149" s="2"/>
      <c r="P149" s="2"/>
      <c r="Q149" s="2"/>
      <c r="R149" s="2"/>
    </row>
    <row r="150" spans="1:18" x14ac:dyDescent="0.2">
      <c r="A150" s="2"/>
      <c r="B150" s="73"/>
      <c r="C150" s="74"/>
      <c r="D150" s="74"/>
      <c r="E150" s="74"/>
      <c r="F150" s="74"/>
      <c r="G150" s="74"/>
      <c r="H150" s="74"/>
      <c r="I150" s="74"/>
      <c r="J150" s="74"/>
      <c r="K150" s="192"/>
      <c r="L150" s="192"/>
      <c r="M150" s="75"/>
      <c r="N150" s="2"/>
      <c r="O150" s="2"/>
      <c r="P150" s="2"/>
      <c r="Q150" s="2"/>
      <c r="R150" s="2"/>
    </row>
    <row r="151" spans="1:18" x14ac:dyDescent="0.2">
      <c r="A151" s="2"/>
      <c r="B151" s="73"/>
      <c r="C151" s="74"/>
      <c r="D151" s="74"/>
      <c r="E151" s="74"/>
      <c r="F151" s="74"/>
      <c r="G151" s="74"/>
      <c r="H151" s="74"/>
      <c r="I151" s="74"/>
      <c r="J151" s="74"/>
      <c r="K151" s="192"/>
      <c r="L151" s="192"/>
      <c r="M151" s="75"/>
      <c r="N151" s="2"/>
      <c r="O151" s="2"/>
      <c r="P151" s="2"/>
      <c r="Q151" s="2"/>
      <c r="R151" s="2"/>
    </row>
    <row r="152" spans="1:18" x14ac:dyDescent="0.2">
      <c r="A152" s="2"/>
      <c r="B152" s="73"/>
      <c r="C152" s="74"/>
      <c r="D152" s="74"/>
      <c r="E152" s="74"/>
      <c r="F152" s="74"/>
      <c r="G152" s="74"/>
      <c r="H152" s="74"/>
      <c r="I152" s="74"/>
      <c r="J152" s="74"/>
      <c r="K152" s="192"/>
      <c r="L152" s="192"/>
      <c r="M152" s="75"/>
      <c r="N152" s="2"/>
      <c r="O152" s="2"/>
      <c r="P152" s="2"/>
      <c r="Q152" s="2"/>
      <c r="R152" s="2"/>
    </row>
    <row r="153" spans="1:18" x14ac:dyDescent="0.2">
      <c r="A153" s="2"/>
      <c r="B153" s="73"/>
      <c r="C153" s="74"/>
      <c r="D153" s="74"/>
      <c r="E153" s="74"/>
      <c r="F153" s="74"/>
      <c r="G153" s="74"/>
      <c r="H153" s="74"/>
      <c r="I153" s="74"/>
      <c r="J153" s="74"/>
      <c r="K153" s="192"/>
      <c r="L153" s="192"/>
      <c r="M153" s="75"/>
      <c r="N153" s="2"/>
      <c r="O153" s="2"/>
      <c r="P153" s="2"/>
      <c r="Q153" s="2"/>
      <c r="R153" s="2"/>
    </row>
    <row r="154" spans="1:18" x14ac:dyDescent="0.2">
      <c r="A154" s="2"/>
      <c r="B154" s="73"/>
      <c r="C154" s="74"/>
      <c r="D154" s="74"/>
      <c r="E154" s="74"/>
      <c r="F154" s="74"/>
      <c r="G154" s="74"/>
      <c r="H154" s="74"/>
      <c r="I154" s="74"/>
      <c r="J154" s="74"/>
      <c r="K154" s="192"/>
      <c r="L154" s="192"/>
      <c r="M154" s="74"/>
      <c r="N154" s="2"/>
      <c r="O154" s="2"/>
      <c r="P154" s="2"/>
      <c r="Q154" s="2"/>
      <c r="R154" s="2"/>
    </row>
    <row r="155" spans="1:18" x14ac:dyDescent="0.2">
      <c r="A155" s="2"/>
      <c r="B155" s="73"/>
      <c r="C155" s="74"/>
      <c r="D155" s="74"/>
      <c r="E155" s="74"/>
      <c r="F155" s="74"/>
      <c r="G155" s="74"/>
      <c r="H155" s="74"/>
      <c r="I155" s="74"/>
      <c r="J155" s="74"/>
      <c r="K155" s="192"/>
      <c r="L155" s="192"/>
      <c r="M155" s="74"/>
      <c r="N155" s="2"/>
      <c r="O155" s="2"/>
      <c r="P155" s="2"/>
      <c r="Q155" s="2"/>
      <c r="R155" s="2"/>
    </row>
    <row r="156" spans="1:18" x14ac:dyDescent="0.2">
      <c r="A156" s="2"/>
      <c r="B156" s="70"/>
      <c r="C156" s="74"/>
      <c r="D156" s="74"/>
      <c r="E156" s="74"/>
      <c r="F156" s="74"/>
      <c r="G156" s="74"/>
      <c r="H156" s="74"/>
      <c r="I156" s="74"/>
      <c r="J156" s="74"/>
      <c r="K156" s="192"/>
      <c r="L156" s="192"/>
      <c r="M156" s="74"/>
      <c r="N156" s="2"/>
      <c r="O156" s="2"/>
      <c r="P156" s="2"/>
      <c r="Q156" s="2"/>
      <c r="R156" s="2"/>
    </row>
    <row r="157" spans="1:18" ht="15.75" x14ac:dyDescent="0.25">
      <c r="A157" s="76"/>
      <c r="B157" s="70"/>
      <c r="C157" s="74"/>
      <c r="D157" s="74"/>
      <c r="E157" s="74"/>
      <c r="F157" s="74"/>
      <c r="G157" s="74"/>
      <c r="H157" s="74"/>
      <c r="I157" s="74"/>
      <c r="J157" s="74"/>
      <c r="K157" s="192"/>
      <c r="L157" s="192"/>
      <c r="M157" s="75"/>
      <c r="N157" s="2"/>
      <c r="O157" s="2"/>
      <c r="P157" s="2"/>
      <c r="Q157" s="2"/>
      <c r="R157" s="2"/>
    </row>
    <row r="158" spans="1:18" ht="15.75" x14ac:dyDescent="0.25">
      <c r="A158" s="76"/>
      <c r="B158" s="70"/>
      <c r="C158" s="74"/>
      <c r="D158" s="74"/>
      <c r="E158" s="74"/>
      <c r="F158" s="74"/>
      <c r="G158" s="74"/>
      <c r="H158" s="74"/>
      <c r="I158" s="74"/>
      <c r="J158" s="74"/>
      <c r="K158" s="192"/>
      <c r="L158" s="192"/>
      <c r="M158" s="75"/>
      <c r="N158" s="2"/>
      <c r="O158" s="2"/>
      <c r="P158" s="2"/>
      <c r="Q158" s="2"/>
      <c r="R158" s="2"/>
    </row>
    <row r="159" spans="1:18" ht="15.75" x14ac:dyDescent="0.25">
      <c r="A159" s="76"/>
      <c r="B159" s="70"/>
      <c r="C159" s="74"/>
      <c r="D159" s="74"/>
      <c r="E159" s="74"/>
      <c r="F159" s="74"/>
      <c r="G159" s="74"/>
      <c r="H159" s="74"/>
      <c r="I159" s="74"/>
      <c r="J159" s="74"/>
      <c r="K159" s="192"/>
      <c r="L159" s="192"/>
      <c r="M159" s="75"/>
      <c r="N159" s="2"/>
      <c r="O159" s="2"/>
      <c r="P159" s="2"/>
      <c r="Q159" s="2"/>
      <c r="R159" s="2"/>
    </row>
    <row r="160" spans="1:18" x14ac:dyDescent="0.2">
      <c r="A160" s="2"/>
      <c r="B160" s="70"/>
      <c r="C160" s="74"/>
      <c r="D160" s="74"/>
      <c r="E160" s="74"/>
      <c r="F160" s="74"/>
      <c r="G160" s="74"/>
      <c r="H160" s="74"/>
      <c r="I160" s="74"/>
      <c r="J160" s="74"/>
      <c r="K160" s="192"/>
      <c r="L160" s="192"/>
      <c r="M160" s="75"/>
      <c r="N160" s="2"/>
      <c r="O160" s="2"/>
      <c r="P160" s="2"/>
      <c r="Q160" s="2"/>
      <c r="R160" s="2"/>
    </row>
    <row r="161" spans="1:18" ht="15.75" x14ac:dyDescent="0.25">
      <c r="A161" s="76"/>
      <c r="B161" s="73"/>
      <c r="C161" s="74"/>
      <c r="D161" s="74"/>
      <c r="E161" s="74"/>
      <c r="F161" s="74"/>
      <c r="G161" s="74"/>
      <c r="H161" s="74"/>
      <c r="I161" s="74"/>
      <c r="J161" s="74"/>
      <c r="K161" s="192"/>
      <c r="L161" s="192"/>
      <c r="M161" s="75"/>
      <c r="N161" s="2"/>
      <c r="O161" s="2"/>
      <c r="P161" s="2"/>
      <c r="Q161" s="2"/>
      <c r="R161" s="2"/>
    </row>
    <row r="162" spans="1:18" x14ac:dyDescent="0.2">
      <c r="A162" s="2"/>
      <c r="B162" s="73"/>
      <c r="C162" s="74"/>
      <c r="D162" s="74"/>
      <c r="E162" s="74"/>
      <c r="F162" s="74"/>
      <c r="G162" s="74"/>
      <c r="H162" s="74"/>
      <c r="I162" s="74"/>
      <c r="J162" s="74"/>
      <c r="K162" s="192"/>
      <c r="L162" s="192"/>
      <c r="M162" s="75"/>
      <c r="N162" s="2"/>
      <c r="O162" s="2"/>
      <c r="P162" s="2"/>
      <c r="Q162" s="2"/>
      <c r="R162" s="2"/>
    </row>
    <row r="163" spans="1:18" x14ac:dyDescent="0.2">
      <c r="A163" s="2"/>
      <c r="B163" s="73"/>
      <c r="C163" s="74"/>
      <c r="D163" s="74"/>
      <c r="E163" s="74"/>
      <c r="F163" s="74"/>
      <c r="G163" s="74"/>
      <c r="H163" s="74"/>
      <c r="I163" s="74"/>
      <c r="J163" s="74"/>
      <c r="K163" s="192"/>
      <c r="L163" s="192"/>
      <c r="M163" s="75"/>
      <c r="N163" s="2"/>
      <c r="O163" s="2"/>
      <c r="P163" s="2"/>
      <c r="Q163" s="2"/>
      <c r="R163" s="2"/>
    </row>
    <row r="164" spans="1:18" x14ac:dyDescent="0.2">
      <c r="A164" s="2"/>
      <c r="B164" s="77"/>
      <c r="C164" s="74"/>
      <c r="D164" s="74"/>
      <c r="E164" s="74"/>
      <c r="F164" s="74"/>
      <c r="G164" s="74"/>
      <c r="H164" s="74"/>
      <c r="I164" s="74"/>
      <c r="J164" s="74"/>
      <c r="K164" s="192"/>
      <c r="L164" s="192"/>
      <c r="M164" s="75"/>
      <c r="N164" s="2"/>
      <c r="O164" s="2"/>
      <c r="P164" s="2"/>
      <c r="Q164" s="2"/>
      <c r="R164" s="2"/>
    </row>
    <row r="165" spans="1:18" x14ac:dyDescent="0.2">
      <c r="A165" s="2"/>
      <c r="B165" s="77"/>
      <c r="C165" s="74"/>
      <c r="D165" s="74"/>
      <c r="E165" s="74"/>
      <c r="F165" s="74"/>
      <c r="G165" s="74"/>
      <c r="H165" s="74"/>
      <c r="I165" s="74"/>
      <c r="J165" s="74"/>
      <c r="K165" s="192"/>
      <c r="L165" s="192"/>
      <c r="M165" s="75"/>
      <c r="N165" s="2"/>
      <c r="O165" s="2"/>
      <c r="P165" s="2"/>
      <c r="Q165" s="2"/>
      <c r="R165" s="2"/>
    </row>
    <row r="166" spans="1:18" x14ac:dyDescent="0.2">
      <c r="A166" s="2"/>
      <c r="B166" s="77"/>
      <c r="C166" s="74"/>
      <c r="D166" s="74"/>
      <c r="E166" s="74"/>
      <c r="F166" s="74"/>
      <c r="G166" s="74"/>
      <c r="H166" s="74"/>
      <c r="I166" s="74"/>
      <c r="J166" s="74"/>
      <c r="K166" s="192"/>
      <c r="L166" s="192"/>
      <c r="M166" s="75"/>
      <c r="N166" s="2"/>
      <c r="O166" s="2"/>
      <c r="P166" s="2"/>
      <c r="Q166" s="2"/>
      <c r="R166" s="2"/>
    </row>
    <row r="167" spans="1:18" x14ac:dyDescent="0.2">
      <c r="A167" s="2"/>
      <c r="B167" s="77"/>
      <c r="C167" s="74"/>
      <c r="D167" s="74"/>
      <c r="E167" s="74"/>
      <c r="F167" s="74"/>
      <c r="G167" s="74"/>
      <c r="H167" s="74"/>
      <c r="I167" s="74"/>
      <c r="J167" s="74"/>
      <c r="K167" s="192"/>
      <c r="L167" s="192"/>
      <c r="M167" s="75"/>
      <c r="N167" s="2"/>
      <c r="O167" s="2"/>
      <c r="P167" s="2"/>
      <c r="Q167" s="2"/>
      <c r="R167" s="2"/>
    </row>
    <row r="168" spans="1:18" x14ac:dyDescent="0.2">
      <c r="A168" s="2"/>
      <c r="B168" s="77"/>
      <c r="C168" s="74"/>
      <c r="D168" s="74"/>
      <c r="E168" s="74"/>
      <c r="F168" s="74"/>
      <c r="G168" s="74"/>
      <c r="H168" s="74"/>
      <c r="I168" s="74"/>
      <c r="J168" s="74"/>
      <c r="K168" s="192"/>
      <c r="L168" s="192"/>
      <c r="M168" s="75"/>
      <c r="N168" s="2"/>
      <c r="O168" s="2"/>
      <c r="P168" s="2"/>
      <c r="Q168" s="2"/>
      <c r="R168" s="2"/>
    </row>
    <row r="169" spans="1:18" x14ac:dyDescent="0.2">
      <c r="A169" s="2"/>
      <c r="B169" s="77"/>
      <c r="C169" s="74"/>
      <c r="D169" s="74"/>
      <c r="E169" s="74"/>
      <c r="F169" s="74"/>
      <c r="G169" s="74"/>
      <c r="H169" s="74"/>
      <c r="I169" s="74"/>
      <c r="J169" s="74"/>
      <c r="K169" s="192"/>
      <c r="L169" s="192"/>
      <c r="M169" s="75"/>
      <c r="N169" s="2"/>
      <c r="O169" s="2"/>
      <c r="P169" s="2"/>
      <c r="Q169" s="2"/>
      <c r="R169" s="2"/>
    </row>
    <row r="170" spans="1:18" x14ac:dyDescent="0.2">
      <c r="A170" s="2"/>
      <c r="B170" s="77"/>
      <c r="C170" s="74"/>
      <c r="D170" s="74"/>
      <c r="E170" s="74"/>
      <c r="F170" s="74"/>
      <c r="G170" s="74"/>
      <c r="H170" s="74"/>
      <c r="I170" s="74"/>
      <c r="J170" s="74"/>
      <c r="K170" s="192"/>
      <c r="L170" s="192"/>
      <c r="M170" s="75"/>
      <c r="N170" s="2"/>
      <c r="O170" s="2"/>
      <c r="P170" s="2"/>
      <c r="Q170" s="2"/>
      <c r="R170" s="2"/>
    </row>
    <row r="171" spans="1:18" x14ac:dyDescent="0.2">
      <c r="A171" s="2"/>
      <c r="B171" s="77"/>
      <c r="C171" s="74"/>
      <c r="D171" s="74"/>
      <c r="E171" s="74"/>
      <c r="F171" s="74"/>
      <c r="G171" s="74"/>
      <c r="H171" s="74"/>
      <c r="I171" s="74"/>
      <c r="J171" s="74"/>
      <c r="K171" s="192"/>
      <c r="L171" s="192"/>
      <c r="M171" s="75"/>
      <c r="N171" s="2"/>
      <c r="O171" s="2"/>
      <c r="P171" s="2"/>
      <c r="Q171" s="2"/>
      <c r="R171" s="2"/>
    </row>
    <row r="172" spans="1:18" x14ac:dyDescent="0.2">
      <c r="A172" s="2"/>
      <c r="B172" s="77"/>
      <c r="C172" s="74"/>
      <c r="D172" s="74"/>
      <c r="E172" s="74"/>
      <c r="F172" s="74"/>
      <c r="G172" s="74"/>
      <c r="H172" s="74"/>
      <c r="I172" s="74"/>
      <c r="J172" s="74"/>
      <c r="K172" s="192"/>
      <c r="L172" s="192"/>
      <c r="M172" s="75"/>
      <c r="N172" s="2"/>
      <c r="O172" s="2"/>
      <c r="P172" s="2"/>
      <c r="Q172" s="2"/>
      <c r="R172" s="2"/>
    </row>
    <row r="173" spans="1:18" x14ac:dyDescent="0.2">
      <c r="A173" s="2"/>
      <c r="B173" s="2"/>
      <c r="C173" s="74"/>
      <c r="D173" s="74"/>
      <c r="E173" s="74"/>
      <c r="F173" s="74"/>
      <c r="G173" s="74"/>
      <c r="H173" s="74"/>
      <c r="I173" s="74"/>
      <c r="J173" s="74"/>
      <c r="K173" s="192"/>
      <c r="L173" s="192"/>
      <c r="M173" s="75"/>
      <c r="N173" s="2"/>
      <c r="O173" s="2"/>
      <c r="P173" s="2"/>
      <c r="Q173" s="2"/>
      <c r="R173" s="2"/>
    </row>
    <row r="174" spans="1:18" ht="15.75" x14ac:dyDescent="0.25">
      <c r="A174" s="76"/>
      <c r="B174" s="2"/>
      <c r="C174" s="74"/>
      <c r="D174" s="74"/>
      <c r="E174" s="74"/>
      <c r="F174" s="74"/>
      <c r="G174" s="74"/>
      <c r="H174" s="74"/>
      <c r="I174" s="74"/>
      <c r="J174" s="74"/>
      <c r="K174" s="192"/>
      <c r="L174" s="192"/>
      <c r="M174" s="75"/>
      <c r="N174" s="2"/>
      <c r="O174" s="2"/>
      <c r="P174" s="2"/>
      <c r="Q174" s="2"/>
      <c r="R174" s="2"/>
    </row>
    <row r="175" spans="1:18" x14ac:dyDescent="0.2">
      <c r="A175" s="2"/>
      <c r="B175" s="2"/>
      <c r="C175" s="74"/>
      <c r="D175" s="74"/>
      <c r="E175" s="74"/>
      <c r="F175" s="74"/>
      <c r="G175" s="74"/>
      <c r="H175" s="74"/>
      <c r="I175" s="74"/>
      <c r="J175" s="74"/>
      <c r="K175" s="192"/>
      <c r="L175" s="192"/>
      <c r="M175" s="75"/>
      <c r="N175" s="2"/>
      <c r="O175" s="2"/>
      <c r="P175" s="2"/>
      <c r="Q175" s="2"/>
      <c r="R175" s="2"/>
    </row>
    <row r="176" spans="1:18" x14ac:dyDescent="0.2">
      <c r="A176" s="2"/>
      <c r="B176" s="2"/>
      <c r="C176" s="74"/>
      <c r="D176" s="74"/>
      <c r="E176" s="74"/>
      <c r="F176" s="74"/>
      <c r="G176" s="74"/>
      <c r="H176" s="74"/>
      <c r="I176" s="74"/>
      <c r="J176" s="74"/>
      <c r="K176" s="192"/>
      <c r="L176" s="192"/>
      <c r="M176" s="75"/>
      <c r="N176" s="2"/>
      <c r="O176" s="2"/>
      <c r="P176" s="2"/>
      <c r="Q176" s="2"/>
      <c r="R176" s="2"/>
    </row>
    <row r="177" spans="1:18" ht="15.75" x14ac:dyDescent="0.25">
      <c r="A177" s="76"/>
      <c r="B177" s="2"/>
      <c r="C177" s="74"/>
      <c r="D177" s="74"/>
      <c r="E177" s="74"/>
      <c r="F177" s="74"/>
      <c r="G177" s="74"/>
      <c r="H177" s="74"/>
      <c r="I177" s="74"/>
      <c r="J177" s="74"/>
      <c r="K177" s="192"/>
      <c r="L177" s="192"/>
      <c r="M177" s="75"/>
      <c r="N177" s="2"/>
      <c r="O177" s="2"/>
      <c r="P177" s="2"/>
      <c r="Q177" s="2"/>
      <c r="R177" s="2"/>
    </row>
    <row r="178" spans="1:18" ht="15.75" x14ac:dyDescent="0.25">
      <c r="A178" s="76"/>
      <c r="B178" s="2"/>
      <c r="C178" s="74"/>
      <c r="D178" s="74"/>
      <c r="E178" s="74"/>
      <c r="F178" s="74"/>
      <c r="G178" s="74"/>
      <c r="H178" s="74"/>
      <c r="I178" s="74"/>
      <c r="J178" s="74"/>
      <c r="K178" s="192"/>
      <c r="L178" s="192"/>
      <c r="M178" s="75"/>
      <c r="N178" s="2"/>
      <c r="O178" s="2"/>
      <c r="P178" s="2"/>
      <c r="Q178" s="2"/>
      <c r="R178" s="2"/>
    </row>
    <row r="179" spans="1:18" ht="15.75" x14ac:dyDescent="0.25">
      <c r="A179" s="76"/>
      <c r="B179" s="77"/>
      <c r="C179" s="74"/>
      <c r="D179" s="74"/>
      <c r="E179" s="74"/>
      <c r="F179" s="74"/>
      <c r="G179" s="74"/>
      <c r="H179" s="74"/>
      <c r="I179" s="74"/>
      <c r="J179" s="74"/>
      <c r="K179" s="192"/>
      <c r="L179" s="192"/>
      <c r="M179" s="75"/>
      <c r="N179" s="2"/>
      <c r="O179" s="2"/>
      <c r="P179" s="2"/>
      <c r="Q179" s="2"/>
      <c r="R179" s="2"/>
    </row>
    <row r="180" spans="1:18" x14ac:dyDescent="0.2">
      <c r="A180" s="2"/>
      <c r="B180" s="77"/>
      <c r="C180" s="74"/>
      <c r="D180" s="74"/>
      <c r="E180" s="74"/>
      <c r="F180" s="74"/>
      <c r="G180" s="74"/>
      <c r="H180" s="74"/>
      <c r="I180" s="74"/>
      <c r="J180" s="74"/>
      <c r="K180" s="192"/>
      <c r="L180" s="192"/>
      <c r="M180" s="75"/>
      <c r="N180" s="2"/>
      <c r="O180" s="2"/>
      <c r="P180" s="2"/>
      <c r="Q180" s="2"/>
      <c r="R180" s="2"/>
    </row>
    <row r="181" spans="1:18" x14ac:dyDescent="0.2">
      <c r="A181" s="2"/>
      <c r="B181" s="77"/>
      <c r="C181" s="74"/>
      <c r="D181" s="74"/>
      <c r="E181" s="74"/>
      <c r="F181" s="74"/>
      <c r="G181" s="74"/>
      <c r="H181" s="74"/>
      <c r="I181" s="74"/>
      <c r="J181" s="74"/>
      <c r="K181" s="192"/>
      <c r="L181" s="192"/>
      <c r="M181" s="75"/>
      <c r="N181" s="2"/>
      <c r="O181" s="2"/>
      <c r="P181" s="2"/>
      <c r="Q181" s="2"/>
      <c r="R181" s="2"/>
    </row>
    <row r="182" spans="1:18" x14ac:dyDescent="0.2">
      <c r="A182" s="2"/>
      <c r="B182" s="77"/>
      <c r="C182" s="74"/>
      <c r="D182" s="74"/>
      <c r="E182" s="74"/>
      <c r="F182" s="74"/>
      <c r="G182" s="74"/>
      <c r="H182" s="74"/>
      <c r="I182" s="74"/>
      <c r="J182" s="74"/>
      <c r="K182" s="192"/>
      <c r="L182" s="192"/>
      <c r="M182" s="75"/>
      <c r="N182" s="2"/>
      <c r="O182" s="2"/>
      <c r="P182" s="2"/>
      <c r="Q182" s="2"/>
      <c r="R182" s="2"/>
    </row>
    <row r="183" spans="1:18" x14ac:dyDescent="0.2">
      <c r="A183" s="2"/>
      <c r="B183" s="77"/>
      <c r="C183" s="74"/>
      <c r="D183" s="74"/>
      <c r="E183" s="74"/>
      <c r="F183" s="74"/>
      <c r="G183" s="74"/>
      <c r="H183" s="74"/>
      <c r="I183" s="74"/>
      <c r="J183" s="74"/>
      <c r="K183" s="192"/>
      <c r="L183" s="192"/>
      <c r="M183" s="75"/>
      <c r="N183" s="2"/>
      <c r="O183" s="2"/>
      <c r="P183" s="2"/>
      <c r="Q183" s="2"/>
      <c r="R183" s="2"/>
    </row>
    <row r="184" spans="1:18" x14ac:dyDescent="0.2">
      <c r="A184" s="2"/>
      <c r="B184" s="77"/>
      <c r="C184" s="74"/>
      <c r="D184" s="74"/>
      <c r="E184" s="74"/>
      <c r="F184" s="74"/>
      <c r="G184" s="74"/>
      <c r="H184" s="74"/>
      <c r="I184" s="74"/>
      <c r="J184" s="74"/>
      <c r="K184" s="192"/>
      <c r="L184" s="192"/>
      <c r="M184" s="75"/>
      <c r="N184" s="2"/>
      <c r="O184" s="2"/>
      <c r="P184" s="2"/>
      <c r="Q184" s="2"/>
      <c r="R184" s="2"/>
    </row>
    <row r="185" spans="1:18" x14ac:dyDescent="0.2">
      <c r="A185" s="2"/>
      <c r="B185" s="77"/>
      <c r="C185" s="74"/>
      <c r="D185" s="74"/>
      <c r="E185" s="74"/>
      <c r="F185" s="74"/>
      <c r="G185" s="74"/>
      <c r="H185" s="74"/>
      <c r="I185" s="74"/>
      <c r="J185" s="74"/>
      <c r="K185" s="192"/>
      <c r="L185" s="192"/>
      <c r="M185" s="75"/>
      <c r="N185" s="2"/>
      <c r="O185" s="2"/>
      <c r="P185" s="2"/>
      <c r="Q185" s="2"/>
      <c r="R185" s="2"/>
    </row>
    <row r="186" spans="1:18" x14ac:dyDescent="0.2">
      <c r="A186" s="2"/>
      <c r="B186" s="77"/>
      <c r="C186" s="74"/>
      <c r="D186" s="74"/>
      <c r="E186" s="74"/>
      <c r="F186" s="74"/>
      <c r="G186" s="74"/>
      <c r="H186" s="74"/>
      <c r="I186" s="74"/>
      <c r="J186" s="74"/>
      <c r="K186" s="192"/>
      <c r="L186" s="192"/>
      <c r="M186" s="75"/>
      <c r="N186" s="2"/>
      <c r="O186" s="2"/>
      <c r="P186" s="2"/>
      <c r="Q186" s="2"/>
      <c r="R186" s="2"/>
    </row>
    <row r="187" spans="1:18" x14ac:dyDescent="0.2">
      <c r="A187" s="2"/>
      <c r="B187" s="77"/>
      <c r="C187" s="74"/>
      <c r="D187" s="74"/>
      <c r="E187" s="74"/>
      <c r="F187" s="74"/>
      <c r="G187" s="74"/>
      <c r="H187" s="74"/>
      <c r="I187" s="74"/>
      <c r="J187" s="74"/>
      <c r="K187" s="192"/>
      <c r="L187" s="192"/>
      <c r="M187" s="75"/>
      <c r="N187" s="2"/>
      <c r="O187" s="2"/>
      <c r="P187" s="2"/>
      <c r="Q187" s="2"/>
      <c r="R187" s="2"/>
    </row>
    <row r="188" spans="1:18" x14ac:dyDescent="0.2">
      <c r="A188" s="2"/>
      <c r="B188" s="77"/>
      <c r="C188" s="74"/>
      <c r="D188" s="74"/>
      <c r="E188" s="74"/>
      <c r="F188" s="74"/>
      <c r="G188" s="74"/>
      <c r="H188" s="74"/>
      <c r="I188" s="74"/>
      <c r="J188" s="74"/>
      <c r="K188" s="192"/>
      <c r="L188" s="192"/>
      <c r="M188" s="75"/>
      <c r="N188" s="2"/>
      <c r="O188" s="2"/>
      <c r="P188" s="2"/>
      <c r="Q188" s="2"/>
      <c r="R188" s="2"/>
    </row>
    <row r="189" spans="1:18" x14ac:dyDescent="0.2">
      <c r="A189" s="2"/>
      <c r="B189" s="77"/>
      <c r="C189" s="74"/>
      <c r="D189" s="74"/>
      <c r="E189" s="74"/>
      <c r="F189" s="74"/>
      <c r="G189" s="74"/>
      <c r="H189" s="74"/>
      <c r="I189" s="74"/>
      <c r="J189" s="74"/>
      <c r="K189" s="192"/>
      <c r="L189" s="192"/>
      <c r="M189" s="75"/>
      <c r="N189" s="2"/>
      <c r="O189" s="2"/>
      <c r="P189" s="2"/>
      <c r="Q189" s="2"/>
      <c r="R189" s="2"/>
    </row>
    <row r="190" spans="1:18" x14ac:dyDescent="0.2">
      <c r="A190" s="2"/>
      <c r="B190" s="77"/>
      <c r="C190" s="74"/>
      <c r="D190" s="74"/>
      <c r="E190" s="74"/>
      <c r="F190" s="74"/>
      <c r="G190" s="74"/>
      <c r="H190" s="74"/>
      <c r="I190" s="74"/>
      <c r="J190" s="74"/>
      <c r="K190" s="192"/>
      <c r="L190" s="192"/>
      <c r="M190" s="75"/>
      <c r="N190" s="2"/>
      <c r="O190" s="2"/>
      <c r="P190" s="2"/>
      <c r="Q190" s="2"/>
      <c r="R190" s="2"/>
    </row>
    <row r="191" spans="1:18" x14ac:dyDescent="0.2">
      <c r="A191" s="2"/>
      <c r="B191" s="2"/>
      <c r="C191" s="74"/>
      <c r="D191" s="74"/>
      <c r="E191" s="74"/>
      <c r="F191" s="74"/>
      <c r="G191" s="74"/>
      <c r="H191" s="74"/>
      <c r="I191" s="74"/>
      <c r="J191" s="74"/>
      <c r="K191" s="192"/>
      <c r="L191" s="192"/>
      <c r="M191" s="75"/>
      <c r="N191" s="2"/>
      <c r="O191" s="2"/>
      <c r="P191" s="2"/>
      <c r="Q191" s="2"/>
      <c r="R191" s="2"/>
    </row>
    <row r="192" spans="1:18" ht="15.75" x14ac:dyDescent="0.25">
      <c r="A192" s="76"/>
      <c r="B192" s="2"/>
      <c r="C192" s="74"/>
      <c r="D192" s="74"/>
      <c r="E192" s="74"/>
      <c r="F192" s="74"/>
      <c r="G192" s="74"/>
      <c r="H192" s="74"/>
      <c r="I192" s="74"/>
      <c r="J192" s="74"/>
      <c r="K192" s="192"/>
      <c r="L192" s="192"/>
      <c r="M192" s="75"/>
      <c r="N192" s="2"/>
      <c r="O192" s="2"/>
      <c r="P192" s="2"/>
      <c r="Q192" s="2"/>
      <c r="R192" s="2"/>
    </row>
    <row r="193" spans="1:18" x14ac:dyDescent="0.2">
      <c r="A193" s="2"/>
      <c r="B193" s="2"/>
      <c r="C193" s="74"/>
      <c r="D193" s="74"/>
      <c r="E193" s="74"/>
      <c r="F193" s="74"/>
      <c r="G193" s="74"/>
      <c r="H193" s="74"/>
      <c r="I193" s="74"/>
      <c r="J193" s="74"/>
      <c r="K193" s="192"/>
      <c r="L193" s="192"/>
      <c r="M193" s="75"/>
      <c r="N193" s="2"/>
      <c r="O193" s="2"/>
      <c r="P193" s="2"/>
      <c r="Q193" s="2"/>
      <c r="R193" s="2"/>
    </row>
    <row r="194" spans="1:18" x14ac:dyDescent="0.2">
      <c r="A194" s="2"/>
      <c r="B194" s="2"/>
      <c r="C194" s="74"/>
      <c r="D194" s="74"/>
      <c r="E194" s="74"/>
      <c r="F194" s="74"/>
      <c r="G194" s="74"/>
      <c r="H194" s="74"/>
      <c r="I194" s="74"/>
      <c r="J194" s="74"/>
      <c r="K194" s="192"/>
      <c r="L194" s="192"/>
      <c r="M194" s="75"/>
      <c r="N194" s="2"/>
      <c r="O194" s="2"/>
      <c r="P194" s="2"/>
      <c r="Q194" s="2"/>
      <c r="R194" s="2"/>
    </row>
    <row r="195" spans="1:18" ht="15.75" x14ac:dyDescent="0.25">
      <c r="A195" s="76"/>
      <c r="B195" s="77"/>
      <c r="C195" s="74"/>
      <c r="D195" s="74"/>
      <c r="E195" s="74"/>
      <c r="F195" s="74"/>
      <c r="G195" s="74"/>
      <c r="H195" s="74"/>
      <c r="I195" s="74"/>
      <c r="J195" s="74"/>
      <c r="K195" s="192"/>
      <c r="L195" s="192"/>
      <c r="M195" s="75"/>
      <c r="N195" s="2"/>
      <c r="O195" s="2"/>
      <c r="P195" s="2"/>
      <c r="Q195" s="2"/>
      <c r="R195" s="2"/>
    </row>
    <row r="196" spans="1:18" x14ac:dyDescent="0.2">
      <c r="A196" s="2"/>
      <c r="B196" s="77"/>
      <c r="C196" s="74"/>
      <c r="D196" s="74"/>
      <c r="E196" s="74"/>
      <c r="F196" s="74"/>
      <c r="G196" s="74"/>
      <c r="H196" s="74"/>
      <c r="I196" s="74"/>
      <c r="J196" s="74"/>
      <c r="K196" s="192"/>
      <c r="L196" s="192"/>
      <c r="M196" s="75"/>
      <c r="N196" s="2"/>
      <c r="O196" s="2"/>
      <c r="P196" s="2"/>
      <c r="Q196" s="2"/>
      <c r="R196" s="2"/>
    </row>
    <row r="197" spans="1:18" x14ac:dyDescent="0.2">
      <c r="A197" s="2"/>
      <c r="B197" s="77"/>
      <c r="C197" s="74"/>
      <c r="D197" s="74"/>
      <c r="E197" s="74"/>
      <c r="F197" s="74"/>
      <c r="G197" s="74"/>
      <c r="H197" s="74"/>
      <c r="I197" s="74"/>
      <c r="J197" s="74"/>
      <c r="K197" s="192"/>
      <c r="L197" s="192"/>
      <c r="M197" s="75"/>
      <c r="N197" s="2"/>
      <c r="O197" s="2"/>
      <c r="P197" s="2"/>
      <c r="Q197" s="2"/>
      <c r="R197" s="2"/>
    </row>
    <row r="198" spans="1:18" x14ac:dyDescent="0.2">
      <c r="A198" s="2"/>
      <c r="B198" s="2"/>
      <c r="C198" s="74"/>
      <c r="D198" s="74"/>
      <c r="E198" s="74"/>
      <c r="F198" s="74"/>
      <c r="G198" s="74"/>
      <c r="H198" s="74"/>
      <c r="I198" s="74"/>
      <c r="J198" s="74"/>
      <c r="K198" s="192"/>
      <c r="L198" s="192"/>
      <c r="M198" s="75"/>
      <c r="N198" s="2"/>
      <c r="O198" s="2"/>
      <c r="P198" s="2"/>
      <c r="Q198" s="2"/>
      <c r="R198" s="2"/>
    </row>
    <row r="199" spans="1:18" x14ac:dyDescent="0.2">
      <c r="A199" s="2"/>
      <c r="B199" s="2"/>
      <c r="C199" s="74"/>
      <c r="D199" s="74"/>
      <c r="E199" s="74"/>
      <c r="F199" s="74"/>
      <c r="G199" s="74"/>
      <c r="H199" s="74"/>
      <c r="I199" s="74"/>
      <c r="J199" s="74"/>
      <c r="K199" s="192"/>
      <c r="L199" s="192"/>
      <c r="M199" s="75"/>
      <c r="N199" s="2"/>
      <c r="O199" s="2"/>
      <c r="P199" s="2"/>
      <c r="Q199" s="2"/>
      <c r="R199" s="2"/>
    </row>
    <row r="200" spans="1:18" x14ac:dyDescent="0.2">
      <c r="A200" s="2"/>
      <c r="B200" s="2"/>
      <c r="C200" s="74"/>
      <c r="D200" s="74"/>
      <c r="E200" s="74"/>
      <c r="F200" s="74"/>
      <c r="G200" s="74"/>
      <c r="H200" s="74"/>
      <c r="I200" s="74"/>
      <c r="J200" s="74"/>
      <c r="K200" s="192"/>
      <c r="L200" s="192"/>
      <c r="M200" s="75"/>
      <c r="N200" s="2"/>
      <c r="O200" s="2"/>
      <c r="P200" s="2"/>
      <c r="Q200" s="2"/>
      <c r="R200" s="2"/>
    </row>
    <row r="201" spans="1:18" ht="15.75" x14ac:dyDescent="0.25">
      <c r="A201" s="76"/>
      <c r="B201" s="2"/>
      <c r="C201" s="74"/>
      <c r="D201" s="74"/>
      <c r="E201" s="74"/>
      <c r="F201" s="74"/>
      <c r="G201" s="74"/>
      <c r="H201" s="74"/>
      <c r="I201" s="74"/>
      <c r="J201" s="74"/>
      <c r="K201" s="192"/>
      <c r="L201" s="192"/>
      <c r="M201" s="75"/>
      <c r="N201" s="2"/>
      <c r="O201" s="2"/>
      <c r="P201" s="2"/>
      <c r="Q201" s="2"/>
      <c r="R201" s="2"/>
    </row>
    <row r="202" spans="1:18" x14ac:dyDescent="0.2">
      <c r="A202" s="2"/>
      <c r="B202" s="2"/>
      <c r="C202" s="74"/>
      <c r="D202" s="74"/>
      <c r="E202" s="74"/>
      <c r="F202" s="74"/>
      <c r="G202" s="74"/>
      <c r="H202" s="74"/>
      <c r="I202" s="74"/>
      <c r="J202" s="74"/>
      <c r="K202" s="192"/>
      <c r="L202" s="192"/>
      <c r="M202" s="75"/>
      <c r="N202" s="2"/>
      <c r="O202" s="2"/>
      <c r="P202" s="2"/>
      <c r="Q202" s="2"/>
      <c r="R202" s="2"/>
    </row>
    <row r="203" spans="1:18" x14ac:dyDescent="0.2">
      <c r="A203" s="2"/>
      <c r="B203" s="2"/>
      <c r="C203" s="74"/>
      <c r="D203" s="74"/>
      <c r="E203" s="74"/>
      <c r="F203" s="74"/>
      <c r="G203" s="74"/>
      <c r="H203" s="74"/>
      <c r="I203" s="74"/>
      <c r="J203" s="74"/>
      <c r="K203" s="192"/>
      <c r="L203" s="192"/>
      <c r="M203" s="75"/>
      <c r="N203" s="2"/>
      <c r="O203" s="2"/>
      <c r="P203" s="2"/>
      <c r="Q203" s="2"/>
      <c r="R203" s="2"/>
    </row>
    <row r="204" spans="1:18" ht="15.75" x14ac:dyDescent="0.25">
      <c r="A204" s="76"/>
      <c r="B204" s="76"/>
      <c r="C204" s="74"/>
      <c r="D204" s="74"/>
      <c r="E204" s="74"/>
      <c r="F204" s="74"/>
      <c r="G204" s="74"/>
      <c r="H204" s="74"/>
      <c r="I204" s="74"/>
      <c r="J204" s="74"/>
      <c r="K204" s="192"/>
      <c r="L204" s="192"/>
      <c r="M204" s="75"/>
      <c r="N204" s="2"/>
      <c r="O204" s="2"/>
      <c r="P204" s="2"/>
      <c r="Q204" s="2"/>
      <c r="R204" s="2"/>
    </row>
    <row r="205" spans="1:18" x14ac:dyDescent="0.2">
      <c r="A205" s="2"/>
      <c r="B205" s="2"/>
      <c r="C205" s="74"/>
      <c r="D205" s="74"/>
      <c r="E205" s="74"/>
      <c r="F205" s="74"/>
      <c r="G205" s="74"/>
      <c r="H205" s="74"/>
      <c r="I205" s="74"/>
      <c r="J205" s="74"/>
      <c r="K205" s="192"/>
      <c r="L205" s="192"/>
      <c r="M205" s="75"/>
      <c r="N205" s="2"/>
      <c r="O205" s="2"/>
      <c r="P205" s="2"/>
      <c r="Q205" s="2"/>
      <c r="R205" s="2"/>
    </row>
    <row r="206" spans="1:18" x14ac:dyDescent="0.2">
      <c r="A206" s="2"/>
      <c r="B206" s="2"/>
      <c r="C206" s="74"/>
      <c r="D206" s="74"/>
      <c r="E206" s="74"/>
      <c r="F206" s="74"/>
      <c r="G206" s="74"/>
      <c r="H206" s="74"/>
      <c r="I206" s="74"/>
      <c r="J206" s="74"/>
      <c r="K206" s="192"/>
      <c r="L206" s="192"/>
      <c r="M206" s="75"/>
      <c r="N206" s="2"/>
      <c r="O206" s="2"/>
      <c r="P206" s="2"/>
      <c r="Q206" s="2"/>
      <c r="R206" s="2"/>
    </row>
    <row r="207" spans="1:18" x14ac:dyDescent="0.2">
      <c r="A207" s="2"/>
      <c r="B207" s="2"/>
      <c r="C207" s="74"/>
      <c r="D207" s="74"/>
      <c r="E207" s="74"/>
      <c r="F207" s="74"/>
      <c r="G207" s="74"/>
      <c r="H207" s="74"/>
      <c r="I207" s="74"/>
      <c r="J207" s="74"/>
      <c r="K207" s="192"/>
      <c r="L207" s="192"/>
      <c r="M207" s="75"/>
      <c r="N207" s="2"/>
      <c r="O207" s="2"/>
      <c r="P207" s="2"/>
      <c r="Q207" s="2"/>
      <c r="R207" s="2"/>
    </row>
    <row r="208" spans="1:18" x14ac:dyDescent="0.2">
      <c r="A208" s="2"/>
      <c r="B208" s="2"/>
      <c r="C208" s="74"/>
      <c r="D208" s="74"/>
      <c r="E208" s="74"/>
      <c r="F208" s="74"/>
      <c r="G208" s="74"/>
      <c r="H208" s="74"/>
      <c r="I208" s="74"/>
      <c r="J208" s="74"/>
      <c r="K208" s="192"/>
      <c r="L208" s="192"/>
      <c r="M208" s="75"/>
      <c r="N208" s="2"/>
      <c r="O208" s="2"/>
      <c r="P208" s="2"/>
      <c r="Q208" s="2"/>
      <c r="R208" s="2"/>
    </row>
    <row r="209" spans="1:18" x14ac:dyDescent="0.2">
      <c r="A209" s="2"/>
      <c r="B209" s="2"/>
      <c r="C209" s="74"/>
      <c r="D209" s="74"/>
      <c r="E209" s="74"/>
      <c r="F209" s="74"/>
      <c r="G209" s="74"/>
      <c r="H209" s="74"/>
      <c r="I209" s="74"/>
      <c r="J209" s="74"/>
      <c r="K209" s="192"/>
      <c r="L209" s="192"/>
      <c r="M209" s="75"/>
      <c r="N209" s="2"/>
      <c r="O209" s="2"/>
      <c r="P209" s="2"/>
      <c r="Q209" s="2"/>
      <c r="R209" s="2"/>
    </row>
    <row r="210" spans="1:18" x14ac:dyDescent="0.2">
      <c r="A210" s="2"/>
      <c r="B210" s="2"/>
      <c r="C210" s="74"/>
      <c r="D210" s="74"/>
      <c r="E210" s="74"/>
      <c r="F210" s="74"/>
      <c r="G210" s="74"/>
      <c r="H210" s="74"/>
      <c r="I210" s="74"/>
      <c r="J210" s="74"/>
      <c r="K210" s="192"/>
      <c r="L210" s="192"/>
      <c r="M210" s="75"/>
      <c r="N210" s="2"/>
      <c r="O210" s="2"/>
      <c r="P210" s="2"/>
      <c r="Q210" s="2"/>
      <c r="R210" s="2"/>
    </row>
    <row r="211" spans="1:18" x14ac:dyDescent="0.2">
      <c r="A211" s="2"/>
      <c r="B211" s="2"/>
      <c r="C211" s="74"/>
      <c r="D211" s="74"/>
      <c r="E211" s="74"/>
      <c r="F211" s="74"/>
      <c r="G211" s="74"/>
      <c r="H211" s="74"/>
      <c r="I211" s="74"/>
      <c r="J211" s="74"/>
      <c r="K211" s="192"/>
      <c r="L211" s="192"/>
      <c r="M211" s="75"/>
      <c r="N211" s="2"/>
      <c r="O211" s="2"/>
      <c r="P211" s="2"/>
      <c r="Q211" s="2"/>
      <c r="R211" s="2"/>
    </row>
    <row r="212" spans="1:18" x14ac:dyDescent="0.2">
      <c r="A212" s="2"/>
      <c r="B212" s="2"/>
      <c r="C212" s="74"/>
      <c r="D212" s="74"/>
      <c r="E212" s="74"/>
      <c r="F212" s="74"/>
      <c r="G212" s="74"/>
      <c r="H212" s="74"/>
      <c r="I212" s="74"/>
      <c r="J212" s="74"/>
      <c r="K212" s="192"/>
      <c r="L212" s="192"/>
      <c r="M212" s="75"/>
      <c r="N212" s="2"/>
      <c r="O212" s="2"/>
      <c r="P212" s="2"/>
      <c r="Q212" s="2"/>
      <c r="R212" s="2"/>
    </row>
    <row r="213" spans="1:18" x14ac:dyDescent="0.2">
      <c r="A213" s="2"/>
      <c r="B213" s="2"/>
      <c r="C213" s="74"/>
      <c r="D213" s="74"/>
      <c r="E213" s="74"/>
      <c r="F213" s="74"/>
      <c r="G213" s="74"/>
      <c r="H213" s="74"/>
      <c r="I213" s="74"/>
      <c r="J213" s="74"/>
      <c r="K213" s="192"/>
      <c r="L213" s="192"/>
      <c r="M213" s="75"/>
      <c r="N213" s="2"/>
      <c r="O213" s="2"/>
      <c r="P213" s="2"/>
      <c r="Q213" s="2"/>
      <c r="R213" s="2"/>
    </row>
    <row r="214" spans="1:18" x14ac:dyDescent="0.2">
      <c r="A214" s="2"/>
      <c r="B214" s="2"/>
      <c r="C214" s="74"/>
      <c r="D214" s="74"/>
      <c r="E214" s="74"/>
      <c r="F214" s="74"/>
      <c r="G214" s="74"/>
      <c r="H214" s="74"/>
      <c r="I214" s="74"/>
      <c r="J214" s="74"/>
      <c r="K214" s="192"/>
      <c r="L214" s="192"/>
      <c r="M214" s="75"/>
      <c r="N214" s="2"/>
      <c r="O214" s="2"/>
      <c r="P214" s="2"/>
      <c r="Q214" s="2"/>
      <c r="R214" s="2"/>
    </row>
    <row r="215" spans="1:18" x14ac:dyDescent="0.2">
      <c r="A215" s="2"/>
      <c r="B215" s="2"/>
      <c r="C215" s="74"/>
      <c r="D215" s="74"/>
      <c r="E215" s="74"/>
      <c r="F215" s="74"/>
      <c r="G215" s="74"/>
      <c r="H215" s="74"/>
      <c r="I215" s="74"/>
      <c r="J215" s="74"/>
      <c r="K215" s="192"/>
      <c r="L215" s="192"/>
      <c r="M215" s="75"/>
      <c r="N215" s="2"/>
      <c r="O215" s="2"/>
      <c r="P215" s="2"/>
      <c r="Q215" s="2"/>
      <c r="R215" s="2"/>
    </row>
    <row r="216" spans="1:18" x14ac:dyDescent="0.2">
      <c r="A216" s="2"/>
      <c r="B216" s="2"/>
      <c r="C216" s="74"/>
      <c r="D216" s="74"/>
      <c r="E216" s="74"/>
      <c r="F216" s="74"/>
      <c r="G216" s="74"/>
      <c r="H216" s="74"/>
      <c r="I216" s="74"/>
      <c r="J216" s="74"/>
      <c r="K216" s="192"/>
      <c r="L216" s="192"/>
      <c r="M216" s="75"/>
      <c r="N216" s="2"/>
      <c r="O216" s="2"/>
      <c r="P216" s="2"/>
      <c r="Q216" s="2"/>
      <c r="R216" s="2"/>
    </row>
    <row r="217" spans="1:18" x14ac:dyDescent="0.2">
      <c r="A217" s="2"/>
      <c r="B217" s="2"/>
      <c r="C217" s="74"/>
      <c r="D217" s="74"/>
      <c r="E217" s="74"/>
      <c r="F217" s="74"/>
      <c r="G217" s="74"/>
      <c r="H217" s="74"/>
      <c r="I217" s="74"/>
      <c r="J217" s="74"/>
      <c r="K217" s="192"/>
      <c r="L217" s="192"/>
      <c r="M217" s="75"/>
      <c r="N217" s="2"/>
      <c r="O217" s="2"/>
      <c r="P217" s="2"/>
      <c r="Q217" s="2"/>
      <c r="R217" s="2"/>
    </row>
    <row r="218" spans="1:18" x14ac:dyDescent="0.2">
      <c r="A218" s="2"/>
      <c r="B218" s="2"/>
      <c r="C218" s="74"/>
      <c r="D218" s="74"/>
      <c r="E218" s="74"/>
      <c r="F218" s="74"/>
      <c r="G218" s="74"/>
      <c r="H218" s="74"/>
      <c r="I218" s="74"/>
      <c r="J218" s="74"/>
      <c r="K218" s="192"/>
      <c r="L218" s="192"/>
      <c r="M218" s="75"/>
      <c r="N218" s="2"/>
      <c r="O218" s="2"/>
      <c r="P218" s="2"/>
      <c r="Q218" s="2"/>
      <c r="R218" s="2"/>
    </row>
    <row r="219" spans="1:18" x14ac:dyDescent="0.2">
      <c r="A219" s="2"/>
      <c r="B219" s="2"/>
      <c r="C219" s="74"/>
      <c r="D219" s="74"/>
      <c r="E219" s="74"/>
      <c r="F219" s="74"/>
      <c r="G219" s="74"/>
      <c r="H219" s="74"/>
      <c r="I219" s="74"/>
      <c r="J219" s="74"/>
      <c r="K219" s="192"/>
      <c r="L219" s="192"/>
      <c r="M219" s="75"/>
      <c r="N219" s="2"/>
      <c r="O219" s="2"/>
      <c r="P219" s="2"/>
      <c r="Q219" s="2"/>
      <c r="R219" s="2"/>
    </row>
    <row r="220" spans="1:18" x14ac:dyDescent="0.2">
      <c r="A220" s="2"/>
      <c r="B220" s="2"/>
      <c r="C220" s="74"/>
      <c r="D220" s="74"/>
      <c r="E220" s="74"/>
      <c r="F220" s="74"/>
      <c r="G220" s="74"/>
      <c r="H220" s="74"/>
      <c r="I220" s="74"/>
      <c r="J220" s="74"/>
      <c r="K220" s="192"/>
      <c r="L220" s="192"/>
      <c r="M220" s="75"/>
      <c r="N220" s="2"/>
      <c r="O220" s="2"/>
      <c r="P220" s="2"/>
      <c r="Q220" s="2"/>
      <c r="R220" s="2"/>
    </row>
    <row r="221" spans="1:18" x14ac:dyDescent="0.2">
      <c r="A221" s="2"/>
      <c r="B221" s="2"/>
      <c r="C221" s="74"/>
      <c r="D221" s="74"/>
      <c r="E221" s="74"/>
      <c r="F221" s="74"/>
      <c r="G221" s="74"/>
      <c r="H221" s="74"/>
      <c r="I221" s="74"/>
      <c r="J221" s="74"/>
      <c r="K221" s="192"/>
      <c r="L221" s="192"/>
      <c r="M221" s="75"/>
      <c r="N221" s="2"/>
      <c r="O221" s="2"/>
      <c r="P221" s="2"/>
      <c r="Q221" s="2"/>
      <c r="R221" s="2"/>
    </row>
    <row r="222" spans="1:18" x14ac:dyDescent="0.2">
      <c r="A222" s="2"/>
      <c r="B222" s="2"/>
      <c r="C222" s="74"/>
      <c r="D222" s="74"/>
      <c r="E222" s="74"/>
      <c r="F222" s="74"/>
      <c r="G222" s="74"/>
      <c r="H222" s="74"/>
      <c r="I222" s="74"/>
      <c r="J222" s="74"/>
      <c r="K222" s="192"/>
      <c r="L222" s="192"/>
      <c r="M222" s="75"/>
      <c r="N222" s="2"/>
      <c r="O222" s="2"/>
      <c r="P222" s="2"/>
      <c r="Q222" s="2"/>
      <c r="R222" s="2"/>
    </row>
    <row r="223" spans="1:18" x14ac:dyDescent="0.2">
      <c r="A223" s="2"/>
      <c r="B223" s="2"/>
      <c r="C223" s="74"/>
      <c r="D223" s="74"/>
      <c r="E223" s="74"/>
      <c r="F223" s="74"/>
      <c r="G223" s="74"/>
      <c r="H223" s="74"/>
      <c r="I223" s="74"/>
      <c r="J223" s="74"/>
      <c r="K223" s="192"/>
      <c r="L223" s="192"/>
      <c r="M223" s="75"/>
      <c r="N223" s="2"/>
      <c r="O223" s="2"/>
      <c r="P223" s="2"/>
      <c r="Q223" s="2"/>
      <c r="R223" s="2"/>
    </row>
    <row r="224" spans="1:18" x14ac:dyDescent="0.2">
      <c r="A224" s="2"/>
      <c r="B224" s="2"/>
      <c r="C224" s="74"/>
      <c r="D224" s="74"/>
      <c r="E224" s="74"/>
      <c r="F224" s="74"/>
      <c r="G224" s="74"/>
      <c r="H224" s="74"/>
      <c r="I224" s="74"/>
      <c r="J224" s="74"/>
      <c r="K224" s="192"/>
      <c r="L224" s="192"/>
      <c r="M224" s="75"/>
      <c r="N224" s="2"/>
      <c r="O224" s="2"/>
      <c r="P224" s="2"/>
      <c r="Q224" s="2"/>
      <c r="R224" s="2"/>
    </row>
    <row r="225" spans="1:18" x14ac:dyDescent="0.2">
      <c r="A225" s="2"/>
      <c r="B225" s="2"/>
      <c r="C225" s="74"/>
      <c r="D225" s="74"/>
      <c r="E225" s="74"/>
      <c r="F225" s="74"/>
      <c r="G225" s="74"/>
      <c r="H225" s="74"/>
      <c r="I225" s="74"/>
      <c r="J225" s="74"/>
      <c r="K225" s="192"/>
      <c r="L225" s="192"/>
      <c r="M225" s="75"/>
      <c r="N225" s="2"/>
      <c r="O225" s="2"/>
      <c r="P225" s="2"/>
      <c r="Q225" s="2"/>
      <c r="R225" s="2"/>
    </row>
    <row r="226" spans="1:18" x14ac:dyDescent="0.2">
      <c r="A226" s="2"/>
      <c r="B226" s="2"/>
      <c r="C226" s="74"/>
      <c r="D226" s="74"/>
      <c r="E226" s="74"/>
      <c r="F226" s="74"/>
      <c r="G226" s="74"/>
      <c r="H226" s="74"/>
      <c r="I226" s="74"/>
      <c r="J226" s="74"/>
      <c r="K226" s="192"/>
      <c r="L226" s="192"/>
      <c r="M226" s="75"/>
      <c r="N226" s="2"/>
      <c r="O226" s="2"/>
      <c r="P226" s="2"/>
      <c r="Q226" s="2"/>
      <c r="R226" s="2"/>
    </row>
    <row r="227" spans="1:18" x14ac:dyDescent="0.2">
      <c r="A227" s="2"/>
      <c r="B227" s="2"/>
      <c r="C227" s="74"/>
      <c r="D227" s="74"/>
      <c r="E227" s="74"/>
      <c r="F227" s="74"/>
      <c r="G227" s="74"/>
      <c r="H227" s="74"/>
      <c r="I227" s="74"/>
      <c r="J227" s="74"/>
      <c r="K227" s="192"/>
      <c r="L227" s="192"/>
      <c r="M227" s="75"/>
      <c r="N227" s="2"/>
      <c r="O227" s="2"/>
      <c r="P227" s="2"/>
      <c r="Q227" s="2"/>
      <c r="R227" s="2"/>
    </row>
    <row r="228" spans="1:18" x14ac:dyDescent="0.2">
      <c r="A228" s="2"/>
      <c r="B228" s="2"/>
      <c r="C228" s="74"/>
      <c r="D228" s="74"/>
      <c r="E228" s="74"/>
      <c r="F228" s="74"/>
      <c r="G228" s="74"/>
      <c r="H228" s="74"/>
      <c r="I228" s="74"/>
      <c r="J228" s="74"/>
      <c r="K228" s="192"/>
      <c r="L228" s="192"/>
      <c r="M228" s="75"/>
      <c r="N228" s="2"/>
      <c r="O228" s="2"/>
      <c r="P228" s="2"/>
      <c r="Q228" s="2"/>
      <c r="R228" s="2"/>
    </row>
    <row r="229" spans="1:18" x14ac:dyDescent="0.2">
      <c r="A229" s="2"/>
      <c r="B229" s="2"/>
      <c r="C229" s="74"/>
      <c r="D229" s="74"/>
      <c r="E229" s="74"/>
      <c r="F229" s="74"/>
      <c r="G229" s="74"/>
      <c r="H229" s="74"/>
      <c r="I229" s="74"/>
      <c r="J229" s="74"/>
      <c r="K229" s="192"/>
      <c r="L229" s="192"/>
      <c r="M229" s="75"/>
      <c r="N229" s="2"/>
      <c r="O229" s="2"/>
      <c r="P229" s="2"/>
      <c r="Q229" s="2"/>
      <c r="R229" s="2"/>
    </row>
    <row r="230" spans="1:18" x14ac:dyDescent="0.2">
      <c r="A230" s="2"/>
      <c r="B230" s="2"/>
      <c r="C230" s="74"/>
      <c r="D230" s="74"/>
      <c r="E230" s="74"/>
      <c r="F230" s="74"/>
      <c r="G230" s="74"/>
      <c r="H230" s="74"/>
      <c r="I230" s="74"/>
      <c r="J230" s="74"/>
      <c r="K230" s="192"/>
      <c r="L230" s="192"/>
      <c r="M230" s="75"/>
      <c r="N230" s="2"/>
      <c r="O230" s="2"/>
      <c r="P230" s="2"/>
      <c r="Q230" s="2"/>
      <c r="R230" s="2"/>
    </row>
    <row r="231" spans="1:18" x14ac:dyDescent="0.2">
      <c r="A231" s="2"/>
      <c r="B231" s="2"/>
      <c r="C231" s="74"/>
      <c r="D231" s="74"/>
      <c r="E231" s="74"/>
      <c r="F231" s="74"/>
      <c r="G231" s="74"/>
      <c r="H231" s="74"/>
      <c r="I231" s="74"/>
      <c r="J231" s="74"/>
      <c r="K231" s="192"/>
      <c r="L231" s="192"/>
      <c r="M231" s="75"/>
      <c r="N231" s="2"/>
      <c r="O231" s="2"/>
      <c r="P231" s="2"/>
      <c r="Q231" s="2"/>
      <c r="R231" s="2"/>
    </row>
    <row r="232" spans="1:18" x14ac:dyDescent="0.2">
      <c r="A232" s="2"/>
      <c r="B232" s="2"/>
      <c r="C232" s="74"/>
      <c r="D232" s="74"/>
      <c r="E232" s="74"/>
      <c r="F232" s="74"/>
      <c r="G232" s="74"/>
      <c r="H232" s="74"/>
      <c r="I232" s="74"/>
      <c r="J232" s="74"/>
      <c r="K232" s="192"/>
      <c r="L232" s="192"/>
      <c r="M232" s="75"/>
      <c r="N232" s="2"/>
      <c r="O232" s="2"/>
      <c r="P232" s="2"/>
      <c r="Q232" s="2"/>
      <c r="R232" s="2"/>
    </row>
    <row r="233" spans="1:18" x14ac:dyDescent="0.2">
      <c r="A233" s="2"/>
      <c r="B233" s="2"/>
      <c r="C233" s="74"/>
      <c r="D233" s="74"/>
      <c r="E233" s="74"/>
      <c r="F233" s="74"/>
      <c r="G233" s="74"/>
      <c r="H233" s="74"/>
      <c r="I233" s="74"/>
      <c r="J233" s="74"/>
      <c r="K233" s="192"/>
      <c r="L233" s="192"/>
      <c r="M233" s="75"/>
      <c r="N233" s="2"/>
      <c r="O233" s="2"/>
      <c r="P233" s="2"/>
      <c r="Q233" s="2"/>
      <c r="R233" s="2"/>
    </row>
    <row r="234" spans="1:18" x14ac:dyDescent="0.2">
      <c r="A234" s="2"/>
      <c r="B234" s="2"/>
      <c r="C234" s="74"/>
      <c r="D234" s="74"/>
      <c r="E234" s="74"/>
      <c r="F234" s="74"/>
      <c r="G234" s="74"/>
      <c r="H234" s="74"/>
      <c r="I234" s="74"/>
      <c r="J234" s="74"/>
      <c r="K234" s="192"/>
      <c r="L234" s="192"/>
      <c r="M234" s="75"/>
      <c r="N234" s="2"/>
      <c r="O234" s="2"/>
      <c r="P234" s="2"/>
      <c r="Q234" s="2"/>
      <c r="R234" s="2"/>
    </row>
    <row r="235" spans="1:18" x14ac:dyDescent="0.2">
      <c r="A235" s="2"/>
      <c r="B235" s="2"/>
      <c r="C235" s="74"/>
      <c r="D235" s="74"/>
      <c r="E235" s="74"/>
      <c r="F235" s="74"/>
      <c r="G235" s="74"/>
      <c r="H235" s="74"/>
      <c r="I235" s="74"/>
      <c r="J235" s="74"/>
      <c r="K235" s="192"/>
      <c r="L235" s="192"/>
      <c r="M235" s="75"/>
      <c r="N235" s="2"/>
      <c r="O235" s="2"/>
      <c r="P235" s="2"/>
      <c r="Q235" s="2"/>
      <c r="R235" s="2"/>
    </row>
    <row r="236" spans="1:18" x14ac:dyDescent="0.2">
      <c r="A236" s="2"/>
      <c r="B236" s="2"/>
      <c r="C236" s="74"/>
      <c r="D236" s="74"/>
      <c r="E236" s="74"/>
      <c r="F236" s="74"/>
      <c r="G236" s="74"/>
      <c r="H236" s="74"/>
      <c r="I236" s="74"/>
      <c r="J236" s="74"/>
      <c r="K236" s="192"/>
      <c r="L236" s="192"/>
      <c r="M236" s="75"/>
      <c r="N236" s="2"/>
      <c r="O236" s="2"/>
      <c r="P236" s="2"/>
      <c r="Q236" s="2"/>
      <c r="R236" s="2"/>
    </row>
    <row r="237" spans="1:18" x14ac:dyDescent="0.2">
      <c r="A237" s="2"/>
      <c r="B237" s="2"/>
      <c r="C237" s="74"/>
      <c r="D237" s="74"/>
      <c r="E237" s="74"/>
      <c r="F237" s="74"/>
      <c r="G237" s="74"/>
      <c r="H237" s="74"/>
      <c r="I237" s="74"/>
      <c r="J237" s="74"/>
      <c r="K237" s="192"/>
      <c r="L237" s="192"/>
      <c r="M237" s="75"/>
      <c r="N237" s="2"/>
      <c r="O237" s="2"/>
      <c r="P237" s="2"/>
      <c r="Q237" s="2"/>
      <c r="R237" s="2"/>
    </row>
    <row r="238" spans="1:18" x14ac:dyDescent="0.2">
      <c r="A238" s="2"/>
      <c r="B238" s="2"/>
      <c r="C238" s="74"/>
      <c r="D238" s="74"/>
      <c r="E238" s="74"/>
      <c r="F238" s="74"/>
      <c r="G238" s="74"/>
      <c r="H238" s="74"/>
      <c r="I238" s="74"/>
      <c r="J238" s="74"/>
      <c r="K238" s="192"/>
      <c r="L238" s="192"/>
      <c r="M238" s="75"/>
      <c r="N238" s="2"/>
      <c r="O238" s="2"/>
      <c r="P238" s="2"/>
      <c r="Q238" s="2"/>
      <c r="R238" s="2"/>
    </row>
    <row r="239" spans="1:18" x14ac:dyDescent="0.2">
      <c r="A239" s="2"/>
      <c r="B239" s="2"/>
      <c r="C239" s="74"/>
      <c r="D239" s="74"/>
      <c r="E239" s="74"/>
      <c r="F239" s="74"/>
      <c r="G239" s="74"/>
      <c r="H239" s="74"/>
      <c r="I239" s="74"/>
      <c r="J239" s="74"/>
      <c r="K239" s="192"/>
      <c r="L239" s="192"/>
      <c r="M239" s="75"/>
      <c r="N239" s="2"/>
      <c r="O239" s="2"/>
      <c r="P239" s="2"/>
      <c r="Q239" s="2"/>
      <c r="R239" s="2"/>
    </row>
    <row r="240" spans="1:18" x14ac:dyDescent="0.2">
      <c r="A240" s="2"/>
      <c r="B240" s="2"/>
      <c r="C240" s="74"/>
      <c r="D240" s="74"/>
      <c r="E240" s="74"/>
      <c r="F240" s="74"/>
      <c r="G240" s="74"/>
      <c r="H240" s="74"/>
      <c r="I240" s="74"/>
      <c r="J240" s="74"/>
      <c r="K240" s="192"/>
      <c r="L240" s="192"/>
      <c r="M240" s="75"/>
      <c r="N240" s="2"/>
      <c r="O240" s="2"/>
      <c r="P240" s="2"/>
      <c r="Q240" s="2"/>
      <c r="R240" s="2"/>
    </row>
    <row r="241" spans="1:18" x14ac:dyDescent="0.2">
      <c r="A241" s="2"/>
      <c r="B241" s="2"/>
      <c r="C241" s="74"/>
      <c r="D241" s="74"/>
      <c r="E241" s="74"/>
      <c r="F241" s="74"/>
      <c r="G241" s="74"/>
      <c r="H241" s="74"/>
      <c r="I241" s="74"/>
      <c r="J241" s="74"/>
      <c r="K241" s="192"/>
      <c r="L241" s="192"/>
      <c r="M241" s="75"/>
      <c r="N241" s="2"/>
      <c r="O241" s="2"/>
      <c r="P241" s="2"/>
      <c r="Q241" s="2"/>
      <c r="R241" s="2"/>
    </row>
    <row r="242" spans="1:18" x14ac:dyDescent="0.2">
      <c r="A242" s="2"/>
      <c r="B242" s="2"/>
      <c r="C242" s="74"/>
      <c r="D242" s="74"/>
      <c r="E242" s="74"/>
      <c r="F242" s="74"/>
      <c r="G242" s="74"/>
      <c r="H242" s="74"/>
      <c r="I242" s="74"/>
      <c r="J242" s="74"/>
      <c r="K242" s="192"/>
      <c r="L242" s="192"/>
      <c r="M242" s="75"/>
      <c r="N242" s="2"/>
      <c r="O242" s="2"/>
      <c r="P242" s="2"/>
      <c r="Q242" s="2"/>
      <c r="R242" s="2"/>
    </row>
    <row r="243" spans="1:18" x14ac:dyDescent="0.2">
      <c r="A243" s="2"/>
      <c r="B243" s="2"/>
      <c r="C243" s="74"/>
      <c r="D243" s="74"/>
      <c r="E243" s="74"/>
      <c r="F243" s="74"/>
      <c r="G243" s="74"/>
      <c r="H243" s="74"/>
      <c r="I243" s="74"/>
      <c r="J243" s="74"/>
      <c r="K243" s="192"/>
      <c r="L243" s="192"/>
      <c r="M243" s="75"/>
      <c r="N243" s="2"/>
      <c r="O243" s="2"/>
      <c r="P243" s="2"/>
      <c r="Q243" s="2"/>
      <c r="R243" s="2"/>
    </row>
    <row r="244" spans="1:18" x14ac:dyDescent="0.2">
      <c r="A244" s="2"/>
      <c r="B244" s="2"/>
      <c r="C244" s="74"/>
      <c r="D244" s="74"/>
      <c r="E244" s="74"/>
      <c r="F244" s="74"/>
      <c r="G244" s="74"/>
      <c r="H244" s="74"/>
      <c r="I244" s="74"/>
      <c r="J244" s="74"/>
      <c r="K244" s="192"/>
      <c r="L244" s="192"/>
      <c r="M244" s="75"/>
      <c r="N244" s="2"/>
      <c r="O244" s="2"/>
      <c r="P244" s="2"/>
      <c r="Q244" s="2"/>
      <c r="R244" s="2"/>
    </row>
    <row r="245" spans="1:18" x14ac:dyDescent="0.2">
      <c r="A245" s="2"/>
      <c r="B245" s="2"/>
      <c r="C245" s="74"/>
      <c r="D245" s="74"/>
      <c r="E245" s="74"/>
      <c r="F245" s="74"/>
      <c r="G245" s="74"/>
      <c r="H245" s="74"/>
      <c r="I245" s="74"/>
      <c r="J245" s="74"/>
      <c r="K245" s="192"/>
      <c r="L245" s="192"/>
      <c r="M245" s="75"/>
      <c r="N245" s="2"/>
      <c r="O245" s="2"/>
      <c r="P245" s="2"/>
      <c r="Q245" s="2"/>
      <c r="R245" s="2"/>
    </row>
    <row r="246" spans="1:18" x14ac:dyDescent="0.2">
      <c r="A246" s="2"/>
      <c r="B246" s="2"/>
      <c r="C246" s="74"/>
      <c r="D246" s="74"/>
      <c r="E246" s="74"/>
      <c r="F246" s="74"/>
      <c r="G246" s="74"/>
      <c r="H246" s="74"/>
      <c r="I246" s="74"/>
      <c r="J246" s="74"/>
      <c r="K246" s="192"/>
      <c r="L246" s="192"/>
      <c r="M246" s="75"/>
      <c r="N246" s="2"/>
      <c r="O246" s="2"/>
      <c r="P246" s="2"/>
      <c r="Q246" s="2"/>
      <c r="R246" s="2"/>
    </row>
    <row r="247" spans="1:18" x14ac:dyDescent="0.2">
      <c r="A247" s="2"/>
      <c r="B247" s="2"/>
      <c r="C247" s="74"/>
      <c r="D247" s="74"/>
      <c r="E247" s="74"/>
      <c r="F247" s="74"/>
      <c r="G247" s="74"/>
      <c r="H247" s="74"/>
      <c r="I247" s="74"/>
      <c r="J247" s="74"/>
      <c r="K247" s="192"/>
      <c r="L247" s="192"/>
      <c r="M247" s="75"/>
      <c r="N247" s="2"/>
      <c r="O247" s="2"/>
      <c r="P247" s="2"/>
      <c r="Q247" s="2"/>
      <c r="R247" s="2"/>
    </row>
    <row r="248" spans="1:18" x14ac:dyDescent="0.2">
      <c r="A248" s="2"/>
      <c r="B248" s="2"/>
      <c r="C248" s="74"/>
      <c r="D248" s="74"/>
      <c r="E248" s="74"/>
      <c r="F248" s="74"/>
      <c r="G248" s="74"/>
      <c r="H248" s="74"/>
      <c r="I248" s="74"/>
      <c r="J248" s="74"/>
      <c r="K248" s="192"/>
      <c r="L248" s="192"/>
      <c r="M248" s="75"/>
      <c r="N248" s="2"/>
      <c r="O248" s="2"/>
      <c r="P248" s="2"/>
      <c r="Q248" s="2"/>
      <c r="R248" s="2"/>
    </row>
    <row r="249" spans="1:18" x14ac:dyDescent="0.2">
      <c r="A249" s="2"/>
      <c r="B249" s="2"/>
      <c r="C249" s="74"/>
      <c r="D249" s="74"/>
      <c r="E249" s="74"/>
      <c r="F249" s="74"/>
      <c r="G249" s="74"/>
      <c r="H249" s="74"/>
      <c r="I249" s="74"/>
      <c r="J249" s="74"/>
      <c r="K249" s="192"/>
      <c r="L249" s="192"/>
      <c r="M249" s="75"/>
      <c r="N249" s="2"/>
      <c r="O249" s="2"/>
      <c r="P249" s="2"/>
      <c r="Q249" s="2"/>
      <c r="R249" s="2"/>
    </row>
    <row r="250" spans="1:18" x14ac:dyDescent="0.2">
      <c r="A250" s="2"/>
      <c r="B250" s="2"/>
      <c r="C250" s="74"/>
      <c r="D250" s="74"/>
      <c r="E250" s="74"/>
      <c r="F250" s="74"/>
      <c r="G250" s="74"/>
      <c r="H250" s="74"/>
      <c r="I250" s="74"/>
      <c r="J250" s="74"/>
      <c r="K250" s="192"/>
      <c r="L250" s="192"/>
      <c r="M250" s="75"/>
      <c r="N250" s="2"/>
      <c r="O250" s="2"/>
      <c r="P250" s="2"/>
      <c r="Q250" s="2"/>
      <c r="R250" s="2"/>
    </row>
    <row r="251" spans="1:18" x14ac:dyDescent="0.2">
      <c r="A251" s="2"/>
      <c r="B251" s="2"/>
      <c r="C251" s="74"/>
      <c r="D251" s="74"/>
      <c r="E251" s="74"/>
      <c r="F251" s="74"/>
      <c r="G251" s="74"/>
      <c r="H251" s="74"/>
      <c r="I251" s="74"/>
      <c r="J251" s="74"/>
      <c r="K251" s="192"/>
      <c r="L251" s="192"/>
      <c r="M251" s="75"/>
      <c r="N251" s="2"/>
      <c r="O251" s="2"/>
      <c r="P251" s="2"/>
      <c r="Q251" s="2"/>
      <c r="R251" s="2"/>
    </row>
    <row r="252" spans="1:18" x14ac:dyDescent="0.2">
      <c r="A252" s="2"/>
      <c r="B252" s="2"/>
      <c r="C252" s="74"/>
      <c r="D252" s="74"/>
      <c r="E252" s="74"/>
      <c r="F252" s="74"/>
      <c r="G252" s="74"/>
      <c r="H252" s="74"/>
      <c r="I252" s="74"/>
      <c r="J252" s="74"/>
      <c r="K252" s="192"/>
      <c r="L252" s="192"/>
      <c r="M252" s="75"/>
      <c r="N252" s="2"/>
      <c r="O252" s="2"/>
      <c r="P252" s="2"/>
      <c r="Q252" s="2"/>
      <c r="R252" s="2"/>
    </row>
    <row r="253" spans="1:18" x14ac:dyDescent="0.2">
      <c r="A253" s="2"/>
      <c r="B253" s="2"/>
      <c r="C253" s="74"/>
      <c r="D253" s="74"/>
      <c r="E253" s="74"/>
      <c r="F253" s="74"/>
      <c r="G253" s="74"/>
      <c r="H253" s="74"/>
      <c r="I253" s="74"/>
      <c r="J253" s="74"/>
      <c r="K253" s="192"/>
      <c r="L253" s="192"/>
      <c r="M253" s="75"/>
      <c r="N253" s="2"/>
      <c r="O253" s="2"/>
      <c r="P253" s="2"/>
      <c r="Q253" s="2"/>
      <c r="R253" s="2"/>
    </row>
    <row r="254" spans="1:18" x14ac:dyDescent="0.2">
      <c r="A254" s="2"/>
      <c r="B254" s="2"/>
      <c r="C254" s="74"/>
      <c r="D254" s="74"/>
      <c r="E254" s="74"/>
      <c r="F254" s="74"/>
      <c r="G254" s="74"/>
      <c r="H254" s="74"/>
      <c r="I254" s="74"/>
      <c r="J254" s="74"/>
      <c r="K254" s="192"/>
      <c r="L254" s="192"/>
      <c r="M254" s="75"/>
      <c r="N254" s="2"/>
      <c r="O254" s="2"/>
      <c r="P254" s="2"/>
      <c r="Q254" s="2"/>
      <c r="R254" s="2"/>
    </row>
    <row r="255" spans="1:18" x14ac:dyDescent="0.2">
      <c r="A255" s="2"/>
      <c r="B255" s="2"/>
      <c r="C255" s="74"/>
      <c r="D255" s="74"/>
      <c r="E255" s="74"/>
      <c r="F255" s="74"/>
      <c r="G255" s="74"/>
      <c r="H255" s="74"/>
      <c r="I255" s="74"/>
      <c r="J255" s="74"/>
      <c r="K255" s="192"/>
      <c r="L255" s="192"/>
      <c r="M255" s="75"/>
      <c r="N255" s="2"/>
      <c r="O255" s="2"/>
      <c r="P255" s="2"/>
      <c r="Q255" s="2"/>
      <c r="R255" s="2"/>
    </row>
    <row r="256" spans="1:18" x14ac:dyDescent="0.2">
      <c r="A256" s="2"/>
      <c r="B256" s="2"/>
      <c r="C256" s="74"/>
      <c r="D256" s="74"/>
      <c r="E256" s="74"/>
      <c r="F256" s="74"/>
      <c r="G256" s="74"/>
      <c r="H256" s="74"/>
      <c r="I256" s="74"/>
      <c r="J256" s="74"/>
      <c r="K256" s="192"/>
      <c r="L256" s="192"/>
      <c r="M256" s="75"/>
      <c r="N256" s="2"/>
      <c r="O256" s="2"/>
      <c r="P256" s="2"/>
      <c r="Q256" s="2"/>
      <c r="R256" s="2"/>
    </row>
    <row r="257" spans="1:18" x14ac:dyDescent="0.2">
      <c r="A257" s="2"/>
      <c r="B257" s="2"/>
      <c r="C257" s="74"/>
      <c r="D257" s="74"/>
      <c r="E257" s="74"/>
      <c r="F257" s="74"/>
      <c r="G257" s="74"/>
      <c r="H257" s="74"/>
      <c r="I257" s="74"/>
      <c r="J257" s="74"/>
      <c r="K257" s="192"/>
      <c r="L257" s="192"/>
      <c r="M257" s="75"/>
      <c r="N257" s="2"/>
      <c r="O257" s="2"/>
      <c r="P257" s="2"/>
      <c r="Q257" s="2"/>
      <c r="R257" s="2"/>
    </row>
    <row r="258" spans="1:18" x14ac:dyDescent="0.2">
      <c r="A258" s="2"/>
      <c r="B258" s="2"/>
      <c r="C258" s="74"/>
      <c r="D258" s="74"/>
      <c r="E258" s="74"/>
      <c r="F258" s="74"/>
      <c r="G258" s="74"/>
      <c r="H258" s="74"/>
      <c r="I258" s="74"/>
      <c r="J258" s="74"/>
      <c r="K258" s="192"/>
      <c r="L258" s="192"/>
      <c r="M258" s="75"/>
      <c r="N258" s="2"/>
      <c r="O258" s="2"/>
      <c r="P258" s="2"/>
      <c r="Q258" s="2"/>
      <c r="R258" s="2"/>
    </row>
    <row r="259" spans="1:18" x14ac:dyDescent="0.2">
      <c r="A259" s="2"/>
      <c r="B259" s="2"/>
      <c r="C259" s="74"/>
      <c r="D259" s="74"/>
      <c r="E259" s="74"/>
      <c r="F259" s="74"/>
      <c r="G259" s="74"/>
      <c r="H259" s="74"/>
      <c r="I259" s="74"/>
      <c r="J259" s="74"/>
      <c r="K259" s="192"/>
      <c r="L259" s="192"/>
      <c r="M259" s="75"/>
      <c r="N259" s="2"/>
      <c r="O259" s="2"/>
      <c r="P259" s="2"/>
      <c r="Q259" s="2"/>
      <c r="R259" s="2"/>
    </row>
    <row r="260" spans="1:18" x14ac:dyDescent="0.2">
      <c r="A260" s="2"/>
      <c r="B260" s="2"/>
      <c r="C260" s="74"/>
      <c r="D260" s="74"/>
      <c r="E260" s="74"/>
      <c r="F260" s="74"/>
      <c r="G260" s="74"/>
      <c r="H260" s="74"/>
      <c r="I260" s="74"/>
      <c r="J260" s="74"/>
      <c r="K260" s="192"/>
      <c r="L260" s="192"/>
      <c r="M260" s="75"/>
      <c r="N260" s="2"/>
      <c r="O260" s="2"/>
      <c r="P260" s="2"/>
      <c r="Q260" s="2"/>
      <c r="R260" s="2"/>
    </row>
    <row r="261" spans="1:18" x14ac:dyDescent="0.2">
      <c r="A261" s="2"/>
      <c r="B261" s="2"/>
      <c r="C261" s="74"/>
      <c r="D261" s="74"/>
      <c r="E261" s="74"/>
      <c r="F261" s="74"/>
      <c r="G261" s="74"/>
      <c r="H261" s="74"/>
      <c r="I261" s="74"/>
      <c r="J261" s="74"/>
      <c r="K261" s="192"/>
      <c r="L261" s="192"/>
      <c r="M261" s="75"/>
      <c r="N261" s="2"/>
      <c r="O261" s="2"/>
      <c r="P261" s="2"/>
      <c r="Q261" s="2"/>
      <c r="R261" s="2"/>
    </row>
    <row r="262" spans="1:18" x14ac:dyDescent="0.2">
      <c r="A262" s="2"/>
      <c r="B262" s="2"/>
      <c r="C262" s="74"/>
      <c r="D262" s="74"/>
      <c r="E262" s="74"/>
      <c r="F262" s="74"/>
      <c r="G262" s="74"/>
      <c r="H262" s="74"/>
      <c r="I262" s="74"/>
      <c r="J262" s="74"/>
      <c r="K262" s="192"/>
      <c r="L262" s="192"/>
      <c r="M262" s="75"/>
      <c r="N262" s="2"/>
      <c r="O262" s="2"/>
      <c r="P262" s="2"/>
      <c r="Q262" s="2"/>
      <c r="R262" s="2"/>
    </row>
    <row r="263" spans="1:18" x14ac:dyDescent="0.2">
      <c r="A263" s="2"/>
      <c r="B263" s="2"/>
      <c r="C263" s="74"/>
      <c r="D263" s="74"/>
      <c r="E263" s="74"/>
      <c r="F263" s="74"/>
      <c r="G263" s="74"/>
      <c r="H263" s="74"/>
      <c r="I263" s="74"/>
      <c r="J263" s="74"/>
      <c r="K263" s="192"/>
      <c r="L263" s="192"/>
      <c r="M263" s="75"/>
      <c r="N263" s="2"/>
      <c r="O263" s="2"/>
      <c r="P263" s="2"/>
      <c r="Q263" s="2"/>
      <c r="R263" s="2"/>
    </row>
    <row r="264" spans="1:18" x14ac:dyDescent="0.2">
      <c r="A264" s="2"/>
      <c r="B264" s="2"/>
      <c r="C264" s="74"/>
      <c r="D264" s="74"/>
      <c r="E264" s="74"/>
      <c r="F264" s="74"/>
      <c r="G264" s="74"/>
      <c r="H264" s="74"/>
      <c r="I264" s="74"/>
      <c r="J264" s="74"/>
      <c r="K264" s="192"/>
      <c r="L264" s="192"/>
      <c r="M264" s="75"/>
      <c r="N264" s="2"/>
      <c r="O264" s="2"/>
      <c r="P264" s="2"/>
      <c r="Q264" s="2"/>
      <c r="R264" s="2"/>
    </row>
    <row r="265" spans="1:18" x14ac:dyDescent="0.2">
      <c r="A265" s="2"/>
      <c r="B265" s="2"/>
      <c r="C265" s="74"/>
      <c r="D265" s="74"/>
      <c r="E265" s="74"/>
      <c r="F265" s="74"/>
      <c r="G265" s="74"/>
      <c r="H265" s="74"/>
      <c r="I265" s="74"/>
      <c r="J265" s="74"/>
      <c r="K265" s="192"/>
      <c r="L265" s="192"/>
      <c r="M265" s="75"/>
      <c r="N265" s="2"/>
      <c r="O265" s="2"/>
      <c r="P265" s="2"/>
      <c r="Q265" s="2"/>
      <c r="R265" s="2"/>
    </row>
    <row r="266" spans="1:18" x14ac:dyDescent="0.2">
      <c r="A266" s="2"/>
      <c r="B266" s="2"/>
      <c r="C266" s="74"/>
      <c r="D266" s="74"/>
      <c r="E266" s="74"/>
      <c r="F266" s="74"/>
      <c r="G266" s="74"/>
      <c r="H266" s="74"/>
      <c r="I266" s="74"/>
      <c r="J266" s="74"/>
      <c r="K266" s="192"/>
      <c r="L266" s="192"/>
      <c r="M266" s="75"/>
      <c r="N266" s="2"/>
      <c r="O266" s="2"/>
      <c r="P266" s="2"/>
      <c r="Q266" s="2"/>
      <c r="R266" s="2"/>
    </row>
    <row r="267" spans="1:18" x14ac:dyDescent="0.2">
      <c r="A267" s="2"/>
      <c r="B267" s="2"/>
      <c r="C267" s="74"/>
      <c r="D267" s="74"/>
      <c r="E267" s="74"/>
      <c r="F267" s="74"/>
      <c r="G267" s="74"/>
      <c r="H267" s="74"/>
      <c r="I267" s="74"/>
      <c r="J267" s="74"/>
      <c r="K267" s="192"/>
      <c r="L267" s="192"/>
      <c r="M267" s="75"/>
      <c r="N267" s="2"/>
      <c r="O267" s="2"/>
      <c r="P267" s="2"/>
      <c r="Q267" s="2"/>
      <c r="R267" s="2"/>
    </row>
    <row r="268" spans="1:18" x14ac:dyDescent="0.2">
      <c r="A268" s="2"/>
      <c r="B268" s="2"/>
      <c r="C268" s="74"/>
      <c r="D268" s="74"/>
      <c r="E268" s="74"/>
      <c r="F268" s="74"/>
      <c r="G268" s="74"/>
      <c r="H268" s="74"/>
      <c r="I268" s="74"/>
      <c r="J268" s="74"/>
      <c r="K268" s="192"/>
      <c r="L268" s="192"/>
      <c r="M268" s="75"/>
      <c r="N268" s="2"/>
      <c r="O268" s="2"/>
      <c r="P268" s="2"/>
      <c r="Q268" s="2"/>
      <c r="R268" s="2"/>
    </row>
    <row r="269" spans="1:18" x14ac:dyDescent="0.2">
      <c r="A269" s="2"/>
      <c r="B269" s="2"/>
      <c r="C269" s="74"/>
      <c r="D269" s="74"/>
      <c r="E269" s="74"/>
      <c r="F269" s="74"/>
      <c r="G269" s="74"/>
      <c r="H269" s="74"/>
      <c r="I269" s="74"/>
      <c r="J269" s="74"/>
      <c r="K269" s="192"/>
      <c r="L269" s="192"/>
      <c r="M269" s="75"/>
      <c r="N269" s="2"/>
      <c r="O269" s="2"/>
      <c r="P269" s="2"/>
      <c r="Q269" s="2"/>
      <c r="R269" s="2"/>
    </row>
    <row r="270" spans="1:18" x14ac:dyDescent="0.2">
      <c r="A270" s="2"/>
      <c r="B270" s="2"/>
      <c r="C270" s="74"/>
      <c r="D270" s="74"/>
      <c r="E270" s="74"/>
      <c r="F270" s="74"/>
      <c r="G270" s="74"/>
      <c r="H270" s="74"/>
      <c r="I270" s="74"/>
      <c r="J270" s="74"/>
      <c r="K270" s="192"/>
      <c r="L270" s="192"/>
      <c r="M270" s="75"/>
      <c r="N270" s="2"/>
      <c r="O270" s="2"/>
      <c r="P270" s="2"/>
      <c r="Q270" s="2"/>
      <c r="R270" s="2"/>
    </row>
    <row r="271" spans="1:18" x14ac:dyDescent="0.2">
      <c r="A271" s="2"/>
      <c r="B271" s="2"/>
      <c r="C271" s="74"/>
      <c r="D271" s="74"/>
      <c r="E271" s="74"/>
      <c r="F271" s="74"/>
      <c r="G271" s="74"/>
      <c r="H271" s="74"/>
      <c r="I271" s="74"/>
      <c r="J271" s="74"/>
      <c r="K271" s="192"/>
      <c r="L271" s="192"/>
      <c r="M271" s="75"/>
      <c r="N271" s="2"/>
      <c r="O271" s="2"/>
      <c r="P271" s="2"/>
      <c r="Q271" s="2"/>
      <c r="R271" s="2"/>
    </row>
    <row r="272" spans="1:18" x14ac:dyDescent="0.2">
      <c r="A272" s="2"/>
      <c r="B272" s="2"/>
      <c r="C272" s="74"/>
      <c r="D272" s="74"/>
      <c r="E272" s="74"/>
      <c r="F272" s="74"/>
      <c r="G272" s="74"/>
      <c r="H272" s="74"/>
      <c r="I272" s="74"/>
      <c r="J272" s="74"/>
      <c r="K272" s="192"/>
      <c r="L272" s="192"/>
      <c r="M272" s="75"/>
      <c r="N272" s="2"/>
      <c r="O272" s="2"/>
      <c r="P272" s="2"/>
      <c r="Q272" s="2"/>
      <c r="R272" s="2"/>
    </row>
    <row r="273" spans="1:18" x14ac:dyDescent="0.2">
      <c r="A273" s="2"/>
      <c r="B273" s="2"/>
      <c r="C273" s="74"/>
      <c r="D273" s="74"/>
      <c r="E273" s="74"/>
      <c r="F273" s="74"/>
      <c r="G273" s="74"/>
      <c r="H273" s="74"/>
      <c r="I273" s="74"/>
      <c r="J273" s="74"/>
      <c r="K273" s="192"/>
      <c r="L273" s="192"/>
      <c r="M273" s="75"/>
      <c r="N273" s="2"/>
      <c r="O273" s="2"/>
      <c r="P273" s="2"/>
      <c r="Q273" s="2"/>
      <c r="R273" s="2"/>
    </row>
    <row r="274" spans="1:18" x14ac:dyDescent="0.2">
      <c r="A274" s="2"/>
      <c r="B274" s="2"/>
      <c r="C274" s="74"/>
      <c r="D274" s="74"/>
      <c r="E274" s="74"/>
      <c r="F274" s="74"/>
      <c r="G274" s="74"/>
      <c r="H274" s="74"/>
      <c r="I274" s="74"/>
      <c r="J274" s="74"/>
      <c r="K274" s="192"/>
      <c r="L274" s="192"/>
      <c r="M274" s="75"/>
      <c r="N274" s="2"/>
      <c r="O274" s="2"/>
      <c r="P274" s="2"/>
      <c r="Q274" s="2"/>
      <c r="R274" s="2"/>
    </row>
    <row r="275" spans="1:18" x14ac:dyDescent="0.2">
      <c r="A275" s="2"/>
      <c r="B275" s="2"/>
      <c r="C275" s="74"/>
      <c r="D275" s="74"/>
      <c r="E275" s="74"/>
      <c r="F275" s="74"/>
      <c r="G275" s="74"/>
      <c r="H275" s="74"/>
      <c r="I275" s="74"/>
      <c r="J275" s="74"/>
      <c r="K275" s="192"/>
      <c r="L275" s="192"/>
      <c r="M275" s="75"/>
      <c r="N275" s="2"/>
      <c r="O275" s="2"/>
      <c r="P275" s="2"/>
      <c r="Q275" s="2"/>
      <c r="R275" s="2"/>
    </row>
    <row r="276" spans="1:18" x14ac:dyDescent="0.2">
      <c r="A276" s="2"/>
      <c r="B276" s="2"/>
      <c r="C276" s="74"/>
      <c r="D276" s="74"/>
      <c r="E276" s="74"/>
      <c r="F276" s="74"/>
      <c r="G276" s="74"/>
      <c r="H276" s="74"/>
      <c r="I276" s="74"/>
      <c r="J276" s="74"/>
      <c r="K276" s="192"/>
      <c r="L276" s="192"/>
      <c r="M276" s="75"/>
      <c r="N276" s="2"/>
      <c r="O276" s="2"/>
      <c r="P276" s="2"/>
      <c r="Q276" s="2"/>
      <c r="R276" s="2"/>
    </row>
    <row r="277" spans="1:18" x14ac:dyDescent="0.2">
      <c r="A277" s="2"/>
      <c r="B277" s="2"/>
      <c r="C277" s="74"/>
      <c r="D277" s="74"/>
      <c r="E277" s="74"/>
      <c r="F277" s="74"/>
      <c r="G277" s="74"/>
      <c r="H277" s="74"/>
      <c r="I277" s="74"/>
      <c r="J277" s="74"/>
      <c r="K277" s="192"/>
      <c r="L277" s="192"/>
      <c r="M277" s="75"/>
      <c r="N277" s="2"/>
      <c r="O277" s="2"/>
      <c r="P277" s="2"/>
      <c r="Q277" s="2"/>
      <c r="R277" s="2"/>
    </row>
    <row r="278" spans="1:18" x14ac:dyDescent="0.2">
      <c r="A278" s="2"/>
      <c r="B278" s="2"/>
      <c r="C278" s="74"/>
      <c r="D278" s="74"/>
      <c r="E278" s="74"/>
      <c r="F278" s="74"/>
      <c r="G278" s="74"/>
      <c r="H278" s="74"/>
      <c r="I278" s="74"/>
      <c r="J278" s="74"/>
      <c r="K278" s="192"/>
      <c r="L278" s="192"/>
      <c r="M278" s="75"/>
      <c r="N278" s="2"/>
      <c r="O278" s="2"/>
      <c r="P278" s="2"/>
      <c r="Q278" s="2"/>
      <c r="R278" s="2"/>
    </row>
    <row r="279" spans="1:18" x14ac:dyDescent="0.2">
      <c r="A279" s="2"/>
      <c r="B279" s="2"/>
      <c r="C279" s="74"/>
      <c r="D279" s="74"/>
      <c r="E279" s="74"/>
      <c r="F279" s="74"/>
      <c r="G279" s="74"/>
      <c r="H279" s="74"/>
      <c r="I279" s="74"/>
      <c r="J279" s="74"/>
      <c r="K279" s="192"/>
      <c r="L279" s="192"/>
      <c r="M279" s="75"/>
      <c r="N279" s="2"/>
      <c r="O279" s="2"/>
      <c r="P279" s="2"/>
      <c r="Q279" s="2"/>
      <c r="R279" s="2"/>
    </row>
    <row r="280" spans="1:18" x14ac:dyDescent="0.2">
      <c r="A280" s="2"/>
      <c r="B280" s="2"/>
      <c r="C280" s="74"/>
      <c r="D280" s="74"/>
      <c r="E280" s="74"/>
      <c r="F280" s="74"/>
      <c r="G280" s="74"/>
      <c r="H280" s="74"/>
      <c r="I280" s="74"/>
      <c r="J280" s="74"/>
      <c r="K280" s="192"/>
      <c r="L280" s="192"/>
      <c r="M280" s="75"/>
      <c r="N280" s="2"/>
      <c r="O280" s="2"/>
      <c r="P280" s="2"/>
      <c r="Q280" s="2"/>
      <c r="R280" s="2"/>
    </row>
    <row r="281" spans="1:18" x14ac:dyDescent="0.2">
      <c r="A281" s="2"/>
      <c r="B281" s="2"/>
      <c r="C281" s="74"/>
      <c r="D281" s="74"/>
      <c r="E281" s="74"/>
      <c r="F281" s="74"/>
      <c r="G281" s="74"/>
      <c r="H281" s="74"/>
      <c r="I281" s="74"/>
      <c r="J281" s="74"/>
      <c r="K281" s="192"/>
      <c r="L281" s="192"/>
      <c r="M281" s="75"/>
      <c r="N281" s="2"/>
      <c r="O281" s="2"/>
      <c r="P281" s="2"/>
      <c r="Q281" s="2"/>
      <c r="R281" s="2"/>
    </row>
    <row r="282" spans="1:18" x14ac:dyDescent="0.2">
      <c r="A282" s="2"/>
      <c r="B282" s="2"/>
      <c r="C282" s="74"/>
      <c r="D282" s="74"/>
      <c r="E282" s="74"/>
      <c r="F282" s="74"/>
      <c r="G282" s="74"/>
      <c r="H282" s="74"/>
      <c r="I282" s="74"/>
      <c r="J282" s="74"/>
      <c r="K282" s="192"/>
      <c r="L282" s="192"/>
      <c r="M282" s="75"/>
      <c r="N282" s="2"/>
      <c r="O282" s="2"/>
      <c r="P282" s="2"/>
      <c r="Q282" s="2"/>
      <c r="R282" s="2"/>
    </row>
    <row r="283" spans="1:18" x14ac:dyDescent="0.2">
      <c r="A283" s="2"/>
      <c r="B283" s="2"/>
      <c r="C283" s="74"/>
      <c r="D283" s="74"/>
      <c r="E283" s="74"/>
      <c r="F283" s="74"/>
      <c r="G283" s="74"/>
      <c r="H283" s="74"/>
      <c r="I283" s="74"/>
      <c r="J283" s="74"/>
      <c r="K283" s="192"/>
      <c r="L283" s="192"/>
      <c r="M283" s="75"/>
      <c r="N283" s="2"/>
      <c r="O283" s="2"/>
      <c r="P283" s="2"/>
      <c r="Q283" s="2"/>
      <c r="R283" s="2"/>
    </row>
    <row r="284" spans="1:18" x14ac:dyDescent="0.2">
      <c r="A284" s="2"/>
      <c r="B284" s="2"/>
      <c r="C284" s="74"/>
      <c r="D284" s="74"/>
      <c r="E284" s="74"/>
      <c r="F284" s="74"/>
      <c r="G284" s="74"/>
      <c r="H284" s="74"/>
      <c r="I284" s="74"/>
      <c r="J284" s="74"/>
      <c r="K284" s="192"/>
      <c r="L284" s="192"/>
      <c r="M284" s="75"/>
      <c r="N284" s="2"/>
      <c r="O284" s="2"/>
      <c r="P284" s="2"/>
      <c r="Q284" s="2"/>
      <c r="R284" s="2"/>
    </row>
    <row r="285" spans="1:18" x14ac:dyDescent="0.2">
      <c r="A285" s="2"/>
      <c r="B285" s="2"/>
      <c r="C285" s="74"/>
      <c r="D285" s="74"/>
      <c r="E285" s="74"/>
      <c r="F285" s="74"/>
      <c r="G285" s="74"/>
      <c r="H285" s="74"/>
      <c r="I285" s="74"/>
      <c r="J285" s="74"/>
      <c r="K285" s="192"/>
      <c r="L285" s="192"/>
      <c r="M285" s="75"/>
      <c r="N285" s="2"/>
      <c r="O285" s="2"/>
      <c r="P285" s="2"/>
      <c r="Q285" s="2"/>
      <c r="R285" s="2"/>
    </row>
    <row r="286" spans="1:18" x14ac:dyDescent="0.2">
      <c r="A286" s="2"/>
      <c r="B286" s="2"/>
      <c r="C286" s="74"/>
      <c r="D286" s="74"/>
      <c r="E286" s="74"/>
      <c r="F286" s="74"/>
      <c r="G286" s="74"/>
      <c r="H286" s="74"/>
      <c r="I286" s="74"/>
      <c r="J286" s="74"/>
      <c r="K286" s="192"/>
      <c r="L286" s="192"/>
      <c r="M286" s="75"/>
      <c r="N286" s="2"/>
      <c r="O286" s="2"/>
      <c r="P286" s="2"/>
      <c r="Q286" s="2"/>
      <c r="R286" s="2"/>
    </row>
    <row r="287" spans="1:18" x14ac:dyDescent="0.2">
      <c r="A287" s="2"/>
      <c r="B287" s="2"/>
      <c r="C287" s="74"/>
      <c r="D287" s="74"/>
      <c r="E287" s="74"/>
      <c r="F287" s="74"/>
      <c r="G287" s="74"/>
      <c r="H287" s="74"/>
      <c r="I287" s="74"/>
      <c r="J287" s="74"/>
      <c r="K287" s="192"/>
      <c r="L287" s="192"/>
      <c r="M287" s="75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2"/>
      <c r="L288" s="192"/>
      <c r="M288" s="75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2"/>
      <c r="L289" s="192"/>
      <c r="M289" s="75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2"/>
      <c r="L290" s="192"/>
      <c r="M290" s="75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2"/>
      <c r="L291" s="192"/>
      <c r="M291" s="75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2"/>
      <c r="L292" s="192"/>
      <c r="M292" s="75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2"/>
      <c r="L293" s="192"/>
      <c r="M293" s="75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2"/>
      <c r="L294" s="192"/>
      <c r="M294" s="75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2"/>
      <c r="L295" s="192"/>
      <c r="M295" s="75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2"/>
      <c r="L296" s="192"/>
      <c r="M296" s="75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2"/>
      <c r="L297" s="192"/>
      <c r="M297" s="75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2"/>
      <c r="L298" s="192"/>
      <c r="M298" s="75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2"/>
      <c r="L299" s="192"/>
      <c r="M299" s="75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2"/>
      <c r="L300" s="192"/>
      <c r="M300" s="75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2"/>
      <c r="L301" s="192"/>
      <c r="M301" s="75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2"/>
      <c r="L302" s="192"/>
      <c r="M302" s="75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2"/>
      <c r="L303" s="192"/>
      <c r="M303" s="75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2"/>
      <c r="L304" s="192"/>
      <c r="M304" s="75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2"/>
      <c r="L305" s="192"/>
      <c r="M305" s="75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2"/>
      <c r="L306" s="192"/>
      <c r="M306" s="75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2"/>
      <c r="L307" s="192"/>
      <c r="M307" s="75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2"/>
      <c r="L308" s="192"/>
      <c r="M308" s="75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2"/>
      <c r="L309" s="192"/>
      <c r="M309" s="75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2"/>
      <c r="L310" s="192"/>
      <c r="M310" s="75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2"/>
      <c r="L311" s="192"/>
      <c r="M311" s="75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2"/>
      <c r="L312" s="192"/>
      <c r="M312" s="75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2"/>
      <c r="L313" s="192"/>
      <c r="M313" s="75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2"/>
      <c r="L314" s="192"/>
      <c r="M314" s="75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2"/>
      <c r="L315" s="192"/>
      <c r="M315" s="75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2"/>
      <c r="L316" s="192"/>
      <c r="M316" s="75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2"/>
      <c r="L317" s="192"/>
      <c r="M317" s="75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2"/>
      <c r="L318" s="192"/>
      <c r="M318" s="75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2"/>
      <c r="L319" s="192"/>
      <c r="M319" s="75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2"/>
      <c r="L320" s="192"/>
      <c r="M320" s="75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2"/>
      <c r="L321" s="192"/>
      <c r="M321" s="75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2"/>
      <c r="L322" s="192"/>
      <c r="M322" s="75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2"/>
      <c r="L323" s="192"/>
      <c r="M323" s="75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2"/>
      <c r="L324" s="192"/>
      <c r="M324" s="75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2"/>
      <c r="L325" s="192"/>
      <c r="M325" s="75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2"/>
      <c r="L326" s="192"/>
      <c r="M326" s="75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2"/>
      <c r="L327" s="192"/>
      <c r="M327" s="75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2"/>
      <c r="L328" s="192"/>
      <c r="M328" s="75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2"/>
      <c r="L329" s="192"/>
      <c r="M329" s="75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2"/>
      <c r="L330" s="192"/>
      <c r="M330" s="75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2"/>
      <c r="L331" s="192"/>
      <c r="M331" s="75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2"/>
      <c r="L332" s="192"/>
      <c r="M332" s="75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2"/>
      <c r="L333" s="192"/>
      <c r="M333" s="75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2"/>
      <c r="L334" s="192"/>
      <c r="M334" s="75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2"/>
      <c r="L335" s="192"/>
      <c r="M335" s="75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2"/>
      <c r="L336" s="192"/>
      <c r="M336" s="75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2"/>
      <c r="L337" s="192"/>
      <c r="M337" s="75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2"/>
      <c r="L338" s="192"/>
      <c r="M338" s="75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2"/>
      <c r="L339" s="192"/>
      <c r="M339" s="75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2"/>
      <c r="L340" s="192"/>
      <c r="M340" s="75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2"/>
      <c r="L341" s="192"/>
      <c r="M341" s="75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2"/>
      <c r="L342" s="192"/>
      <c r="M342" s="75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2"/>
      <c r="L343" s="192"/>
      <c r="M343" s="75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2"/>
      <c r="L344" s="192"/>
      <c r="M344" s="75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2"/>
      <c r="L345" s="192"/>
      <c r="M345" s="75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2"/>
      <c r="L346" s="192"/>
      <c r="M346" s="75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2"/>
      <c r="L347" s="192"/>
      <c r="M347" s="75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2"/>
      <c r="L348" s="192"/>
      <c r="M348" s="75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2"/>
      <c r="L349" s="192"/>
      <c r="M349" s="75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2"/>
      <c r="L350" s="192"/>
      <c r="M350" s="75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2"/>
      <c r="L351" s="192"/>
      <c r="M351" s="75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2"/>
      <c r="L352" s="192"/>
      <c r="M352" s="75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2"/>
      <c r="L353" s="192"/>
      <c r="M353" s="75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2"/>
      <c r="L354" s="192"/>
      <c r="M354" s="75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2"/>
      <c r="L355" s="192"/>
      <c r="M355" s="75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2"/>
      <c r="L356" s="192"/>
      <c r="M356" s="75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2"/>
      <c r="L357" s="192"/>
      <c r="M357" s="75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2"/>
      <c r="L358" s="192"/>
      <c r="M358" s="75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2"/>
      <c r="L359" s="192"/>
      <c r="M359" s="75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2"/>
      <c r="L360" s="192"/>
      <c r="M360" s="75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2"/>
      <c r="L361" s="192"/>
      <c r="M361" s="75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2"/>
      <c r="L362" s="192"/>
      <c r="M362" s="75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2"/>
      <c r="L363" s="192"/>
      <c r="M363" s="75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2"/>
      <c r="L364" s="192"/>
      <c r="M364" s="75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2"/>
      <c r="L365" s="192"/>
      <c r="M365" s="75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2"/>
      <c r="L366" s="192"/>
      <c r="M366" s="75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2"/>
      <c r="L367" s="192"/>
      <c r="M367" s="75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2"/>
      <c r="L368" s="192"/>
      <c r="M368" s="75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2"/>
      <c r="L369" s="192"/>
      <c r="M369" s="75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2"/>
      <c r="L370" s="192"/>
      <c r="M370" s="75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2"/>
      <c r="L371" s="192"/>
      <c r="M371" s="75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2"/>
      <c r="L372" s="192"/>
      <c r="M372" s="75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2"/>
      <c r="L373" s="192"/>
      <c r="M373" s="75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2"/>
      <c r="L374" s="192"/>
      <c r="M374" s="75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2"/>
      <c r="L375" s="192"/>
      <c r="M375" s="75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2"/>
      <c r="L376" s="192"/>
      <c r="M376" s="75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2"/>
      <c r="L377" s="192"/>
      <c r="M377" s="75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2"/>
      <c r="L378" s="192"/>
      <c r="M378" s="75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2"/>
      <c r="L379" s="192"/>
      <c r="M379" s="75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2"/>
      <c r="L380" s="192"/>
      <c r="M380" s="75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2"/>
      <c r="L381" s="192"/>
      <c r="M381" s="75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2"/>
      <c r="L382" s="192"/>
      <c r="M382" s="75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2"/>
      <c r="L383" s="192"/>
      <c r="M383" s="75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2"/>
      <c r="L384" s="192"/>
      <c r="M384" s="75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2"/>
      <c r="L385" s="192"/>
      <c r="M385" s="75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2"/>
      <c r="L386" s="192"/>
      <c r="M386" s="75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2"/>
      <c r="L387" s="192"/>
      <c r="M387" s="75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2"/>
      <c r="L388" s="192"/>
      <c r="M388" s="75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2"/>
      <c r="L389" s="192"/>
      <c r="M389" s="75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2"/>
      <c r="L390" s="192"/>
      <c r="M390" s="75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2"/>
      <c r="L391" s="192"/>
      <c r="M391" s="75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2"/>
      <c r="L392" s="192"/>
      <c r="M392" s="75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2"/>
      <c r="L393" s="192"/>
      <c r="M393" s="75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2"/>
      <c r="L394" s="192"/>
      <c r="M394" s="75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2"/>
      <c r="L395" s="192"/>
      <c r="M395" s="75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2"/>
      <c r="L396" s="192"/>
      <c r="M396" s="75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2"/>
      <c r="L397" s="192"/>
      <c r="M397" s="75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2"/>
      <c r="L398" s="192"/>
      <c r="M398" s="75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2"/>
      <c r="L399" s="192"/>
      <c r="M399" s="75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2"/>
      <c r="L400" s="192"/>
      <c r="M400" s="75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2"/>
      <c r="L401" s="192"/>
      <c r="M401" s="75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2"/>
      <c r="L402" s="192"/>
      <c r="M402" s="75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2"/>
      <c r="L403" s="192"/>
      <c r="M403" s="75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2"/>
      <c r="L404" s="192"/>
      <c r="M404" s="75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2"/>
      <c r="L405" s="192"/>
      <c r="M405" s="75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2"/>
      <c r="L406" s="192"/>
      <c r="M406" s="75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2"/>
      <c r="L407" s="192"/>
      <c r="M407" s="75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2"/>
      <c r="L408" s="192"/>
      <c r="M408" s="75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2"/>
      <c r="L409" s="192"/>
      <c r="M409" s="75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2"/>
      <c r="L410" s="192"/>
      <c r="M410" s="75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2"/>
      <c r="L411" s="192"/>
      <c r="M411" s="75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2"/>
      <c r="L412" s="192"/>
      <c r="M412" s="75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2"/>
      <c r="L413" s="192"/>
      <c r="M413" s="75"/>
      <c r="N413" s="2"/>
      <c r="O413" s="2"/>
      <c r="P413" s="2"/>
      <c r="Q413" s="2"/>
      <c r="R413" s="2"/>
    </row>
  </sheetData>
  <phoneticPr fontId="0" type="noConversion"/>
  <printOptions horizontalCentered="1"/>
  <pageMargins left="0.45" right="0.25" top="0.31944444444444398" bottom="0.2" header="0.5" footer="0.5"/>
  <pageSetup scale="56" orientation="landscape" r:id="rId1"/>
  <headerFooter alignWithMargins="0"/>
  <rowBreaks count="2" manualBreakCount="2">
    <brk id="57" max="12" man="1"/>
    <brk id="10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16" sqref="A16"/>
    </sheetView>
  </sheetViews>
  <sheetFormatPr defaultColWidth="9.6640625" defaultRowHeight="15" x14ac:dyDescent="0.2"/>
  <cols>
    <col min="1" max="1" width="10.21875" style="80" customWidth="1"/>
    <col min="2" max="2" width="9.77734375" style="80" customWidth="1"/>
    <col min="3" max="3" width="16.109375" style="80" customWidth="1"/>
    <col min="4" max="4" width="26.21875" style="80" customWidth="1"/>
    <col min="5" max="6" width="13.6640625" style="80" customWidth="1"/>
    <col min="7" max="7" width="16" style="80" customWidth="1"/>
    <col min="8" max="8" width="12.44140625" style="80" customWidth="1"/>
    <col min="9" max="9" width="15.88671875" style="80" customWidth="1"/>
    <col min="10" max="10" width="14.6640625" style="80" customWidth="1"/>
    <col min="11" max="11" width="11.5546875" style="80" customWidth="1"/>
    <col min="12" max="12" width="12.77734375" style="80" customWidth="1"/>
    <col min="13" max="13" width="14.5546875" style="80" customWidth="1"/>
    <col min="14" max="14" width="10.109375" style="80" customWidth="1"/>
    <col min="15" max="15" width="13.44140625" style="80" customWidth="1"/>
    <col min="16" max="16" width="3.77734375" style="80" customWidth="1"/>
    <col min="17" max="16384" width="9.6640625" style="80"/>
  </cols>
  <sheetData>
    <row r="1" spans="1:16" ht="23.25" x14ac:dyDescent="0.35">
      <c r="A1" s="78" t="s">
        <v>0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ht="23.25" x14ac:dyDescent="0.35">
      <c r="A2" s="78" t="s">
        <v>21</v>
      </c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t="23.25" x14ac:dyDescent="0.35">
      <c r="A3" s="282" t="s">
        <v>73</v>
      </c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6" ht="23.25" x14ac:dyDescent="0.3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6" ht="24" thickBot="1" x14ac:dyDescent="0.4">
      <c r="A5" s="78" t="s">
        <v>22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6" ht="16.5" thickTop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 t="s">
        <v>23</v>
      </c>
      <c r="P6" s="83"/>
    </row>
    <row r="7" spans="1:16" ht="15.75" x14ac:dyDescent="0.25">
      <c r="A7" s="105" t="s">
        <v>24</v>
      </c>
      <c r="B7" s="84" t="s">
        <v>13</v>
      </c>
      <c r="C7" s="84" t="s">
        <v>15</v>
      </c>
      <c r="D7" s="84" t="s">
        <v>62</v>
      </c>
      <c r="E7" s="275" t="s">
        <v>55</v>
      </c>
      <c r="F7" s="84" t="s">
        <v>60</v>
      </c>
      <c r="G7" s="84" t="s">
        <v>63</v>
      </c>
      <c r="H7" s="84" t="s">
        <v>68</v>
      </c>
      <c r="I7" s="84" t="s">
        <v>70</v>
      </c>
      <c r="J7" s="84" t="s">
        <v>25</v>
      </c>
      <c r="K7" s="84" t="s">
        <v>52</v>
      </c>
      <c r="L7" s="84" t="s">
        <v>50</v>
      </c>
      <c r="M7" s="84" t="s">
        <v>17</v>
      </c>
      <c r="N7" s="84" t="s">
        <v>51</v>
      </c>
      <c r="O7" s="84" t="s">
        <v>26</v>
      </c>
      <c r="P7" s="83"/>
    </row>
    <row r="8" spans="1:16" ht="16.5" thickBot="1" x14ac:dyDescent="0.3">
      <c r="A8" s="85"/>
      <c r="B8" s="85"/>
      <c r="C8" s="85"/>
      <c r="D8" s="85"/>
      <c r="E8" s="276"/>
      <c r="F8" s="85"/>
      <c r="G8" s="85"/>
      <c r="H8" s="85"/>
      <c r="I8" s="85"/>
      <c r="J8" s="85"/>
      <c r="K8" s="85"/>
      <c r="L8" s="85"/>
      <c r="M8" s="85"/>
      <c r="N8" s="85"/>
      <c r="O8" s="85"/>
      <c r="P8" s="83"/>
    </row>
    <row r="9" spans="1:16" ht="15.75" thickTop="1" x14ac:dyDescent="0.2">
      <c r="A9" s="86"/>
      <c r="B9" s="86"/>
      <c r="C9" s="86"/>
      <c r="D9" s="86"/>
      <c r="E9" s="87"/>
      <c r="F9" s="87"/>
      <c r="G9" s="87"/>
      <c r="H9" s="87"/>
      <c r="I9" s="87"/>
      <c r="J9" s="86"/>
      <c r="K9" s="86"/>
      <c r="L9" s="86"/>
      <c r="M9" s="86"/>
      <c r="N9" s="86"/>
      <c r="O9" s="86"/>
      <c r="P9" s="83"/>
    </row>
    <row r="10" spans="1:16" ht="15.75" x14ac:dyDescent="0.25">
      <c r="A10" s="88">
        <f>DATE(2023,7,1)</f>
        <v>45108</v>
      </c>
      <c r="B10" s="89">
        <f>'MONTHLY STATS'!$C$9*2</f>
        <v>397942</v>
      </c>
      <c r="C10" s="89">
        <f>'MONTHLY STATS'!$C$19*2</f>
        <v>229528</v>
      </c>
      <c r="D10" s="89">
        <f>'MONTHLY STATS'!$C$29*2</f>
        <v>124414</v>
      </c>
      <c r="E10" s="89">
        <f>'MONTHLY STATS'!$C$39*2</f>
        <v>703680</v>
      </c>
      <c r="F10" s="89">
        <f>'MONTHLY STATS'!$C$49*2</f>
        <v>399396</v>
      </c>
      <c r="G10" s="89">
        <f>'MONTHLY STATS'!$C$59*2</f>
        <v>188900</v>
      </c>
      <c r="H10" s="89">
        <f>'MONTHLY STATS'!$C$69*2</f>
        <v>438240</v>
      </c>
      <c r="I10" s="89">
        <f>'MONTHLY STATS'!$C$79*2</f>
        <v>455910</v>
      </c>
      <c r="J10" s="89">
        <f>'MONTHLY STATS'!$C$89*2</f>
        <v>524176</v>
      </c>
      <c r="K10" s="89">
        <f>'MONTHLY STATS'!$C$99*2</f>
        <v>745328</v>
      </c>
      <c r="L10" s="89">
        <f>'MONTHLY STATS'!$C$109*2</f>
        <v>86244</v>
      </c>
      <c r="M10" s="89">
        <f>'MONTHLY STATS'!$C$119*2</f>
        <v>682716</v>
      </c>
      <c r="N10" s="89">
        <f>'MONTHLY STATS'!$C$129*2</f>
        <v>132646</v>
      </c>
      <c r="O10" s="90">
        <f t="shared" ref="O10:O15" si="0">SUM(B10:N10)</f>
        <v>5109120</v>
      </c>
      <c r="P10" s="83"/>
    </row>
    <row r="11" spans="1:16" ht="15.75" x14ac:dyDescent="0.25">
      <c r="A11" s="88">
        <f>DATE(2023,8,1)</f>
        <v>45139</v>
      </c>
      <c r="B11" s="89">
        <f>'MONTHLY STATS'!$C$10*2</f>
        <v>371172</v>
      </c>
      <c r="C11" s="89">
        <f>'MONTHLY STATS'!$C$20*2</f>
        <v>206976</v>
      </c>
      <c r="D11" s="89">
        <f>'MONTHLY STATS'!$C$30*2</f>
        <v>111582</v>
      </c>
      <c r="E11" s="89">
        <f>'MONTHLY STATS'!$C$40*2</f>
        <v>661644</v>
      </c>
      <c r="F11" s="89">
        <f>'MONTHLY STATS'!$C$50*2</f>
        <v>371724</v>
      </c>
      <c r="G11" s="89">
        <f>'MONTHLY STATS'!$C$60*2</f>
        <v>171280</v>
      </c>
      <c r="H11" s="89">
        <f>'MONTHLY STATS'!$C$70*2</f>
        <v>436176</v>
      </c>
      <c r="I11" s="89">
        <f>'MONTHLY STATS'!$C$80*2</f>
        <v>427886</v>
      </c>
      <c r="J11" s="89">
        <f>'MONTHLY STATS'!$C$90*2</f>
        <v>478446</v>
      </c>
      <c r="K11" s="89">
        <f>'MONTHLY STATS'!$C$100*2</f>
        <v>685290</v>
      </c>
      <c r="L11" s="89">
        <f>'MONTHLY STATS'!$C$110*2</f>
        <v>77588</v>
      </c>
      <c r="M11" s="89">
        <f>'MONTHLY STATS'!$C$120*2</f>
        <v>652506</v>
      </c>
      <c r="N11" s="89">
        <f>'MONTHLY STATS'!$C$130*2</f>
        <v>127788</v>
      </c>
      <c r="O11" s="90">
        <f t="shared" si="0"/>
        <v>4780058</v>
      </c>
      <c r="P11" s="83"/>
    </row>
    <row r="12" spans="1:16" ht="15.75" x14ac:dyDescent="0.25">
      <c r="A12" s="88">
        <f>DATE(2023,9,1)</f>
        <v>45170</v>
      </c>
      <c r="B12" s="89">
        <f>'MONTHLY STATS'!$C$11*2</f>
        <v>371408</v>
      </c>
      <c r="C12" s="89">
        <f>'MONTHLY STATS'!$C$21*2</f>
        <v>200608</v>
      </c>
      <c r="D12" s="89">
        <f>'MONTHLY STATS'!$C$31*2</f>
        <v>113374</v>
      </c>
      <c r="E12" s="89">
        <f>'MONTHLY STATS'!$C$41*2</f>
        <v>633924</v>
      </c>
      <c r="F12" s="89">
        <f>'MONTHLY STATS'!$C$51*2</f>
        <v>375262</v>
      </c>
      <c r="G12" s="89">
        <f>'MONTHLY STATS'!$C$61*2</f>
        <v>170280</v>
      </c>
      <c r="H12" s="89">
        <f>'MONTHLY STATS'!$C$71*2</f>
        <v>483586</v>
      </c>
      <c r="I12" s="89">
        <f>'MONTHLY STATS'!$C$81*2</f>
        <v>421612</v>
      </c>
      <c r="J12" s="89">
        <f>'MONTHLY STATS'!$C$91*2</f>
        <v>496626</v>
      </c>
      <c r="K12" s="89">
        <f>'MONTHLY STATS'!$C$101*2</f>
        <v>681256</v>
      </c>
      <c r="L12" s="89">
        <f>'MONTHLY STATS'!$C$111*2</f>
        <v>78048</v>
      </c>
      <c r="M12" s="89">
        <f>'MONTHLY STATS'!$C$121*2</f>
        <v>661610</v>
      </c>
      <c r="N12" s="89">
        <f>'MONTHLY STATS'!$C$131*2</f>
        <v>122756</v>
      </c>
      <c r="O12" s="90">
        <f t="shared" si="0"/>
        <v>4810350</v>
      </c>
      <c r="P12" s="83"/>
    </row>
    <row r="13" spans="1:16" ht="15.75" x14ac:dyDescent="0.25">
      <c r="A13" s="88">
        <f>DATE(2023,10,1)</f>
        <v>45200</v>
      </c>
      <c r="B13" s="89">
        <f>'MONTHLY STATS'!$C$12*2</f>
        <v>338922</v>
      </c>
      <c r="C13" s="89">
        <f>'MONTHLY STATS'!$C$22*2</f>
        <v>186356</v>
      </c>
      <c r="D13" s="89">
        <f>'MONTHLY STATS'!$C$32*2</f>
        <v>100636</v>
      </c>
      <c r="E13" s="89">
        <f>'MONTHLY STATS'!$C$42*2</f>
        <v>577604</v>
      </c>
      <c r="F13" s="89">
        <f>'MONTHLY STATS'!$C$52*2</f>
        <v>367450</v>
      </c>
      <c r="G13" s="89">
        <f>'MONTHLY STATS'!$C$62*2</f>
        <v>156624</v>
      </c>
      <c r="H13" s="89">
        <f>'MONTHLY STATS'!$C$72*2</f>
        <v>490124</v>
      </c>
      <c r="I13" s="89">
        <f>'MONTHLY STATS'!$C$82*2</f>
        <v>384400</v>
      </c>
      <c r="J13" s="89">
        <f>'MONTHLY STATS'!$C$92*2</f>
        <v>455924</v>
      </c>
      <c r="K13" s="89">
        <f>'MONTHLY STATS'!$C$102*2</f>
        <v>660486</v>
      </c>
      <c r="L13" s="89">
        <f>'MONTHLY STATS'!$C$112*2</f>
        <v>79152</v>
      </c>
      <c r="M13" s="89">
        <f>'MONTHLY STATS'!$C$122*2</f>
        <v>608408</v>
      </c>
      <c r="N13" s="89">
        <f>'MONTHLY STATS'!$C$132*2</f>
        <v>114994</v>
      </c>
      <c r="O13" s="90">
        <f t="shared" si="0"/>
        <v>4521080</v>
      </c>
      <c r="P13" s="83"/>
    </row>
    <row r="14" spans="1:16" ht="15.75" x14ac:dyDescent="0.25">
      <c r="A14" s="88">
        <f>DATE(2023,11,1)</f>
        <v>45231</v>
      </c>
      <c r="B14" s="89">
        <f>'MONTHLY STATS'!$C$13*2</f>
        <v>352150</v>
      </c>
      <c r="C14" s="89">
        <f>'MONTHLY STATS'!$C$23*2</f>
        <v>178800</v>
      </c>
      <c r="D14" s="89">
        <f>'MONTHLY STATS'!$C$33*2</f>
        <v>100882</v>
      </c>
      <c r="E14" s="89">
        <f>'MONTHLY STATS'!$C$43*2</f>
        <v>577830</v>
      </c>
      <c r="F14" s="89">
        <f>'MONTHLY STATS'!$C$53*2</f>
        <v>336434</v>
      </c>
      <c r="G14" s="89">
        <f>'MONTHLY STATS'!$C$63*2</f>
        <v>153312</v>
      </c>
      <c r="H14" s="89">
        <f>'MONTHLY STATS'!$C$73*2</f>
        <v>470798</v>
      </c>
      <c r="I14" s="89">
        <f>'MONTHLY STATS'!$C$83*2</f>
        <v>394122</v>
      </c>
      <c r="J14" s="89">
        <f>'MONTHLY STATS'!$C$93*2</f>
        <v>448550</v>
      </c>
      <c r="K14" s="89">
        <f>'MONTHLY STATS'!$C$103*2</f>
        <v>682216</v>
      </c>
      <c r="L14" s="89">
        <f>'MONTHLY STATS'!$C$113*2</f>
        <v>77840</v>
      </c>
      <c r="M14" s="89">
        <f>'MONTHLY STATS'!$C$123*2</f>
        <v>614606</v>
      </c>
      <c r="N14" s="89">
        <f>'MONTHLY STATS'!$C$133*2</f>
        <v>115906</v>
      </c>
      <c r="O14" s="90">
        <f t="shared" si="0"/>
        <v>4503446</v>
      </c>
      <c r="P14" s="83"/>
    </row>
    <row r="15" spans="1:16" ht="15.75" x14ac:dyDescent="0.25">
      <c r="A15" s="88">
        <f>DATE(2023,12,1)</f>
        <v>45261</v>
      </c>
      <c r="B15" s="89">
        <f>'MONTHLY STATS'!$C$14*2</f>
        <v>409404</v>
      </c>
      <c r="C15" s="89">
        <f>'MONTHLY STATS'!$C$24*2</f>
        <v>206564</v>
      </c>
      <c r="D15" s="89">
        <f>'MONTHLY STATS'!$C$34*2</f>
        <v>112680</v>
      </c>
      <c r="E15" s="89">
        <f>'MONTHLY STATS'!$C$44*2</f>
        <v>629486</v>
      </c>
      <c r="F15" s="89">
        <f>'MONTHLY STATS'!$C$54*2</f>
        <v>404400</v>
      </c>
      <c r="G15" s="89">
        <f>'MONTHLY STATS'!$C$64*2</f>
        <v>193580</v>
      </c>
      <c r="H15" s="89">
        <f>'MONTHLY STATS'!$C$74*2</f>
        <v>478824</v>
      </c>
      <c r="I15" s="89">
        <f>'MONTHLY STATS'!$C$84*2</f>
        <v>445790</v>
      </c>
      <c r="J15" s="89">
        <f>'MONTHLY STATS'!$C$94*2</f>
        <v>540324</v>
      </c>
      <c r="K15" s="89">
        <f>'MONTHLY STATS'!$C$104*2</f>
        <v>721190</v>
      </c>
      <c r="L15" s="89">
        <f>'MONTHLY STATS'!$C$114*2</f>
        <v>79872</v>
      </c>
      <c r="M15" s="89">
        <f>'MONTHLY STATS'!$C$124*2</f>
        <v>748062</v>
      </c>
      <c r="N15" s="89">
        <f>'MONTHLY STATS'!$C$134*2</f>
        <v>140488</v>
      </c>
      <c r="O15" s="90">
        <f t="shared" si="0"/>
        <v>5110664</v>
      </c>
      <c r="P15" s="83"/>
    </row>
    <row r="16" spans="1:16" ht="15.75" x14ac:dyDescent="0.25">
      <c r="A16" s="88">
        <f>DATE(2024,1,1)</f>
        <v>45292</v>
      </c>
      <c r="B16" s="89">
        <f>'MONTHLY STATS'!$C$15*2</f>
        <v>317664</v>
      </c>
      <c r="C16" s="89">
        <f>'MONTHLY STATS'!$C$25*2</f>
        <v>158782</v>
      </c>
      <c r="D16" s="89">
        <f>'MONTHLY STATS'!$C$35*2</f>
        <v>89166</v>
      </c>
      <c r="E16" s="89">
        <f>'MONTHLY STATS'!$C$45*2</f>
        <v>520486</v>
      </c>
      <c r="F16" s="89">
        <f>'MONTHLY STATS'!$C$55*2</f>
        <v>292264</v>
      </c>
      <c r="G16" s="89">
        <f>'MONTHLY STATS'!$C$65*2</f>
        <v>148668</v>
      </c>
      <c r="H16" s="89">
        <f>'MONTHLY STATS'!$C$75*2</f>
        <v>372706</v>
      </c>
      <c r="I16" s="89">
        <f>'MONTHLY STATS'!$C$85*2</f>
        <v>344042</v>
      </c>
      <c r="J16" s="89">
        <f>'MONTHLY STATS'!$C$95*2</f>
        <v>396628</v>
      </c>
      <c r="K16" s="89">
        <f>'MONTHLY STATS'!$C$105*2</f>
        <v>620956</v>
      </c>
      <c r="L16" s="89">
        <f>'MONTHLY STATS'!$C$115*2</f>
        <v>56846</v>
      </c>
      <c r="M16" s="89">
        <f>'MONTHLY STATS'!$C$125*2</f>
        <v>590914</v>
      </c>
      <c r="N16" s="89">
        <f>'MONTHLY STATS'!$C$135*2</f>
        <v>105642</v>
      </c>
      <c r="O16" s="90">
        <f>SUM(B16:N16)</f>
        <v>4014764</v>
      </c>
      <c r="P16" s="83"/>
    </row>
    <row r="17" spans="1:16" ht="15.75" x14ac:dyDescent="0.25">
      <c r="A17" s="8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90"/>
      <c r="P17" s="83"/>
    </row>
    <row r="18" spans="1:16" ht="15.75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  <c r="P18" s="83"/>
    </row>
    <row r="19" spans="1:16" ht="15.75" x14ac:dyDescent="0.25">
      <c r="A19" s="8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90"/>
      <c r="P19" s="83"/>
    </row>
    <row r="20" spans="1:16" ht="15.75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83"/>
    </row>
    <row r="21" spans="1:16" ht="15.75" x14ac:dyDescent="0.2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90"/>
      <c r="P21" s="83"/>
    </row>
    <row r="22" spans="1:16" ht="15.75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  <c r="P22" s="83"/>
    </row>
    <row r="23" spans="1:16" ht="15.75" x14ac:dyDescent="0.25">
      <c r="A23" s="91" t="s">
        <v>27</v>
      </c>
      <c r="B23" s="90">
        <f t="shared" ref="B23:O23" si="1">SUM(B10:B21)</f>
        <v>2558662</v>
      </c>
      <c r="C23" s="90">
        <f t="shared" si="1"/>
        <v>1367614</v>
      </c>
      <c r="D23" s="90">
        <f t="shared" si="1"/>
        <v>752734</v>
      </c>
      <c r="E23" s="90">
        <f t="shared" si="1"/>
        <v>4304654</v>
      </c>
      <c r="F23" s="90">
        <f t="shared" si="1"/>
        <v>2546930</v>
      </c>
      <c r="G23" s="90">
        <f>SUM(G10:G21)</f>
        <v>1182644</v>
      </c>
      <c r="H23" s="90">
        <f t="shared" si="1"/>
        <v>3170454</v>
      </c>
      <c r="I23" s="90">
        <f>SUM(I10:I21)</f>
        <v>2873762</v>
      </c>
      <c r="J23" s="90">
        <f t="shared" si="1"/>
        <v>3340674</v>
      </c>
      <c r="K23" s="90">
        <f>SUM(K10:K21)</f>
        <v>4796722</v>
      </c>
      <c r="L23" s="90">
        <f t="shared" si="1"/>
        <v>535590</v>
      </c>
      <c r="M23" s="90">
        <f t="shared" si="1"/>
        <v>4558822</v>
      </c>
      <c r="N23" s="90">
        <f t="shared" si="1"/>
        <v>860220</v>
      </c>
      <c r="O23" s="90">
        <f t="shared" si="1"/>
        <v>32849482</v>
      </c>
      <c r="P23" s="83"/>
    </row>
    <row r="24" spans="1:16" ht="16.5" thickBot="1" x14ac:dyDescent="0.3">
      <c r="A24" s="92"/>
      <c r="B24" s="90"/>
      <c r="C24" s="90"/>
      <c r="D24" s="90"/>
      <c r="E24" s="89"/>
      <c r="F24" s="89"/>
      <c r="G24" s="89"/>
      <c r="H24" s="89"/>
      <c r="I24" s="89"/>
      <c r="J24" s="90"/>
      <c r="K24" s="90"/>
      <c r="L24" s="90"/>
      <c r="M24" s="90"/>
      <c r="N24" s="90"/>
      <c r="O24" s="90"/>
      <c r="P24" s="83"/>
    </row>
    <row r="25" spans="1:16" ht="15.75" thickTop="1" x14ac:dyDescent="0.2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5"/>
      <c r="L25" s="95"/>
      <c r="M25" s="95"/>
      <c r="N25" s="95"/>
      <c r="O25" s="95"/>
    </row>
    <row r="26" spans="1:16" ht="24" thickBot="1" x14ac:dyDescent="0.4">
      <c r="A26" s="96" t="s">
        <v>28</v>
      </c>
      <c r="B26" s="97"/>
      <c r="C26" s="98"/>
      <c r="D26" s="98"/>
      <c r="E26" s="98"/>
      <c r="F26" s="98"/>
      <c r="G26" s="98"/>
      <c r="H26" s="98"/>
      <c r="I26" s="98"/>
      <c r="J26" s="98"/>
      <c r="K26" s="99"/>
      <c r="L26" s="99"/>
      <c r="M26" s="99"/>
      <c r="N26" s="99"/>
      <c r="O26" s="99"/>
    </row>
    <row r="27" spans="1:16" ht="16.5" thickTop="1" x14ac:dyDescent="0.25">
      <c r="A27" s="100"/>
      <c r="B27" s="101"/>
      <c r="C27" s="101"/>
      <c r="D27" s="101"/>
      <c r="E27" s="102"/>
      <c r="F27" s="102"/>
      <c r="G27" s="102"/>
      <c r="H27" s="102"/>
      <c r="I27" s="102"/>
      <c r="J27" s="101"/>
      <c r="K27" s="103"/>
      <c r="L27" s="103"/>
      <c r="M27" s="103"/>
      <c r="N27" s="103"/>
      <c r="O27" s="104" t="s">
        <v>23</v>
      </c>
      <c r="P27" s="83"/>
    </row>
    <row r="28" spans="1:16" ht="15.75" x14ac:dyDescent="0.25">
      <c r="A28" s="105" t="s">
        <v>24</v>
      </c>
      <c r="B28" s="84" t="s">
        <v>13</v>
      </c>
      <c r="C28" s="84" t="s">
        <v>15</v>
      </c>
      <c r="D28" s="84" t="s">
        <v>62</v>
      </c>
      <c r="E28" s="275" t="s">
        <v>55</v>
      </c>
      <c r="F28" s="84" t="s">
        <v>60</v>
      </c>
      <c r="G28" s="84" t="s">
        <v>63</v>
      </c>
      <c r="H28" s="84" t="s">
        <v>68</v>
      </c>
      <c r="I28" s="84" t="s">
        <v>70</v>
      </c>
      <c r="J28" s="84" t="s">
        <v>25</v>
      </c>
      <c r="K28" s="106" t="s">
        <v>52</v>
      </c>
      <c r="L28" s="106" t="s">
        <v>50</v>
      </c>
      <c r="M28" s="106" t="s">
        <v>17</v>
      </c>
      <c r="N28" s="106" t="s">
        <v>51</v>
      </c>
      <c r="O28" s="106" t="s">
        <v>26</v>
      </c>
      <c r="P28" s="83"/>
    </row>
    <row r="29" spans="1:16" ht="16.5" thickBot="1" x14ac:dyDescent="0.3">
      <c r="A29" s="107"/>
      <c r="B29" s="108"/>
      <c r="C29" s="108"/>
      <c r="D29" s="108"/>
      <c r="E29" s="276"/>
      <c r="F29" s="84"/>
      <c r="G29" s="84"/>
      <c r="H29" s="84"/>
      <c r="I29" s="84"/>
      <c r="J29" s="108"/>
      <c r="K29" s="109"/>
      <c r="L29" s="109"/>
      <c r="M29" s="109"/>
      <c r="N29" s="109"/>
      <c r="O29" s="109"/>
      <c r="P29" s="83"/>
    </row>
    <row r="30" spans="1:16" ht="15.75" thickTop="1" x14ac:dyDescent="0.2">
      <c r="A30" s="110"/>
      <c r="B30" s="111"/>
      <c r="C30" s="111"/>
      <c r="D30" s="111"/>
      <c r="E30" s="112"/>
      <c r="F30" s="112"/>
      <c r="G30" s="112"/>
      <c r="H30" s="112"/>
      <c r="I30" s="112"/>
      <c r="J30" s="111"/>
      <c r="K30" s="113"/>
      <c r="L30" s="113"/>
      <c r="M30" s="113"/>
      <c r="N30" s="113"/>
      <c r="O30" s="113"/>
      <c r="P30" s="83"/>
    </row>
    <row r="31" spans="1:16" ht="15.75" x14ac:dyDescent="0.25">
      <c r="A31" s="88">
        <f>DATE(2023,7,1)</f>
        <v>45108</v>
      </c>
      <c r="B31" s="89">
        <f>'MONTHLY STATS'!$K$9*0.21</f>
        <v>3146216.0687999995</v>
      </c>
      <c r="C31" s="89">
        <f>'MONTHLY STATS'!$K$19*0.21</f>
        <v>1719921.4872000001</v>
      </c>
      <c r="D31" s="89">
        <f>'MONTHLY STATS'!$K$29*0.21</f>
        <v>817934.35290000006</v>
      </c>
      <c r="E31" s="89">
        <f>'MONTHLY STATS'!$K$39*0.21</f>
        <v>4674535.0217999993</v>
      </c>
      <c r="F31" s="89">
        <f>'MONTHLY STATS'!$K$49*0.21</f>
        <v>3228902.0589000001</v>
      </c>
      <c r="G31" s="89">
        <f>'MONTHLY STATS'!$K$59*0.21</f>
        <v>1319580.5342999999</v>
      </c>
      <c r="H31" s="89">
        <f>'MONTHLY STATS'!$K$69*0.21</f>
        <v>2268943.7148000002</v>
      </c>
      <c r="I31" s="89">
        <f>'MONTHLY STATS'!$K$79*0.21</f>
        <v>2947257.6987000001</v>
      </c>
      <c r="J31" s="89">
        <f>'MONTHLY STATS'!$K$89*0.21</f>
        <v>3704387.8221</v>
      </c>
      <c r="K31" s="89">
        <f>'MONTHLY STATS'!$K$99*0.21</f>
        <v>4669398.8481000001</v>
      </c>
      <c r="L31" s="89">
        <f>'MONTHLY STATS'!$K$109*0.21</f>
        <v>667459.5858</v>
      </c>
      <c r="M31" s="89">
        <f>'MONTHLY STATS'!$K$119*0.21</f>
        <v>5390821.3358999994</v>
      </c>
      <c r="N31" s="89">
        <f>'MONTHLY STATS'!$K$129*0.21</f>
        <v>821402.96069999994</v>
      </c>
      <c r="O31" s="90">
        <f t="shared" ref="O31:O36" si="2">SUM(B31:N31)</f>
        <v>35376761.489999995</v>
      </c>
      <c r="P31" s="83"/>
    </row>
    <row r="32" spans="1:16" ht="15.75" x14ac:dyDescent="0.25">
      <c r="A32" s="88">
        <f>DATE(2023,8,1)</f>
        <v>45139</v>
      </c>
      <c r="B32" s="89">
        <f>'MONTHLY STATS'!$K$10*0.21</f>
        <v>2966696.7791999998</v>
      </c>
      <c r="C32" s="89">
        <f>'MONTHLY STATS'!$K$20*0.21</f>
        <v>1570446.5763000001</v>
      </c>
      <c r="D32" s="89">
        <f>'MONTHLY STATS'!$K$30*0.21</f>
        <v>789048.26909999992</v>
      </c>
      <c r="E32" s="89">
        <f>'MONTHLY STATS'!$K$40*0.21</f>
        <v>4190646.3227999997</v>
      </c>
      <c r="F32" s="89">
        <f>'MONTHLY STATS'!$K$50*0.21</f>
        <v>2955351.3128999998</v>
      </c>
      <c r="G32" s="89">
        <f>'MONTHLY STATS'!$K$60*0.21</f>
        <v>1258922.0027999999</v>
      </c>
      <c r="H32" s="89">
        <f>'MONTHLY STATS'!$K$70*0.21</f>
        <v>2283147.1698000003</v>
      </c>
      <c r="I32" s="89">
        <f>'MONTHLY STATS'!$K$80*0.21</f>
        <v>2743960.2875999999</v>
      </c>
      <c r="J32" s="89">
        <f>'MONTHLY STATS'!$K$90*0.21</f>
        <v>3431592.2823000001</v>
      </c>
      <c r="K32" s="89">
        <f>'MONTHLY STATS'!$K$100*0.21</f>
        <v>4328763.0539999995</v>
      </c>
      <c r="L32" s="89">
        <f>'MONTHLY STATS'!$K$110*0.21</f>
        <v>603333.93329999992</v>
      </c>
      <c r="M32" s="89">
        <f>'MONTHLY STATS'!$K$120*0.21</f>
        <v>4902681.9807000002</v>
      </c>
      <c r="N32" s="89">
        <f>'MONTHLY STATS'!$K$130*0.21</f>
        <v>811071.1287</v>
      </c>
      <c r="O32" s="90">
        <f t="shared" si="2"/>
        <v>32835661.0995</v>
      </c>
      <c r="P32" s="83"/>
    </row>
    <row r="33" spans="1:16" ht="15.75" x14ac:dyDescent="0.25">
      <c r="A33" s="88">
        <f>DATE(2023,9,1)</f>
        <v>45170</v>
      </c>
      <c r="B33" s="89">
        <f>'MONTHLY STATS'!$K$11*0.21</f>
        <v>2684662.0877999999</v>
      </c>
      <c r="C33" s="89">
        <f>'MONTHLY STATS'!$K$21*0.21</f>
        <v>1512997.5902999998</v>
      </c>
      <c r="D33" s="89">
        <f>'MONTHLY STATS'!$K$31*0.21</f>
        <v>844931.44259999995</v>
      </c>
      <c r="E33" s="89">
        <f>'MONTHLY STATS'!$K$41*0.21</f>
        <v>4303547.5833000001</v>
      </c>
      <c r="F33" s="89">
        <f>'MONTHLY STATS'!$K$51*0.21</f>
        <v>2904963.7407</v>
      </c>
      <c r="G33" s="89">
        <f>'MONTHLY STATS'!$K$61*0.21</f>
        <v>1096871.5023000001</v>
      </c>
      <c r="H33" s="89">
        <f>'MONTHLY STATS'!$K$71*0.21</f>
        <v>2467521.0587999998</v>
      </c>
      <c r="I33" s="89">
        <f>'MONTHLY STATS'!$K$81*0.21</f>
        <v>2863533.4391999999</v>
      </c>
      <c r="J33" s="89">
        <f>'MONTHLY STATS'!$K$91*0.21</f>
        <v>3539927.4372</v>
      </c>
      <c r="K33" s="89">
        <f>'MONTHLY STATS'!$K$101*0.21</f>
        <v>4523369.9385000002</v>
      </c>
      <c r="L33" s="89">
        <f>'MONTHLY STATS'!$K$111*0.21</f>
        <v>603992.21609999996</v>
      </c>
      <c r="M33" s="89">
        <f>'MONTHLY STATS'!$K$121*0.21</f>
        <v>5166807.4521000003</v>
      </c>
      <c r="N33" s="89">
        <f>'MONTHLY STATS'!$K$131*0.21</f>
        <v>785676.32849999995</v>
      </c>
      <c r="O33" s="90">
        <f t="shared" si="2"/>
        <v>33298801.817399997</v>
      </c>
      <c r="P33" s="83"/>
    </row>
    <row r="34" spans="1:16" ht="15.75" x14ac:dyDescent="0.25">
      <c r="A34" s="88">
        <f>DATE(2023,10,1)</f>
        <v>45200</v>
      </c>
      <c r="B34" s="89">
        <f>'MONTHLY STATS'!$K$12*0.21</f>
        <v>2701032.6566999997</v>
      </c>
      <c r="C34" s="89">
        <f>'MONTHLY STATS'!$K$22*0.21</f>
        <v>1371526.7223</v>
      </c>
      <c r="D34" s="89">
        <f>'MONTHLY STATS'!$K$32*0.21</f>
        <v>777349.62899999996</v>
      </c>
      <c r="E34" s="89">
        <f>'MONTHLY STATS'!$K$42*0.21</f>
        <v>4064720.5997999995</v>
      </c>
      <c r="F34" s="89">
        <f>'MONTHLY STATS'!$K$52*0.21</f>
        <v>2814623.5781999999</v>
      </c>
      <c r="G34" s="89">
        <f>'MONTHLY STATS'!$K$62*0.21</f>
        <v>1101098.6049000002</v>
      </c>
      <c r="H34" s="89">
        <f>'MONTHLY STATS'!$K$72*0.21</f>
        <v>2478422.0201999997</v>
      </c>
      <c r="I34" s="89">
        <f>'MONTHLY STATS'!$K$82*0.21</f>
        <v>2430873.3078000001</v>
      </c>
      <c r="J34" s="89">
        <f>'MONTHLY STATS'!$K$92*0.21</f>
        <v>3345843.1041000001</v>
      </c>
      <c r="K34" s="89">
        <f>'MONTHLY STATS'!$K$102*0.21</f>
        <v>4155760.0769999996</v>
      </c>
      <c r="L34" s="89">
        <f>'MONTHLY STATS'!$K$112*0.21</f>
        <v>648912.18629999994</v>
      </c>
      <c r="M34" s="89">
        <f>'MONTHLY STATS'!$K$122*0.21</f>
        <v>4966779.1592999995</v>
      </c>
      <c r="N34" s="89">
        <f>'MONTHLY STATS'!$K$132*0.21</f>
        <v>743898.00659999996</v>
      </c>
      <c r="O34" s="90">
        <f t="shared" si="2"/>
        <v>31600839.652199995</v>
      </c>
      <c r="P34" s="83"/>
    </row>
    <row r="35" spans="1:16" ht="15.75" x14ac:dyDescent="0.25">
      <c r="A35" s="88">
        <f>DATE(2023,11,1)</f>
        <v>45231</v>
      </c>
      <c r="B35" s="89">
        <f>'MONTHLY STATS'!$K$13*0.21</f>
        <v>2650326.1154999998</v>
      </c>
      <c r="C35" s="89">
        <f>'MONTHLY STATS'!$K$23*0.21</f>
        <v>1426649.6768999998</v>
      </c>
      <c r="D35" s="89">
        <f>'MONTHLY STATS'!$K$33*0.21</f>
        <v>752874.89339999994</v>
      </c>
      <c r="E35" s="89">
        <f>'MONTHLY STATS'!$K$43*0.21</f>
        <v>4139318.5617</v>
      </c>
      <c r="F35" s="89">
        <f>'MONTHLY STATS'!$K$53*0.21</f>
        <v>2664497.5496999999</v>
      </c>
      <c r="G35" s="89">
        <f>'MONTHLY STATS'!$K$63*0.21</f>
        <v>1095222.4668000001</v>
      </c>
      <c r="H35" s="89">
        <f>'MONTHLY STATS'!$K$73*0.21</f>
        <v>2433806.1908999998</v>
      </c>
      <c r="I35" s="89">
        <f>'MONTHLY STATS'!$K$83*0.21</f>
        <v>2525556.2976000002</v>
      </c>
      <c r="J35" s="89">
        <f>'MONTHLY STATS'!$K$93*0.21</f>
        <v>3087729.1641000002</v>
      </c>
      <c r="K35" s="89">
        <f>'MONTHLY STATS'!$K$103*0.21</f>
        <v>4242167.8067999994</v>
      </c>
      <c r="L35" s="89">
        <f>'MONTHLY STATS'!$K$113*0.21</f>
        <v>579577.9584</v>
      </c>
      <c r="M35" s="89">
        <f>'MONTHLY STATS'!$K$123*0.21</f>
        <v>4635585.1227000002</v>
      </c>
      <c r="N35" s="89">
        <f>'MONTHLY STATS'!$K$133*0.21</f>
        <v>765300.58919999993</v>
      </c>
      <c r="O35" s="90">
        <f t="shared" si="2"/>
        <v>30998612.3937</v>
      </c>
      <c r="P35" s="83"/>
    </row>
    <row r="36" spans="1:16" ht="15.75" x14ac:dyDescent="0.25">
      <c r="A36" s="88">
        <f>DATE(2023,12,1)</f>
        <v>45261</v>
      </c>
      <c r="B36" s="89">
        <f>'MONTHLY STATS'!$K$14*0.21</f>
        <v>2897479.6179</v>
      </c>
      <c r="C36" s="89">
        <f>'MONTHLY STATS'!$K$24*0.21</f>
        <v>1639249.6091999998</v>
      </c>
      <c r="D36" s="89">
        <f>'MONTHLY STATS'!$K$34*0.21</f>
        <v>853822.77119999996</v>
      </c>
      <c r="E36" s="89">
        <f>'MONTHLY STATS'!$K$44*0.21</f>
        <v>4488511.4315999998</v>
      </c>
      <c r="F36" s="89">
        <f>'MONTHLY STATS'!$K$54*0.21</f>
        <v>3270009.0359999998</v>
      </c>
      <c r="G36" s="89">
        <f>'MONTHLY STATS'!$K$64*0.21</f>
        <v>1258609.1531999998</v>
      </c>
      <c r="H36" s="89">
        <f>'MONTHLY STATS'!$K$74*0.21</f>
        <v>2498746.5573</v>
      </c>
      <c r="I36" s="89">
        <f>'MONTHLY STATS'!$K$84*0.21</f>
        <v>2935601.6487000003</v>
      </c>
      <c r="J36" s="89">
        <f>'MONTHLY STATS'!$K$94*0.21</f>
        <v>3911817.7077000001</v>
      </c>
      <c r="K36" s="89">
        <f>'MONTHLY STATS'!$K$104*0.21</f>
        <v>4523552.733</v>
      </c>
      <c r="L36" s="89">
        <f>'MONTHLY STATS'!$K$114*0.21</f>
        <v>672575.88509999996</v>
      </c>
      <c r="M36" s="89">
        <f>'MONTHLY STATS'!$K$124*0.21</f>
        <v>5591406.8007000005</v>
      </c>
      <c r="N36" s="89">
        <f>'MONTHLY STATS'!$K$134*0.21</f>
        <v>959752.53359999997</v>
      </c>
      <c r="O36" s="90">
        <f t="shared" si="2"/>
        <v>35501135.485200003</v>
      </c>
      <c r="P36" s="83"/>
    </row>
    <row r="37" spans="1:16" ht="15.75" x14ac:dyDescent="0.25">
      <c r="A37" s="88">
        <f>DATE(2024,1,1)</f>
        <v>45292</v>
      </c>
      <c r="B37" s="89">
        <f>'MONTHLY STATS'!$K$15*0.21</f>
        <v>2601939.4001999996</v>
      </c>
      <c r="C37" s="89">
        <f>'MONTHLY STATS'!$K$25*0.21</f>
        <v>1261256.1968999999</v>
      </c>
      <c r="D37" s="89">
        <f>'MONTHLY STATS'!$K$35*0.21</f>
        <v>708949.48739999998</v>
      </c>
      <c r="E37" s="89">
        <f>'MONTHLY STATS'!$K$45*0.21</f>
        <v>3782160.0053999997</v>
      </c>
      <c r="F37" s="89">
        <f>'MONTHLY STATS'!$K$55*0.21</f>
        <v>2372742.3615000001</v>
      </c>
      <c r="G37" s="89">
        <f>'MONTHLY STATS'!$K$65*0.21</f>
        <v>1004280.8684999999</v>
      </c>
      <c r="H37" s="89">
        <f>'MONTHLY STATS'!$K$75*0.21</f>
        <v>1982892.5969999998</v>
      </c>
      <c r="I37" s="89">
        <f>'MONTHLY STATS'!$K$85*0.21</f>
        <v>2291055.8852999997</v>
      </c>
      <c r="J37" s="89">
        <f>'MONTHLY STATS'!$K$95*0.21</f>
        <v>2957384.2766999998</v>
      </c>
      <c r="K37" s="89">
        <f>'MONTHLY STATS'!$K$105*0.21</f>
        <v>3787954.233</v>
      </c>
      <c r="L37" s="89">
        <f>'MONTHLY STATS'!$K$115*0.21</f>
        <v>465027.45030000003</v>
      </c>
      <c r="M37" s="89">
        <f>'MONTHLY STATS'!$K$125*0.21</f>
        <v>4526947.6832999997</v>
      </c>
      <c r="N37" s="89">
        <f>'MONTHLY STATS'!$K$135*0.21</f>
        <v>698851.04729999998</v>
      </c>
      <c r="O37" s="90">
        <f>SUM(B37:N37)</f>
        <v>28441441.492799997</v>
      </c>
      <c r="P37" s="83"/>
    </row>
    <row r="38" spans="1:16" ht="15.75" x14ac:dyDescent="0.25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90"/>
      <c r="P38" s="83"/>
    </row>
    <row r="39" spans="1:16" ht="15.75" x14ac:dyDescent="0.25">
      <c r="A39" s="8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90"/>
      <c r="P39" s="83"/>
    </row>
    <row r="40" spans="1:16" ht="15.75" x14ac:dyDescent="0.25">
      <c r="A40" s="8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90"/>
      <c r="P40" s="83"/>
    </row>
    <row r="41" spans="1:16" ht="15.75" x14ac:dyDescent="0.25">
      <c r="A41" s="8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90"/>
      <c r="P41" s="83"/>
    </row>
    <row r="42" spans="1:16" ht="15.75" x14ac:dyDescent="0.25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90"/>
      <c r="P42" s="83"/>
    </row>
    <row r="43" spans="1:16" ht="15.75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90"/>
      <c r="P43" s="83"/>
    </row>
    <row r="44" spans="1:16" ht="15.75" x14ac:dyDescent="0.25">
      <c r="A44" s="91" t="s">
        <v>27</v>
      </c>
      <c r="B44" s="90">
        <f t="shared" ref="B44:O44" si="3">SUM(B31:B42)</f>
        <v>19648352.726099998</v>
      </c>
      <c r="C44" s="90">
        <f t="shared" si="3"/>
        <v>10502047.859099999</v>
      </c>
      <c r="D44" s="90">
        <f t="shared" si="3"/>
        <v>5544910.8455999997</v>
      </c>
      <c r="E44" s="90">
        <f t="shared" si="3"/>
        <v>29643439.5264</v>
      </c>
      <c r="F44" s="90">
        <f t="shared" si="3"/>
        <v>20211089.637899999</v>
      </c>
      <c r="G44" s="90">
        <f t="shared" si="3"/>
        <v>8134585.1328000007</v>
      </c>
      <c r="H44" s="90">
        <f t="shared" si="3"/>
        <v>16413479.308799999</v>
      </c>
      <c r="I44" s="90">
        <f>SUM(I31:I42)</f>
        <v>18737838.564900003</v>
      </c>
      <c r="J44" s="90">
        <f t="shared" si="3"/>
        <v>23978681.794199999</v>
      </c>
      <c r="K44" s="90">
        <f>SUM(K31:K42)</f>
        <v>30230966.690399997</v>
      </c>
      <c r="L44" s="90">
        <f t="shared" si="3"/>
        <v>4240879.2153000003</v>
      </c>
      <c r="M44" s="90">
        <f t="shared" si="3"/>
        <v>35181029.534700006</v>
      </c>
      <c r="N44" s="90">
        <f t="shared" si="3"/>
        <v>5585952.5945999995</v>
      </c>
      <c r="O44" s="90">
        <f t="shared" si="3"/>
        <v>228053253.43079996</v>
      </c>
      <c r="P44" s="83"/>
    </row>
    <row r="45" spans="1:16" ht="16.5" thickBot="1" x14ac:dyDescent="0.3">
      <c r="A45" s="92"/>
      <c r="B45" s="90"/>
      <c r="C45" s="90"/>
      <c r="D45" s="90"/>
      <c r="E45" s="89"/>
      <c r="F45" s="89"/>
      <c r="G45" s="89"/>
      <c r="H45" s="89"/>
      <c r="I45" s="89"/>
      <c r="J45" s="90"/>
      <c r="K45" s="90"/>
      <c r="L45" s="90"/>
      <c r="M45" s="90"/>
      <c r="N45" s="90"/>
      <c r="O45" s="90"/>
      <c r="P45" s="83"/>
    </row>
    <row r="46" spans="1:16" ht="15.75" thickTop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6" x14ac:dyDescent="0.2">
      <c r="A47" s="288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</row>
    <row r="48" spans="1:16" ht="15.75" x14ac:dyDescent="0.25">
      <c r="A48" s="115" t="s">
        <v>29</v>
      </c>
      <c r="B48" s="98"/>
      <c r="C48" s="98"/>
      <c r="D48" s="98"/>
      <c r="E48" s="98"/>
      <c r="F48" s="98"/>
      <c r="G48" s="98"/>
      <c r="H48" s="98"/>
      <c r="I48" s="98"/>
    </row>
    <row r="49" spans="1:9" ht="15.75" x14ac:dyDescent="0.25">
      <c r="A49" s="115"/>
      <c r="B49" s="98"/>
      <c r="C49" s="98"/>
      <c r="D49" s="98"/>
      <c r="E49" s="98"/>
      <c r="F49" s="98"/>
      <c r="G49" s="98"/>
      <c r="H49" s="98"/>
      <c r="I49" s="98"/>
    </row>
    <row r="50" spans="1:9" ht="15.75" x14ac:dyDescent="0.25">
      <c r="A50" s="72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44"/>
  <sheetViews>
    <sheetView showOutlineSymbols="0" zoomScaleNormal="100" workbookViewId="0">
      <selection activeCell="A9" sqref="A9"/>
    </sheetView>
  </sheetViews>
  <sheetFormatPr defaultColWidth="9.6640625" defaultRowHeight="15" x14ac:dyDescent="0.2"/>
  <cols>
    <col min="1" max="1" width="27.6640625" style="118" customWidth="1"/>
    <col min="2" max="2" width="9.6640625" style="118" customWidth="1"/>
    <col min="3" max="3" width="16.6640625" style="209" customWidth="1"/>
    <col min="4" max="5" width="15.6640625" style="209" customWidth="1"/>
    <col min="6" max="6" width="9.6640625" style="118" customWidth="1"/>
    <col min="7" max="7" width="10.5546875" style="221" customWidth="1"/>
    <col min="8" max="16384" width="9.6640625" style="118"/>
  </cols>
  <sheetData>
    <row r="1" spans="1:8" ht="18" x14ac:dyDescent="0.25">
      <c r="A1" s="116" t="s">
        <v>0</v>
      </c>
      <c r="B1" s="117"/>
      <c r="C1" s="200"/>
      <c r="D1" s="200"/>
      <c r="E1" s="200"/>
      <c r="F1" s="117"/>
      <c r="G1" s="210"/>
    </row>
    <row r="2" spans="1:8" ht="18" customHeight="1" x14ac:dyDescent="0.3">
      <c r="A2" s="119" t="s">
        <v>30</v>
      </c>
      <c r="B2" s="117"/>
      <c r="C2" s="200"/>
      <c r="D2" s="200"/>
      <c r="E2" s="200"/>
      <c r="F2" s="117"/>
      <c r="G2" s="210"/>
    </row>
    <row r="3" spans="1:8" ht="18" customHeight="1" x14ac:dyDescent="0.25">
      <c r="A3" s="283" t="s">
        <v>74</v>
      </c>
      <c r="B3" s="117"/>
      <c r="C3" s="200"/>
      <c r="D3" s="200"/>
      <c r="E3" s="200"/>
      <c r="F3" s="117"/>
      <c r="G3" s="210"/>
    </row>
    <row r="4" spans="1:8" x14ac:dyDescent="0.2">
      <c r="A4" s="284" t="s">
        <v>78</v>
      </c>
      <c r="B4" s="117"/>
      <c r="C4" s="200"/>
      <c r="D4" s="200"/>
      <c r="E4" s="200"/>
      <c r="F4" s="117"/>
      <c r="G4" s="210"/>
    </row>
    <row r="5" spans="1:8" ht="15.75" x14ac:dyDescent="0.25">
      <c r="A5" s="117"/>
      <c r="B5" s="117"/>
      <c r="C5" s="200"/>
      <c r="D5" s="200"/>
      <c r="E5" s="200"/>
      <c r="F5" s="117"/>
      <c r="G5" s="211" t="s">
        <v>1</v>
      </c>
    </row>
    <row r="6" spans="1:8" ht="16.5" thickTop="1" x14ac:dyDescent="0.25">
      <c r="A6" s="120"/>
      <c r="B6" s="121" t="s">
        <v>2</v>
      </c>
      <c r="C6" s="201" t="s">
        <v>31</v>
      </c>
      <c r="D6" s="201" t="s">
        <v>31</v>
      </c>
      <c r="E6" s="201" t="s">
        <v>3</v>
      </c>
      <c r="F6" s="122"/>
      <c r="G6" s="212" t="s">
        <v>32</v>
      </c>
      <c r="H6" s="123"/>
    </row>
    <row r="7" spans="1:8" ht="16.5" thickBot="1" x14ac:dyDescent="0.3">
      <c r="A7" s="124" t="s">
        <v>5</v>
      </c>
      <c r="B7" s="125" t="s">
        <v>6</v>
      </c>
      <c r="C7" s="262" t="s">
        <v>33</v>
      </c>
      <c r="D7" s="202" t="s">
        <v>34</v>
      </c>
      <c r="E7" s="202" t="s">
        <v>34</v>
      </c>
      <c r="F7" s="126" t="s">
        <v>8</v>
      </c>
      <c r="G7" s="213" t="s">
        <v>35</v>
      </c>
      <c r="H7" s="123"/>
    </row>
    <row r="8" spans="1:8" ht="15.75" customHeight="1" thickTop="1" x14ac:dyDescent="0.25">
      <c r="A8" s="127"/>
      <c r="B8" s="128"/>
      <c r="C8" s="203"/>
      <c r="D8" s="203"/>
      <c r="E8" s="203"/>
      <c r="F8" s="129"/>
      <c r="G8" s="214"/>
      <c r="H8" s="123"/>
    </row>
    <row r="9" spans="1:8" ht="15.75" x14ac:dyDescent="0.25">
      <c r="A9" s="130" t="s">
        <v>36</v>
      </c>
      <c r="B9" s="131">
        <f>DATE(2023,7,1)</f>
        <v>45108</v>
      </c>
      <c r="C9" s="204">
        <v>17140378</v>
      </c>
      <c r="D9" s="204">
        <v>2756909.5</v>
      </c>
      <c r="E9" s="204">
        <v>3018310</v>
      </c>
      <c r="F9" s="132">
        <f t="shared" ref="F9:F14" si="0">(+D9-E9)/E9</f>
        <v>-8.6604921297017204E-2</v>
      </c>
      <c r="G9" s="215">
        <f t="shared" ref="G9:G14" si="1">D9/C9</f>
        <v>0.16084298140916145</v>
      </c>
      <c r="H9" s="123"/>
    </row>
    <row r="10" spans="1:8" ht="15.75" x14ac:dyDescent="0.25">
      <c r="A10" s="130"/>
      <c r="B10" s="131">
        <f>DATE(2023,8,1)</f>
        <v>45139</v>
      </c>
      <c r="C10" s="204">
        <v>15153020</v>
      </c>
      <c r="D10" s="204">
        <v>2981923.5</v>
      </c>
      <c r="E10" s="204">
        <v>3237681.85</v>
      </c>
      <c r="F10" s="132">
        <f t="shared" si="0"/>
        <v>-7.8994281047101669E-2</v>
      </c>
      <c r="G10" s="215">
        <f t="shared" si="1"/>
        <v>0.19678740607482864</v>
      </c>
      <c r="H10" s="123"/>
    </row>
    <row r="11" spans="1:8" ht="15.75" x14ac:dyDescent="0.25">
      <c r="A11" s="130"/>
      <c r="B11" s="131">
        <f>DATE(2023,9,1)</f>
        <v>45170</v>
      </c>
      <c r="C11" s="204">
        <v>15570607</v>
      </c>
      <c r="D11" s="204">
        <v>1895240.5</v>
      </c>
      <c r="E11" s="204">
        <v>2018642</v>
      </c>
      <c r="F11" s="132">
        <f t="shared" si="0"/>
        <v>-6.1130948429686888E-2</v>
      </c>
      <c r="G11" s="215">
        <f t="shared" si="1"/>
        <v>0.12171911473971439</v>
      </c>
      <c r="H11" s="123"/>
    </row>
    <row r="12" spans="1:8" ht="15.75" x14ac:dyDescent="0.25">
      <c r="A12" s="130"/>
      <c r="B12" s="131">
        <f>DATE(2023,10,1)</f>
        <v>45200</v>
      </c>
      <c r="C12" s="204">
        <v>16463924</v>
      </c>
      <c r="D12" s="204">
        <v>2575274</v>
      </c>
      <c r="E12" s="204">
        <v>2709321</v>
      </c>
      <c r="F12" s="132">
        <f t="shared" si="0"/>
        <v>-4.9476234082266368E-2</v>
      </c>
      <c r="G12" s="215">
        <f t="shared" si="1"/>
        <v>0.15641921087585195</v>
      </c>
      <c r="H12" s="123"/>
    </row>
    <row r="13" spans="1:8" ht="15.75" x14ac:dyDescent="0.25">
      <c r="A13" s="130"/>
      <c r="B13" s="131">
        <f>DATE(2023,11,1)</f>
        <v>45231</v>
      </c>
      <c r="C13" s="204">
        <v>14441930</v>
      </c>
      <c r="D13" s="204">
        <v>1924101</v>
      </c>
      <c r="E13" s="204">
        <v>2936554</v>
      </c>
      <c r="F13" s="132">
        <f t="shared" si="0"/>
        <v>-0.34477588356965339</v>
      </c>
      <c r="G13" s="215">
        <f t="shared" si="1"/>
        <v>0.13323018460828989</v>
      </c>
      <c r="H13" s="123"/>
    </row>
    <row r="14" spans="1:8" ht="15.75" x14ac:dyDescent="0.25">
      <c r="A14" s="130"/>
      <c r="B14" s="131">
        <f>DATE(2023,12,1)</f>
        <v>45261</v>
      </c>
      <c r="C14" s="204">
        <v>16189391</v>
      </c>
      <c r="D14" s="204">
        <v>2377192</v>
      </c>
      <c r="E14" s="204">
        <v>2019034</v>
      </c>
      <c r="F14" s="132">
        <f t="shared" si="0"/>
        <v>0.17739077202266035</v>
      </c>
      <c r="G14" s="215">
        <f t="shared" si="1"/>
        <v>0.14683640663197275</v>
      </c>
      <c r="H14" s="123"/>
    </row>
    <row r="15" spans="1:8" ht="15.75" x14ac:dyDescent="0.25">
      <c r="A15" s="130"/>
      <c r="B15" s="131">
        <f>DATE(2024,1,1)</f>
        <v>45292</v>
      </c>
      <c r="C15" s="204">
        <v>15361915</v>
      </c>
      <c r="D15" s="204">
        <v>2557444</v>
      </c>
      <c r="E15" s="204">
        <v>3086761.5</v>
      </c>
      <c r="F15" s="132">
        <f>(+D15-E15)/E15</f>
        <v>-0.17147988271850612</v>
      </c>
      <c r="G15" s="215">
        <f>D15/C15</f>
        <v>0.16647950467112987</v>
      </c>
      <c r="H15" s="123"/>
    </row>
    <row r="16" spans="1:8" ht="15.75" thickBot="1" x14ac:dyDescent="0.25">
      <c r="A16" s="133"/>
      <c r="B16" s="134"/>
      <c r="C16" s="204"/>
      <c r="D16" s="204"/>
      <c r="E16" s="204"/>
      <c r="F16" s="132"/>
      <c r="G16" s="215"/>
      <c r="H16" s="123"/>
    </row>
    <row r="17" spans="1:8" ht="17.25" thickTop="1" thickBot="1" x14ac:dyDescent="0.3">
      <c r="A17" s="135" t="s">
        <v>14</v>
      </c>
      <c r="B17" s="136"/>
      <c r="C17" s="201">
        <f>SUM(C9:C16)</f>
        <v>110321165</v>
      </c>
      <c r="D17" s="201">
        <f>SUM(D9:D16)</f>
        <v>17068084.5</v>
      </c>
      <c r="E17" s="201">
        <f>SUM(E9:E16)</f>
        <v>19026304.350000001</v>
      </c>
      <c r="F17" s="137">
        <f>(+D17-E17)/E17</f>
        <v>-0.10292171374836655</v>
      </c>
      <c r="G17" s="212">
        <f>D17/C17</f>
        <v>0.15471269270950863</v>
      </c>
      <c r="H17" s="123"/>
    </row>
    <row r="18" spans="1:8" ht="15.75" customHeight="1" thickTop="1" x14ac:dyDescent="0.25">
      <c r="A18" s="138"/>
      <c r="B18" s="139"/>
      <c r="C18" s="205"/>
      <c r="D18" s="205"/>
      <c r="E18" s="205"/>
      <c r="F18" s="140"/>
      <c r="G18" s="216"/>
      <c r="H18" s="123"/>
    </row>
    <row r="19" spans="1:8" ht="15.75" x14ac:dyDescent="0.25">
      <c r="A19" s="19" t="s">
        <v>15</v>
      </c>
      <c r="B19" s="131">
        <f>DATE(2023,7,1)</f>
        <v>45108</v>
      </c>
      <c r="C19" s="204">
        <v>2471937</v>
      </c>
      <c r="D19" s="204">
        <v>614728</v>
      </c>
      <c r="E19" s="204">
        <v>637839.5</v>
      </c>
      <c r="F19" s="132">
        <f t="shared" ref="F19:F24" si="2">(+D19-E19)/E19</f>
        <v>-3.62340369324885E-2</v>
      </c>
      <c r="G19" s="215">
        <f t="shared" ref="G19:G24" si="3">D19/C19</f>
        <v>0.24868271319212423</v>
      </c>
      <c r="H19" s="123"/>
    </row>
    <row r="20" spans="1:8" ht="15.75" x14ac:dyDescent="0.25">
      <c r="A20" s="19"/>
      <c r="B20" s="131">
        <f>DATE(2023,8,1)</f>
        <v>45139</v>
      </c>
      <c r="C20" s="204">
        <v>2248291</v>
      </c>
      <c r="D20" s="204">
        <v>388628</v>
      </c>
      <c r="E20" s="204">
        <v>695761.5</v>
      </c>
      <c r="F20" s="132">
        <f t="shared" si="2"/>
        <v>-0.44143503197575606</v>
      </c>
      <c r="G20" s="215">
        <f t="shared" si="3"/>
        <v>0.17285484841597462</v>
      </c>
      <c r="H20" s="123"/>
    </row>
    <row r="21" spans="1:8" ht="15.75" x14ac:dyDescent="0.25">
      <c r="A21" s="19"/>
      <c r="B21" s="131">
        <f>DATE(2023,9,1)</f>
        <v>45170</v>
      </c>
      <c r="C21" s="204">
        <v>2515175</v>
      </c>
      <c r="D21" s="204">
        <v>596033.5</v>
      </c>
      <c r="E21" s="204">
        <v>780368</v>
      </c>
      <c r="F21" s="132">
        <f t="shared" si="2"/>
        <v>-0.23621483710249525</v>
      </c>
      <c r="G21" s="215">
        <f t="shared" si="3"/>
        <v>0.23697496198077669</v>
      </c>
      <c r="H21" s="123"/>
    </row>
    <row r="22" spans="1:8" ht="15.75" x14ac:dyDescent="0.25">
      <c r="A22" s="19"/>
      <c r="B22" s="131">
        <f>DATE(2023,10,1)</f>
        <v>45200</v>
      </c>
      <c r="C22" s="204">
        <v>2462749</v>
      </c>
      <c r="D22" s="204">
        <v>457507</v>
      </c>
      <c r="E22" s="204">
        <v>868243</v>
      </c>
      <c r="F22" s="132">
        <f t="shared" si="2"/>
        <v>-0.47306572008066866</v>
      </c>
      <c r="G22" s="215">
        <f t="shared" si="3"/>
        <v>0.18577086012419455</v>
      </c>
      <c r="H22" s="123"/>
    </row>
    <row r="23" spans="1:8" ht="15.75" x14ac:dyDescent="0.25">
      <c r="A23" s="19"/>
      <c r="B23" s="131">
        <f>DATE(2023,11,1)</f>
        <v>45231</v>
      </c>
      <c r="C23" s="204">
        <v>2333327</v>
      </c>
      <c r="D23" s="204">
        <v>573968</v>
      </c>
      <c r="E23" s="204">
        <v>714136.5</v>
      </c>
      <c r="F23" s="132">
        <f t="shared" si="2"/>
        <v>-0.19627690224487895</v>
      </c>
      <c r="G23" s="215">
        <f t="shared" si="3"/>
        <v>0.24598695339315921</v>
      </c>
      <c r="H23" s="123"/>
    </row>
    <row r="24" spans="1:8" ht="15.75" x14ac:dyDescent="0.25">
      <c r="A24" s="19"/>
      <c r="B24" s="131">
        <f>DATE(2023,12,1)</f>
        <v>45261</v>
      </c>
      <c r="C24" s="204">
        <v>2421990</v>
      </c>
      <c r="D24" s="204">
        <v>676389.5</v>
      </c>
      <c r="E24" s="204">
        <v>736054</v>
      </c>
      <c r="F24" s="132">
        <f t="shared" si="2"/>
        <v>-8.1059949405885984E-2</v>
      </c>
      <c r="G24" s="215">
        <f t="shared" si="3"/>
        <v>0.27927014562405295</v>
      </c>
      <c r="H24" s="123"/>
    </row>
    <row r="25" spans="1:8" ht="15.75" x14ac:dyDescent="0.25">
      <c r="A25" s="19"/>
      <c r="B25" s="131">
        <f>DATE(2024,1,1)</f>
        <v>45292</v>
      </c>
      <c r="C25" s="204">
        <v>2145869</v>
      </c>
      <c r="D25" s="204">
        <v>621740</v>
      </c>
      <c r="E25" s="204">
        <v>620241</v>
      </c>
      <c r="F25" s="132">
        <f>(+D25-E25)/E25</f>
        <v>2.4168025009633351E-3</v>
      </c>
      <c r="G25" s="215">
        <f>D25/C25</f>
        <v>0.28973809678037193</v>
      </c>
      <c r="H25" s="123"/>
    </row>
    <row r="26" spans="1:8" ht="15.75" thickBot="1" x14ac:dyDescent="0.25">
      <c r="A26" s="133"/>
      <c r="B26" s="131"/>
      <c r="C26" s="204"/>
      <c r="D26" s="204"/>
      <c r="E26" s="204"/>
      <c r="F26" s="132"/>
      <c r="G26" s="215"/>
      <c r="H26" s="123"/>
    </row>
    <row r="27" spans="1:8" ht="17.25" thickTop="1" thickBot="1" x14ac:dyDescent="0.3">
      <c r="A27" s="135" t="s">
        <v>14</v>
      </c>
      <c r="B27" s="136"/>
      <c r="C27" s="201">
        <f>SUM(C19:C26)</f>
        <v>16599338</v>
      </c>
      <c r="D27" s="201">
        <f>SUM(D19:D26)</f>
        <v>3928994</v>
      </c>
      <c r="E27" s="201">
        <f>SUM(E19:E26)</f>
        <v>5052643.5</v>
      </c>
      <c r="F27" s="137">
        <f>(+D27-E27)/E27</f>
        <v>-0.22238843884394377</v>
      </c>
      <c r="G27" s="212">
        <f>D27/C27</f>
        <v>0.23669582485759372</v>
      </c>
      <c r="H27" s="123"/>
    </row>
    <row r="28" spans="1:8" ht="15.75" customHeight="1" thickTop="1" x14ac:dyDescent="0.25">
      <c r="A28" s="255"/>
      <c r="B28" s="139"/>
      <c r="C28" s="205"/>
      <c r="D28" s="205"/>
      <c r="E28" s="205"/>
      <c r="F28" s="140"/>
      <c r="G28" s="219"/>
      <c r="H28" s="123"/>
    </row>
    <row r="29" spans="1:8" ht="15.75" x14ac:dyDescent="0.25">
      <c r="A29" s="19" t="s">
        <v>62</v>
      </c>
      <c r="B29" s="131">
        <f>DATE(2023,7,1)</f>
        <v>45108</v>
      </c>
      <c r="C29" s="204">
        <v>1300276</v>
      </c>
      <c r="D29" s="204">
        <v>166322.5</v>
      </c>
      <c r="E29" s="204">
        <v>249087.5</v>
      </c>
      <c r="F29" s="132">
        <f t="shared" ref="F29:F34" si="4">(+D29-E29)/E29</f>
        <v>-0.33227279570432078</v>
      </c>
      <c r="G29" s="215">
        <f t="shared" ref="G29:G34" si="5">D29/C29</f>
        <v>0.12791322765320592</v>
      </c>
      <c r="H29" s="123"/>
    </row>
    <row r="30" spans="1:8" ht="15.75" x14ac:dyDescent="0.25">
      <c r="A30" s="19"/>
      <c r="B30" s="131">
        <f>DATE(2023,8,1)</f>
        <v>45139</v>
      </c>
      <c r="C30" s="204">
        <v>1380793</v>
      </c>
      <c r="D30" s="204">
        <v>264487</v>
      </c>
      <c r="E30" s="204">
        <v>272495.5</v>
      </c>
      <c r="F30" s="132">
        <f t="shared" si="4"/>
        <v>-2.9389476156486988E-2</v>
      </c>
      <c r="G30" s="215">
        <f t="shared" si="5"/>
        <v>0.19154717615167516</v>
      </c>
      <c r="H30" s="123"/>
    </row>
    <row r="31" spans="1:8" ht="15.75" x14ac:dyDescent="0.25">
      <c r="A31" s="19"/>
      <c r="B31" s="131">
        <f>DATE(2023,9,1)</f>
        <v>45170</v>
      </c>
      <c r="C31" s="204">
        <v>1331049</v>
      </c>
      <c r="D31" s="204">
        <v>353812</v>
      </c>
      <c r="E31" s="204">
        <v>310850</v>
      </c>
      <c r="F31" s="132">
        <f t="shared" si="4"/>
        <v>0.13820813897378156</v>
      </c>
      <c r="G31" s="215">
        <f t="shared" si="5"/>
        <v>0.26581440653199095</v>
      </c>
      <c r="H31" s="123"/>
    </row>
    <row r="32" spans="1:8" ht="15.75" x14ac:dyDescent="0.25">
      <c r="A32" s="19"/>
      <c r="B32" s="131">
        <f>DATE(2023,10,1)</f>
        <v>45200</v>
      </c>
      <c r="C32" s="204">
        <v>1247669</v>
      </c>
      <c r="D32" s="204">
        <v>292380</v>
      </c>
      <c r="E32" s="204">
        <v>204149.5</v>
      </c>
      <c r="F32" s="132">
        <f t="shared" si="4"/>
        <v>0.43218572663660698</v>
      </c>
      <c r="G32" s="215">
        <f t="shared" si="5"/>
        <v>0.23434099909511258</v>
      </c>
      <c r="H32" s="123"/>
    </row>
    <row r="33" spans="1:8" ht="15.75" x14ac:dyDescent="0.25">
      <c r="A33" s="19"/>
      <c r="B33" s="131">
        <f>DATE(2023,11,1)</f>
        <v>45231</v>
      </c>
      <c r="C33" s="204">
        <v>1223816</v>
      </c>
      <c r="D33" s="204">
        <v>305629</v>
      </c>
      <c r="E33" s="204">
        <v>292609</v>
      </c>
      <c r="F33" s="132">
        <f t="shared" si="4"/>
        <v>4.4496239008369527E-2</v>
      </c>
      <c r="G33" s="215">
        <f t="shared" si="5"/>
        <v>0.24973443720297822</v>
      </c>
      <c r="H33" s="123"/>
    </row>
    <row r="34" spans="1:8" ht="15.75" x14ac:dyDescent="0.25">
      <c r="A34" s="19"/>
      <c r="B34" s="131">
        <f>DATE(2023,12,1)</f>
        <v>45261</v>
      </c>
      <c r="C34" s="204">
        <v>1442415</v>
      </c>
      <c r="D34" s="204">
        <v>320450.5</v>
      </c>
      <c r="E34" s="204">
        <v>300188</v>
      </c>
      <c r="F34" s="132">
        <f t="shared" si="4"/>
        <v>6.7499367063306989E-2</v>
      </c>
      <c r="G34" s="215">
        <f t="shared" si="5"/>
        <v>0.22216248444449066</v>
      </c>
      <c r="H34" s="123"/>
    </row>
    <row r="35" spans="1:8" ht="15.75" x14ac:dyDescent="0.25">
      <c r="A35" s="19"/>
      <c r="B35" s="131">
        <f>DATE(2024,1,1)</f>
        <v>45292</v>
      </c>
      <c r="C35" s="204">
        <v>1112050</v>
      </c>
      <c r="D35" s="204">
        <v>358643</v>
      </c>
      <c r="E35" s="204">
        <v>379305</v>
      </c>
      <c r="F35" s="132">
        <f>(+D35-E35)/E35</f>
        <v>-5.4473313033047283E-2</v>
      </c>
      <c r="G35" s="215">
        <f>D35/C35</f>
        <v>0.32250618227597683</v>
      </c>
      <c r="H35" s="123"/>
    </row>
    <row r="36" spans="1:8" ht="15.75" thickBot="1" x14ac:dyDescent="0.25">
      <c r="A36" s="133"/>
      <c r="B36" s="131"/>
      <c r="C36" s="204"/>
      <c r="D36" s="204"/>
      <c r="E36" s="204"/>
      <c r="F36" s="132"/>
      <c r="G36" s="215"/>
      <c r="H36" s="123"/>
    </row>
    <row r="37" spans="1:8" ht="17.25" thickTop="1" thickBot="1" x14ac:dyDescent="0.3">
      <c r="A37" s="141" t="s">
        <v>14</v>
      </c>
      <c r="B37" s="142"/>
      <c r="C37" s="206">
        <f>SUM(C29:C36)</f>
        <v>9038068</v>
      </c>
      <c r="D37" s="206">
        <f>SUM(D29:D36)</f>
        <v>2061724</v>
      </c>
      <c r="E37" s="206">
        <f>SUM(E29:E36)</f>
        <v>2008684.5</v>
      </c>
      <c r="F37" s="143">
        <f>(+D37-E37)/E37</f>
        <v>2.6405092487147681E-2</v>
      </c>
      <c r="G37" s="217">
        <f>D37/C37</f>
        <v>0.22811556629137997</v>
      </c>
      <c r="H37" s="123"/>
    </row>
    <row r="38" spans="1:8" ht="15.75" thickTop="1" x14ac:dyDescent="0.2">
      <c r="A38" s="133"/>
      <c r="B38" s="134"/>
      <c r="C38" s="204"/>
      <c r="D38" s="204"/>
      <c r="E38" s="204"/>
      <c r="F38" s="132"/>
      <c r="G38" s="218"/>
      <c r="H38" s="123"/>
    </row>
    <row r="39" spans="1:8" ht="15.75" x14ac:dyDescent="0.25">
      <c r="A39" s="177" t="s">
        <v>58</v>
      </c>
      <c r="B39" s="131">
        <f>DATE(2023,7,1)</f>
        <v>45108</v>
      </c>
      <c r="C39" s="204">
        <v>17665032</v>
      </c>
      <c r="D39" s="204">
        <v>3803022</v>
      </c>
      <c r="E39" s="204">
        <v>3390213</v>
      </c>
      <c r="F39" s="132">
        <f t="shared" ref="F39:F44" si="6">(+D39-E39)/E39</f>
        <v>0.12176491565574199</v>
      </c>
      <c r="G39" s="215">
        <f t="shared" ref="G39:G44" si="7">D39/C39</f>
        <v>0.21528531621114527</v>
      </c>
      <c r="H39" s="123"/>
    </row>
    <row r="40" spans="1:8" ht="15.75" x14ac:dyDescent="0.25">
      <c r="A40" s="177"/>
      <c r="B40" s="131">
        <f>DATE(2023,8,1)</f>
        <v>45139</v>
      </c>
      <c r="C40" s="204">
        <v>17268495</v>
      </c>
      <c r="D40" s="204">
        <v>2558007.38</v>
      </c>
      <c r="E40" s="204">
        <v>2096973.67</v>
      </c>
      <c r="F40" s="132">
        <f t="shared" si="6"/>
        <v>0.21985669948826778</v>
      </c>
      <c r="G40" s="215">
        <f t="shared" si="7"/>
        <v>0.14813146021121121</v>
      </c>
      <c r="H40" s="123"/>
    </row>
    <row r="41" spans="1:8" ht="15.75" x14ac:dyDescent="0.25">
      <c r="A41" s="177"/>
      <c r="B41" s="131">
        <f>DATE(2023,9,1)</f>
        <v>45170</v>
      </c>
      <c r="C41" s="204">
        <v>15882513</v>
      </c>
      <c r="D41" s="204">
        <v>3090684.15</v>
      </c>
      <c r="E41" s="204">
        <v>3937084.53</v>
      </c>
      <c r="F41" s="132">
        <f t="shared" si="6"/>
        <v>-0.21498151069669819</v>
      </c>
      <c r="G41" s="215">
        <f t="shared" si="7"/>
        <v>0.19459667056466443</v>
      </c>
      <c r="H41" s="123"/>
    </row>
    <row r="42" spans="1:8" ht="15.75" x14ac:dyDescent="0.25">
      <c r="A42" s="177"/>
      <c r="B42" s="131">
        <f>DATE(2023,10,1)</f>
        <v>45200</v>
      </c>
      <c r="C42" s="204">
        <v>14805478</v>
      </c>
      <c r="D42" s="204">
        <v>2879819</v>
      </c>
      <c r="E42" s="204">
        <v>2819327.04</v>
      </c>
      <c r="F42" s="132">
        <f t="shared" si="6"/>
        <v>2.1456169909256063E-2</v>
      </c>
      <c r="G42" s="215">
        <f t="shared" si="7"/>
        <v>0.19451036974287489</v>
      </c>
      <c r="H42" s="123"/>
    </row>
    <row r="43" spans="1:8" ht="15.75" x14ac:dyDescent="0.25">
      <c r="A43" s="177"/>
      <c r="B43" s="131">
        <f>DATE(2023,11,1)</f>
        <v>45231</v>
      </c>
      <c r="C43" s="204">
        <v>14098672</v>
      </c>
      <c r="D43" s="204">
        <v>3291435.87</v>
      </c>
      <c r="E43" s="204">
        <v>2876740.26</v>
      </c>
      <c r="F43" s="132">
        <f t="shared" si="6"/>
        <v>0.1441546933403019</v>
      </c>
      <c r="G43" s="215">
        <f t="shared" si="7"/>
        <v>0.23345715610661771</v>
      </c>
      <c r="H43" s="123"/>
    </row>
    <row r="44" spans="1:8" ht="15.75" x14ac:dyDescent="0.25">
      <c r="A44" s="177"/>
      <c r="B44" s="131">
        <f>DATE(2023,12,1)</f>
        <v>45261</v>
      </c>
      <c r="C44" s="204">
        <v>16834383</v>
      </c>
      <c r="D44" s="204">
        <v>3310603.9</v>
      </c>
      <c r="E44" s="204">
        <v>3108188.89</v>
      </c>
      <c r="F44" s="132">
        <f t="shared" si="6"/>
        <v>6.5123136708721635E-2</v>
      </c>
      <c r="G44" s="215">
        <f t="shared" si="7"/>
        <v>0.19665727576710118</v>
      </c>
      <c r="H44" s="123"/>
    </row>
    <row r="45" spans="1:8" ht="15.75" x14ac:dyDescent="0.25">
      <c r="A45" s="177"/>
      <c r="B45" s="131">
        <f>DATE(2024,1,1)</f>
        <v>45292</v>
      </c>
      <c r="C45" s="204">
        <v>13747903</v>
      </c>
      <c r="D45" s="204">
        <v>2763966.36</v>
      </c>
      <c r="E45" s="204">
        <v>2951407.99</v>
      </c>
      <c r="F45" s="132">
        <f>(+D45-E45)/E45</f>
        <v>-6.3509223609576365E-2</v>
      </c>
      <c r="G45" s="215">
        <f>D45/C45</f>
        <v>0.20104639667591487</v>
      </c>
      <c r="H45" s="123"/>
    </row>
    <row r="46" spans="1:8" ht="15.75" customHeight="1" thickBot="1" x14ac:dyDescent="0.25">
      <c r="A46" s="133"/>
      <c r="B46" s="134"/>
      <c r="C46" s="204"/>
      <c r="D46" s="204"/>
      <c r="E46" s="204"/>
      <c r="F46" s="132"/>
      <c r="G46" s="215"/>
      <c r="H46" s="123"/>
    </row>
    <row r="47" spans="1:8" ht="17.25" customHeight="1" thickTop="1" thickBot="1" x14ac:dyDescent="0.3">
      <c r="A47" s="141" t="s">
        <v>14</v>
      </c>
      <c r="B47" s="142"/>
      <c r="C47" s="206">
        <f>SUM(C39:C46)</f>
        <v>110302476</v>
      </c>
      <c r="D47" s="206">
        <f>SUM(D39:D46)</f>
        <v>21697538.659999996</v>
      </c>
      <c r="E47" s="206">
        <f>SUM(E39:E46)</f>
        <v>21179935.379999995</v>
      </c>
      <c r="F47" s="143">
        <f>(+D47-E47)/E47</f>
        <v>2.4438378621719919E-2</v>
      </c>
      <c r="G47" s="217">
        <f>D47/C47</f>
        <v>0.19670944340360952</v>
      </c>
      <c r="H47" s="123"/>
    </row>
    <row r="48" spans="1:8" ht="15.75" customHeight="1" thickTop="1" x14ac:dyDescent="0.2">
      <c r="A48" s="133"/>
      <c r="B48" s="134"/>
      <c r="C48" s="204"/>
      <c r="D48" s="204"/>
      <c r="E48" s="204"/>
      <c r="F48" s="132"/>
      <c r="G48" s="218"/>
      <c r="H48" s="123"/>
    </row>
    <row r="49" spans="1:8" ht="15" customHeight="1" x14ac:dyDescent="0.25">
      <c r="A49" s="130" t="s">
        <v>60</v>
      </c>
      <c r="B49" s="131">
        <f>DATE(2023,7,1)</f>
        <v>45108</v>
      </c>
      <c r="C49" s="204">
        <v>12723732</v>
      </c>
      <c r="D49" s="204">
        <v>3308388.5</v>
      </c>
      <c r="E49" s="204">
        <v>3195567.5</v>
      </c>
      <c r="F49" s="132">
        <f t="shared" ref="F49:F54" si="8">(+D49-E49)/E49</f>
        <v>3.5305466087009588E-2</v>
      </c>
      <c r="G49" s="215">
        <f t="shared" ref="G49:G54" si="9">D49/C49</f>
        <v>0.26001714748471594</v>
      </c>
      <c r="H49" s="123"/>
    </row>
    <row r="50" spans="1:8" ht="15" customHeight="1" x14ac:dyDescent="0.25">
      <c r="A50" s="130"/>
      <c r="B50" s="131">
        <f>DATE(2023,8,1)</f>
        <v>45139</v>
      </c>
      <c r="C50" s="204">
        <v>11628258</v>
      </c>
      <c r="D50" s="204">
        <v>3099426.5</v>
      </c>
      <c r="E50" s="204">
        <v>3909171</v>
      </c>
      <c r="F50" s="132">
        <f t="shared" si="8"/>
        <v>-0.20713969790525918</v>
      </c>
      <c r="G50" s="215">
        <f t="shared" si="9"/>
        <v>0.26654263261100675</v>
      </c>
      <c r="H50" s="123"/>
    </row>
    <row r="51" spans="1:8" ht="15" customHeight="1" x14ac:dyDescent="0.25">
      <c r="A51" s="130"/>
      <c r="B51" s="131">
        <f>DATE(2023,9,1)</f>
        <v>45170</v>
      </c>
      <c r="C51" s="204">
        <v>11873656</v>
      </c>
      <c r="D51" s="204">
        <v>3032057</v>
      </c>
      <c r="E51" s="204">
        <v>3778062.5</v>
      </c>
      <c r="F51" s="132">
        <f t="shared" si="8"/>
        <v>-0.19745716223593443</v>
      </c>
      <c r="G51" s="215">
        <f t="shared" si="9"/>
        <v>0.25536001716741669</v>
      </c>
      <c r="H51" s="123"/>
    </row>
    <row r="52" spans="1:8" ht="15" customHeight="1" x14ac:dyDescent="0.25">
      <c r="A52" s="130"/>
      <c r="B52" s="131">
        <f>DATE(2023,10,1)</f>
        <v>45200</v>
      </c>
      <c r="C52" s="204">
        <v>12435915</v>
      </c>
      <c r="D52" s="204">
        <v>2838722.5</v>
      </c>
      <c r="E52" s="204">
        <v>1234436</v>
      </c>
      <c r="F52" s="132">
        <f t="shared" si="8"/>
        <v>1.2996109154302045</v>
      </c>
      <c r="G52" s="215">
        <f t="shared" si="9"/>
        <v>0.22826808481724103</v>
      </c>
      <c r="H52" s="123"/>
    </row>
    <row r="53" spans="1:8" ht="15" customHeight="1" x14ac:dyDescent="0.25">
      <c r="A53" s="130"/>
      <c r="B53" s="131">
        <f>DATE(2023,11,1)</f>
        <v>45231</v>
      </c>
      <c r="C53" s="204">
        <v>12500603</v>
      </c>
      <c r="D53" s="204">
        <v>2777794</v>
      </c>
      <c r="E53" s="204">
        <v>3487549</v>
      </c>
      <c r="F53" s="132">
        <f t="shared" si="8"/>
        <v>-0.2035111191269284</v>
      </c>
      <c r="G53" s="215">
        <f t="shared" si="9"/>
        <v>0.22221280045450609</v>
      </c>
      <c r="H53" s="123"/>
    </row>
    <row r="54" spans="1:8" ht="15" customHeight="1" x14ac:dyDescent="0.25">
      <c r="A54" s="130"/>
      <c r="B54" s="131">
        <f>DATE(2023,12,1)</f>
        <v>45261</v>
      </c>
      <c r="C54" s="204">
        <v>13701598</v>
      </c>
      <c r="D54" s="204">
        <v>3754286.5</v>
      </c>
      <c r="E54" s="204">
        <v>3689598</v>
      </c>
      <c r="F54" s="132">
        <f t="shared" si="8"/>
        <v>1.7532668870700818E-2</v>
      </c>
      <c r="G54" s="215">
        <f t="shared" si="9"/>
        <v>0.27400355053476244</v>
      </c>
      <c r="H54" s="123"/>
    </row>
    <row r="55" spans="1:8" ht="15" customHeight="1" x14ac:dyDescent="0.25">
      <c r="A55" s="130"/>
      <c r="B55" s="131">
        <f>DATE(2024,1,1)</f>
        <v>45292</v>
      </c>
      <c r="C55" s="204">
        <v>11556877</v>
      </c>
      <c r="D55" s="204">
        <v>2662409</v>
      </c>
      <c r="E55" s="204">
        <v>3432704.75</v>
      </c>
      <c r="F55" s="132">
        <f>(+D55-E55)/E55</f>
        <v>-0.22439906898488721</v>
      </c>
      <c r="G55" s="215">
        <f>D55/C55</f>
        <v>0.23037443420051973</v>
      </c>
      <c r="H55" s="123"/>
    </row>
    <row r="56" spans="1:8" ht="15.75" thickBot="1" x14ac:dyDescent="0.25">
      <c r="A56" s="133"/>
      <c r="B56" s="131"/>
      <c r="C56" s="204"/>
      <c r="D56" s="204"/>
      <c r="E56" s="204"/>
      <c r="F56" s="132"/>
      <c r="G56" s="215"/>
      <c r="H56" s="123"/>
    </row>
    <row r="57" spans="1:8" ht="17.25" customHeight="1" thickTop="1" thickBot="1" x14ac:dyDescent="0.3">
      <c r="A57" s="141" t="s">
        <v>14</v>
      </c>
      <c r="B57" s="142"/>
      <c r="C57" s="207">
        <f>SUM(C49:C56)</f>
        <v>86420639</v>
      </c>
      <c r="D57" s="261">
        <f>SUM(D49:D56)</f>
        <v>21473084</v>
      </c>
      <c r="E57" s="206">
        <f>SUM(E49:E56)</f>
        <v>22727088.75</v>
      </c>
      <c r="F57" s="268">
        <f>(+D57-E57)/E57</f>
        <v>-5.517665565502753E-2</v>
      </c>
      <c r="G57" s="267">
        <f>D57/C57</f>
        <v>0.24847171055978884</v>
      </c>
      <c r="H57" s="123"/>
    </row>
    <row r="58" spans="1:8" ht="15.75" customHeight="1" thickTop="1" x14ac:dyDescent="0.25">
      <c r="A58" s="130"/>
      <c r="B58" s="134"/>
      <c r="C58" s="204"/>
      <c r="D58" s="204"/>
      <c r="E58" s="204"/>
      <c r="F58" s="132"/>
      <c r="G58" s="218"/>
      <c r="H58" s="123"/>
    </row>
    <row r="59" spans="1:8" ht="15.75" x14ac:dyDescent="0.25">
      <c r="A59" s="130" t="s">
        <v>64</v>
      </c>
      <c r="B59" s="131">
        <f>DATE(2023,7,1)</f>
        <v>45108</v>
      </c>
      <c r="C59" s="204">
        <v>3361117</v>
      </c>
      <c r="D59" s="204">
        <v>707897</v>
      </c>
      <c r="E59" s="204">
        <v>700930</v>
      </c>
      <c r="F59" s="132">
        <f t="shared" ref="F59:F64" si="10">(+D59-E59)/E59</f>
        <v>9.9396516057238243E-3</v>
      </c>
      <c r="G59" s="215">
        <f t="shared" ref="G59:G64" si="11">D59/C59</f>
        <v>0.21061361446209698</v>
      </c>
      <c r="H59" s="123"/>
    </row>
    <row r="60" spans="1:8" ht="15.75" x14ac:dyDescent="0.25">
      <c r="A60" s="130"/>
      <c r="B60" s="131">
        <f>DATE(2023,8,1)</f>
        <v>45139</v>
      </c>
      <c r="C60" s="204">
        <v>2951366</v>
      </c>
      <c r="D60" s="204">
        <v>871889</v>
      </c>
      <c r="E60" s="204">
        <v>630145.5</v>
      </c>
      <c r="F60" s="132">
        <f t="shared" si="10"/>
        <v>0.38363124072138893</v>
      </c>
      <c r="G60" s="215">
        <f t="shared" si="11"/>
        <v>0.29541879929497056</v>
      </c>
      <c r="H60" s="123"/>
    </row>
    <row r="61" spans="1:8" ht="15.75" x14ac:dyDescent="0.25">
      <c r="A61" s="130"/>
      <c r="B61" s="131">
        <f>DATE(2023,9,1)</f>
        <v>45170</v>
      </c>
      <c r="C61" s="204">
        <v>2512048</v>
      </c>
      <c r="D61" s="204">
        <v>529240.5</v>
      </c>
      <c r="E61" s="204">
        <v>538940</v>
      </c>
      <c r="F61" s="132">
        <f t="shared" si="10"/>
        <v>-1.7997365198352322E-2</v>
      </c>
      <c r="G61" s="215">
        <f t="shared" si="11"/>
        <v>0.21068088667095533</v>
      </c>
      <c r="H61" s="123"/>
    </row>
    <row r="62" spans="1:8" ht="15.75" x14ac:dyDescent="0.25">
      <c r="A62" s="130"/>
      <c r="B62" s="131">
        <f>DATE(2023,10,1)</f>
        <v>45200</v>
      </c>
      <c r="C62" s="204">
        <v>2477871</v>
      </c>
      <c r="D62" s="204">
        <v>555726</v>
      </c>
      <c r="E62" s="204">
        <v>664586</v>
      </c>
      <c r="F62" s="132">
        <f t="shared" si="10"/>
        <v>-0.16380122361891464</v>
      </c>
      <c r="G62" s="215">
        <f t="shared" si="11"/>
        <v>0.22427559788221421</v>
      </c>
      <c r="H62" s="123"/>
    </row>
    <row r="63" spans="1:8" ht="15.75" x14ac:dyDescent="0.25">
      <c r="A63" s="130"/>
      <c r="B63" s="131">
        <f>DATE(2023,11,1)</f>
        <v>45231</v>
      </c>
      <c r="C63" s="204">
        <v>2620270</v>
      </c>
      <c r="D63" s="204">
        <v>618313.5</v>
      </c>
      <c r="E63" s="204">
        <v>644592.5</v>
      </c>
      <c r="F63" s="132">
        <f t="shared" si="10"/>
        <v>-4.076839243397961E-2</v>
      </c>
      <c r="G63" s="215">
        <f t="shared" si="11"/>
        <v>0.23597320123498725</v>
      </c>
      <c r="H63" s="123"/>
    </row>
    <row r="64" spans="1:8" ht="15.75" x14ac:dyDescent="0.25">
      <c r="A64" s="130"/>
      <c r="B64" s="131">
        <f>DATE(2023,12,1)</f>
        <v>45261</v>
      </c>
      <c r="C64" s="204">
        <v>3237541</v>
      </c>
      <c r="D64" s="204">
        <v>684848</v>
      </c>
      <c r="E64" s="204">
        <v>621789.5</v>
      </c>
      <c r="F64" s="132">
        <f t="shared" si="10"/>
        <v>0.10141454624113144</v>
      </c>
      <c r="G64" s="215">
        <f t="shared" si="11"/>
        <v>0.21153338289769921</v>
      </c>
      <c r="H64" s="123"/>
    </row>
    <row r="65" spans="1:8" ht="15.75" x14ac:dyDescent="0.25">
      <c r="A65" s="130"/>
      <c r="B65" s="131">
        <f>DATE(2024,1,1)</f>
        <v>45292</v>
      </c>
      <c r="C65" s="204">
        <v>2483414</v>
      </c>
      <c r="D65" s="204">
        <v>610254.26</v>
      </c>
      <c r="E65" s="204">
        <v>561543</v>
      </c>
      <c r="F65" s="132">
        <f>(+D65-E65)/E65</f>
        <v>8.6745378359270806E-2</v>
      </c>
      <c r="G65" s="215">
        <f>D65/C65</f>
        <v>0.24573198830319876</v>
      </c>
      <c r="H65" s="123"/>
    </row>
    <row r="66" spans="1:8" ht="15.75" customHeight="1" thickBot="1" x14ac:dyDescent="0.3">
      <c r="A66" s="130"/>
      <c r="B66" s="131"/>
      <c r="C66" s="204"/>
      <c r="D66" s="204"/>
      <c r="E66" s="204"/>
      <c r="F66" s="132"/>
      <c r="G66" s="215"/>
      <c r="H66" s="123"/>
    </row>
    <row r="67" spans="1:8" ht="17.25" thickTop="1" thickBot="1" x14ac:dyDescent="0.3">
      <c r="A67" s="141" t="s">
        <v>14</v>
      </c>
      <c r="B67" s="142"/>
      <c r="C67" s="207">
        <f>SUM(C59:C66)</f>
        <v>19643627</v>
      </c>
      <c r="D67" s="261">
        <f>SUM(D59:D66)</f>
        <v>4578168.26</v>
      </c>
      <c r="E67" s="207">
        <f>SUM(E59:E66)</f>
        <v>4362526.5</v>
      </c>
      <c r="F67" s="268">
        <f>(+D67-E67)/E67</f>
        <v>4.9430475665878423E-2</v>
      </c>
      <c r="G67" s="267">
        <f>D67/C67</f>
        <v>0.23306124983945173</v>
      </c>
      <c r="H67" s="123"/>
    </row>
    <row r="68" spans="1:8" ht="15.75" customHeight="1" thickTop="1" x14ac:dyDescent="0.25">
      <c r="A68" s="130"/>
      <c r="B68" s="134"/>
      <c r="C68" s="204"/>
      <c r="D68" s="204"/>
      <c r="E68" s="204"/>
      <c r="F68" s="132"/>
      <c r="G68" s="218"/>
      <c r="H68" s="123"/>
    </row>
    <row r="69" spans="1:8" ht="15.75" x14ac:dyDescent="0.25">
      <c r="A69" s="130" t="s">
        <v>67</v>
      </c>
      <c r="B69" s="131">
        <f>DATE(2023,7,1)</f>
        <v>45108</v>
      </c>
      <c r="C69" s="204">
        <v>8239268</v>
      </c>
      <c r="D69" s="204">
        <v>826564</v>
      </c>
      <c r="E69" s="204">
        <v>951854</v>
      </c>
      <c r="F69" s="132">
        <f t="shared" ref="F69:F74" si="12">(+D69-E69)/E69</f>
        <v>-0.13162732940135777</v>
      </c>
      <c r="G69" s="215">
        <f t="shared" ref="G69:G74" si="13">D69/C69</f>
        <v>0.1003200769777121</v>
      </c>
      <c r="H69" s="123"/>
    </row>
    <row r="70" spans="1:8" ht="15.75" x14ac:dyDescent="0.25">
      <c r="A70" s="130"/>
      <c r="B70" s="131">
        <f>DATE(2023,8,1)</f>
        <v>45139</v>
      </c>
      <c r="C70" s="204">
        <v>7087572</v>
      </c>
      <c r="D70" s="204">
        <v>916100.5</v>
      </c>
      <c r="E70" s="204">
        <v>1029739</v>
      </c>
      <c r="F70" s="132">
        <f t="shared" si="12"/>
        <v>-0.11035660492610264</v>
      </c>
      <c r="G70" s="215">
        <f t="shared" si="13"/>
        <v>0.1292544894076561</v>
      </c>
      <c r="H70" s="123"/>
    </row>
    <row r="71" spans="1:8" ht="15.75" x14ac:dyDescent="0.25">
      <c r="A71" s="130"/>
      <c r="B71" s="131">
        <f>DATE(2023,9,1)</f>
        <v>45170</v>
      </c>
      <c r="C71" s="204">
        <v>7246519</v>
      </c>
      <c r="D71" s="204">
        <v>1270544.5</v>
      </c>
      <c r="E71" s="204">
        <v>389281</v>
      </c>
      <c r="F71" s="132">
        <f t="shared" si="12"/>
        <v>2.2638235619000158</v>
      </c>
      <c r="G71" s="215">
        <f t="shared" si="13"/>
        <v>0.17533170064137002</v>
      </c>
      <c r="H71" s="123"/>
    </row>
    <row r="72" spans="1:8" ht="15.75" x14ac:dyDescent="0.25">
      <c r="A72" s="130"/>
      <c r="B72" s="131">
        <f>DATE(2023,10,1)</f>
        <v>45200</v>
      </c>
      <c r="C72" s="204">
        <v>7936605</v>
      </c>
      <c r="D72" s="204">
        <v>1093341.5</v>
      </c>
      <c r="E72" s="204">
        <v>1134882.5</v>
      </c>
      <c r="F72" s="132">
        <f t="shared" si="12"/>
        <v>-3.6603789379076691E-2</v>
      </c>
      <c r="G72" s="215">
        <f t="shared" si="13"/>
        <v>0.13775934420322039</v>
      </c>
      <c r="H72" s="123"/>
    </row>
    <row r="73" spans="1:8" ht="15.75" x14ac:dyDescent="0.25">
      <c r="A73" s="130"/>
      <c r="B73" s="131">
        <f>DATE(2023,11,1)</f>
        <v>45231</v>
      </c>
      <c r="C73" s="204">
        <v>7753074</v>
      </c>
      <c r="D73" s="204">
        <v>1066773</v>
      </c>
      <c r="E73" s="204">
        <v>1197761</v>
      </c>
      <c r="F73" s="132">
        <f t="shared" si="12"/>
        <v>-0.10936071553506918</v>
      </c>
      <c r="G73" s="215">
        <f t="shared" si="13"/>
        <v>0.13759355321515054</v>
      </c>
      <c r="H73" s="123"/>
    </row>
    <row r="74" spans="1:8" ht="15.75" x14ac:dyDescent="0.25">
      <c r="A74" s="130"/>
      <c r="B74" s="131">
        <f>DATE(2023,12,1)</f>
        <v>45261</v>
      </c>
      <c r="C74" s="204">
        <v>7263263</v>
      </c>
      <c r="D74" s="204">
        <v>1133563</v>
      </c>
      <c r="E74" s="204">
        <v>867843</v>
      </c>
      <c r="F74" s="132">
        <f t="shared" si="12"/>
        <v>0.30618441354023712</v>
      </c>
      <c r="G74" s="215">
        <f t="shared" si="13"/>
        <v>0.15606800965351247</v>
      </c>
      <c r="H74" s="123"/>
    </row>
    <row r="75" spans="1:8" ht="15.75" x14ac:dyDescent="0.25">
      <c r="A75" s="130"/>
      <c r="B75" s="131">
        <f>DATE(2024,1,1)</f>
        <v>45292</v>
      </c>
      <c r="C75" s="204">
        <v>5843655</v>
      </c>
      <c r="D75" s="204">
        <v>937413.5</v>
      </c>
      <c r="E75" s="204">
        <v>1084536.5</v>
      </c>
      <c r="F75" s="132">
        <f>(+D75-E75)/E75</f>
        <v>-0.13565518541791816</v>
      </c>
      <c r="G75" s="215">
        <f>D75/C75</f>
        <v>0.16041561317360453</v>
      </c>
      <c r="H75" s="123"/>
    </row>
    <row r="76" spans="1:8" ht="15.75" customHeight="1" thickBot="1" x14ac:dyDescent="0.3">
      <c r="A76" s="130"/>
      <c r="B76" s="131"/>
      <c r="C76" s="204"/>
      <c r="D76" s="204"/>
      <c r="E76" s="204"/>
      <c r="F76" s="132"/>
      <c r="G76" s="215"/>
      <c r="H76" s="123"/>
    </row>
    <row r="77" spans="1:8" ht="17.25" thickTop="1" thickBot="1" x14ac:dyDescent="0.3">
      <c r="A77" s="141" t="s">
        <v>14</v>
      </c>
      <c r="B77" s="142"/>
      <c r="C77" s="207">
        <f>SUM(C69:C76)</f>
        <v>51369956</v>
      </c>
      <c r="D77" s="261">
        <f>SUM(D69:D76)</f>
        <v>7244300</v>
      </c>
      <c r="E77" s="207">
        <f>SUM(E69:E76)</f>
        <v>6655897</v>
      </c>
      <c r="F77" s="269">
        <f>(+D77-E77)/E77</f>
        <v>8.8403261048060094E-2</v>
      </c>
      <c r="G77" s="267">
        <f>D77/C77</f>
        <v>0.14102211806449669</v>
      </c>
      <c r="H77" s="123"/>
    </row>
    <row r="78" spans="1:8" ht="15.75" customHeight="1" thickTop="1" x14ac:dyDescent="0.25">
      <c r="A78" s="130"/>
      <c r="B78" s="139"/>
      <c r="C78" s="205"/>
      <c r="D78" s="205"/>
      <c r="E78" s="205"/>
      <c r="F78" s="140"/>
      <c r="G78" s="216"/>
      <c r="H78" s="123"/>
    </row>
    <row r="79" spans="1:8" ht="15.75" x14ac:dyDescent="0.25">
      <c r="A79" s="130" t="s">
        <v>69</v>
      </c>
      <c r="B79" s="131">
        <f>DATE(2023,7,1)</f>
        <v>45108</v>
      </c>
      <c r="C79" s="204">
        <v>6583612</v>
      </c>
      <c r="D79" s="204">
        <v>1705016.95</v>
      </c>
      <c r="E79" s="204">
        <v>1405783</v>
      </c>
      <c r="F79" s="132">
        <f t="shared" ref="F79:F84" si="14">(+D79-E79)/E79</f>
        <v>0.21285927486674683</v>
      </c>
      <c r="G79" s="215">
        <f t="shared" ref="G79:G84" si="15">D79/C79</f>
        <v>0.25897895410604393</v>
      </c>
      <c r="H79" s="123"/>
    </row>
    <row r="80" spans="1:8" ht="15.75" x14ac:dyDescent="0.25">
      <c r="A80" s="130"/>
      <c r="B80" s="131">
        <f>DATE(2023,8,1)</f>
        <v>45139</v>
      </c>
      <c r="C80" s="204">
        <v>6682064</v>
      </c>
      <c r="D80" s="204">
        <v>1401382.35</v>
      </c>
      <c r="E80" s="204">
        <v>1387184.42</v>
      </c>
      <c r="F80" s="132">
        <f t="shared" si="14"/>
        <v>1.0235070258358415E-2</v>
      </c>
      <c r="G80" s="215">
        <f t="shared" si="15"/>
        <v>0.20972297631390541</v>
      </c>
      <c r="H80" s="123"/>
    </row>
    <row r="81" spans="1:8" ht="15.75" x14ac:dyDescent="0.25">
      <c r="A81" s="130"/>
      <c r="B81" s="131">
        <f>DATE(2023,9,1)</f>
        <v>45170</v>
      </c>
      <c r="C81" s="204">
        <v>6212275</v>
      </c>
      <c r="D81" s="204">
        <v>1626153.96</v>
      </c>
      <c r="E81" s="204">
        <v>1318470</v>
      </c>
      <c r="F81" s="132">
        <f t="shared" si="14"/>
        <v>0.2333643996450431</v>
      </c>
      <c r="G81" s="215">
        <f t="shared" si="15"/>
        <v>0.26176464499720309</v>
      </c>
      <c r="H81" s="123"/>
    </row>
    <row r="82" spans="1:8" ht="15.75" x14ac:dyDescent="0.25">
      <c r="A82" s="130"/>
      <c r="B82" s="131">
        <f>DATE(2023,10,1)</f>
        <v>45200</v>
      </c>
      <c r="C82" s="204">
        <v>5515298</v>
      </c>
      <c r="D82" s="204">
        <v>1039539</v>
      </c>
      <c r="E82" s="204">
        <v>1379988.01</v>
      </c>
      <c r="F82" s="132">
        <f t="shared" si="14"/>
        <v>-0.24670432462670455</v>
      </c>
      <c r="G82" s="215">
        <f t="shared" si="15"/>
        <v>0.18848283447240746</v>
      </c>
      <c r="H82" s="123"/>
    </row>
    <row r="83" spans="1:8" ht="15.75" x14ac:dyDescent="0.25">
      <c r="A83" s="130"/>
      <c r="B83" s="131">
        <f>DATE(2023,11,1)</f>
        <v>45231</v>
      </c>
      <c r="C83" s="204">
        <v>5590365</v>
      </c>
      <c r="D83" s="204">
        <v>1359520</v>
      </c>
      <c r="E83" s="204">
        <v>1234881.42</v>
      </c>
      <c r="F83" s="132">
        <f t="shared" si="14"/>
        <v>0.10093161819537302</v>
      </c>
      <c r="G83" s="215">
        <f t="shared" si="15"/>
        <v>0.24318984538576641</v>
      </c>
      <c r="H83" s="123"/>
    </row>
    <row r="84" spans="1:8" ht="15.75" x14ac:dyDescent="0.25">
      <c r="A84" s="130"/>
      <c r="B84" s="131">
        <f>DATE(2023,12,1)</f>
        <v>45261</v>
      </c>
      <c r="C84" s="204">
        <v>6722180</v>
      </c>
      <c r="D84" s="204">
        <v>1397248.95</v>
      </c>
      <c r="E84" s="204">
        <v>1290058.78</v>
      </c>
      <c r="F84" s="132">
        <f t="shared" si="14"/>
        <v>8.3089368997589341E-2</v>
      </c>
      <c r="G84" s="215">
        <f t="shared" si="15"/>
        <v>0.20785652124757145</v>
      </c>
      <c r="H84" s="123"/>
    </row>
    <row r="85" spans="1:8" ht="15.75" x14ac:dyDescent="0.25">
      <c r="A85" s="130"/>
      <c r="B85" s="131">
        <f>DATE(2024,1,1)</f>
        <v>45292</v>
      </c>
      <c r="C85" s="204">
        <v>5789716</v>
      </c>
      <c r="D85" s="204">
        <v>1471960.42</v>
      </c>
      <c r="E85" s="204">
        <v>1422588.36</v>
      </c>
      <c r="F85" s="132">
        <f>(+D85-E85)/E85</f>
        <v>3.4705795005942425E-2</v>
      </c>
      <c r="G85" s="215">
        <f>D85/C85</f>
        <v>0.25423706793217488</v>
      </c>
      <c r="H85" s="123"/>
    </row>
    <row r="86" spans="1:8" ht="15.75" customHeight="1" thickBot="1" x14ac:dyDescent="0.3">
      <c r="A86" s="130"/>
      <c r="B86" s="131"/>
      <c r="C86" s="204"/>
      <c r="D86" s="204"/>
      <c r="E86" s="204"/>
      <c r="F86" s="132"/>
      <c r="G86" s="215"/>
      <c r="H86" s="123"/>
    </row>
    <row r="87" spans="1:8" ht="17.25" thickTop="1" thickBot="1" x14ac:dyDescent="0.3">
      <c r="A87" s="141" t="s">
        <v>14</v>
      </c>
      <c r="B87" s="142"/>
      <c r="C87" s="206">
        <f>SUM(C79:C86)</f>
        <v>43095510</v>
      </c>
      <c r="D87" s="206">
        <f>SUM(D79:D86)</f>
        <v>10000821.629999999</v>
      </c>
      <c r="E87" s="206">
        <f>SUM(E79:E86)</f>
        <v>9438953.9900000002</v>
      </c>
      <c r="F87" s="143">
        <f>(+D87-E87)/E87</f>
        <v>5.9526473017588968E-2</v>
      </c>
      <c r="G87" s="217">
        <f>D87/C87</f>
        <v>0.23206180017361436</v>
      </c>
      <c r="H87" s="123"/>
    </row>
    <row r="88" spans="1:8" ht="15.75" customHeight="1" thickTop="1" x14ac:dyDescent="0.25">
      <c r="A88" s="138"/>
      <c r="B88" s="139"/>
      <c r="C88" s="205"/>
      <c r="D88" s="205"/>
      <c r="E88" s="205"/>
      <c r="F88" s="140"/>
      <c r="G88" s="216"/>
      <c r="H88" s="123"/>
    </row>
    <row r="89" spans="1:8" ht="15.75" x14ac:dyDescent="0.25">
      <c r="A89" s="130" t="s">
        <v>16</v>
      </c>
      <c r="B89" s="131">
        <f>DATE(2023,7,1)</f>
        <v>45108</v>
      </c>
      <c r="C89" s="204">
        <v>10870339</v>
      </c>
      <c r="D89" s="204">
        <v>2105009.5</v>
      </c>
      <c r="E89" s="204">
        <v>2289729.5</v>
      </c>
      <c r="F89" s="132">
        <f t="shared" ref="F89:F94" si="16">(+D89-E89)/E89</f>
        <v>-8.0673284770100578E-2</v>
      </c>
      <c r="G89" s="215">
        <f t="shared" ref="G89:G94" si="17">D89/C89</f>
        <v>0.1936470886510531</v>
      </c>
      <c r="H89" s="123"/>
    </row>
    <row r="90" spans="1:8" ht="15.75" x14ac:dyDescent="0.25">
      <c r="A90" s="130"/>
      <c r="B90" s="131">
        <f>DATE(2023,8,1)</f>
        <v>45139</v>
      </c>
      <c r="C90" s="204">
        <v>10577694.15</v>
      </c>
      <c r="D90" s="204">
        <v>1767561.15</v>
      </c>
      <c r="E90" s="204">
        <v>2099615</v>
      </c>
      <c r="F90" s="132">
        <f t="shared" si="16"/>
        <v>-0.15814987509614861</v>
      </c>
      <c r="G90" s="215">
        <f t="shared" si="17"/>
        <v>0.16710269033445252</v>
      </c>
      <c r="H90" s="123"/>
    </row>
    <row r="91" spans="1:8" ht="15.75" x14ac:dyDescent="0.25">
      <c r="A91" s="130"/>
      <c r="B91" s="131">
        <f>DATE(2023,9,1)</f>
        <v>45170</v>
      </c>
      <c r="C91" s="204">
        <v>11010233</v>
      </c>
      <c r="D91" s="204">
        <v>2123175</v>
      </c>
      <c r="E91" s="204">
        <v>1892853.5</v>
      </c>
      <c r="F91" s="132">
        <f t="shared" si="16"/>
        <v>0.12167951719454252</v>
      </c>
      <c r="G91" s="215">
        <f t="shared" si="17"/>
        <v>0.19283651853689199</v>
      </c>
      <c r="H91" s="123"/>
    </row>
    <row r="92" spans="1:8" ht="15.75" x14ac:dyDescent="0.25">
      <c r="A92" s="130"/>
      <c r="B92" s="131">
        <f>DATE(2023,10,1)</f>
        <v>45200</v>
      </c>
      <c r="C92" s="204">
        <v>10359340</v>
      </c>
      <c r="D92" s="204">
        <v>1980886.5</v>
      </c>
      <c r="E92" s="204">
        <v>1720920</v>
      </c>
      <c r="F92" s="132">
        <f t="shared" si="16"/>
        <v>0.15106251307440208</v>
      </c>
      <c r="G92" s="215">
        <f t="shared" si="17"/>
        <v>0.19121744242393821</v>
      </c>
      <c r="H92" s="123"/>
    </row>
    <row r="93" spans="1:8" ht="15.75" x14ac:dyDescent="0.25">
      <c r="A93" s="130"/>
      <c r="B93" s="131">
        <f>DATE(2023,11,1)</f>
        <v>45231</v>
      </c>
      <c r="C93" s="204">
        <v>10158371</v>
      </c>
      <c r="D93" s="204">
        <v>1968225</v>
      </c>
      <c r="E93" s="204">
        <v>1878662</v>
      </c>
      <c r="F93" s="132">
        <f t="shared" si="16"/>
        <v>4.7673823178411019E-2</v>
      </c>
      <c r="G93" s="215">
        <f t="shared" si="17"/>
        <v>0.19375399854957059</v>
      </c>
      <c r="H93" s="123"/>
    </row>
    <row r="94" spans="1:8" ht="15.75" x14ac:dyDescent="0.25">
      <c r="A94" s="130"/>
      <c r="B94" s="131">
        <f>DATE(2023,12,1)</f>
        <v>45261</v>
      </c>
      <c r="C94" s="204">
        <v>11753235</v>
      </c>
      <c r="D94" s="204">
        <v>2810336.5</v>
      </c>
      <c r="E94" s="204">
        <v>2169033.7999999998</v>
      </c>
      <c r="F94" s="132">
        <f t="shared" si="16"/>
        <v>0.29566284305943052</v>
      </c>
      <c r="G94" s="215">
        <f t="shared" si="17"/>
        <v>0.23911174242665956</v>
      </c>
      <c r="H94" s="123"/>
    </row>
    <row r="95" spans="1:8" ht="15.75" x14ac:dyDescent="0.25">
      <c r="A95" s="130"/>
      <c r="B95" s="131">
        <f>DATE(2024,1,1)</f>
        <v>45292</v>
      </c>
      <c r="C95" s="204">
        <v>9271778</v>
      </c>
      <c r="D95" s="204">
        <v>1768692.5</v>
      </c>
      <c r="E95" s="204">
        <v>2093677.04</v>
      </c>
      <c r="F95" s="132">
        <f>(+D95-E95)/E95</f>
        <v>-0.1552219056669791</v>
      </c>
      <c r="G95" s="215">
        <f>D95/C95</f>
        <v>0.19076087671641836</v>
      </c>
      <c r="H95" s="123"/>
    </row>
    <row r="96" spans="1:8" ht="15.75" customHeight="1" thickBot="1" x14ac:dyDescent="0.3">
      <c r="A96" s="130"/>
      <c r="B96" s="131"/>
      <c r="C96" s="204"/>
      <c r="D96" s="204"/>
      <c r="E96" s="204"/>
      <c r="F96" s="132"/>
      <c r="G96" s="215"/>
      <c r="H96" s="123"/>
    </row>
    <row r="97" spans="1:8" ht="17.25" thickTop="1" thickBot="1" x14ac:dyDescent="0.3">
      <c r="A97" s="141" t="s">
        <v>14</v>
      </c>
      <c r="B97" s="142"/>
      <c r="C97" s="206">
        <f>SUM(C89:C96)</f>
        <v>74000990.150000006</v>
      </c>
      <c r="D97" s="206">
        <f>SUM(D89:D96)</f>
        <v>14523886.15</v>
      </c>
      <c r="E97" s="206">
        <f>SUM(E89:E96)</f>
        <v>14144490.84</v>
      </c>
      <c r="F97" s="143">
        <f>(+D97-E97)/E97</f>
        <v>2.6822832599041828E-2</v>
      </c>
      <c r="G97" s="217">
        <f>D97/C97</f>
        <v>0.196266105636696</v>
      </c>
      <c r="H97" s="123"/>
    </row>
    <row r="98" spans="1:8" ht="15.75" customHeight="1" thickTop="1" x14ac:dyDescent="0.25">
      <c r="A98" s="138"/>
      <c r="B98" s="139"/>
      <c r="C98" s="205"/>
      <c r="D98" s="205"/>
      <c r="E98" s="205"/>
      <c r="F98" s="140"/>
      <c r="G98" s="216"/>
      <c r="H98" s="123"/>
    </row>
    <row r="99" spans="1:8" ht="15.75" x14ac:dyDescent="0.25">
      <c r="A99" s="130" t="s">
        <v>53</v>
      </c>
      <c r="B99" s="131">
        <f>DATE(2023,7,1)</f>
        <v>45108</v>
      </c>
      <c r="C99" s="204">
        <v>14493632</v>
      </c>
      <c r="D99" s="204">
        <v>2697018.32</v>
      </c>
      <c r="E99" s="204">
        <v>2740415.54</v>
      </c>
      <c r="F99" s="132">
        <f t="shared" ref="F99:F104" si="18">(+D99-E99)/E99</f>
        <v>-1.5835999820669609E-2</v>
      </c>
      <c r="G99" s="215">
        <f t="shared" ref="G99:G104" si="19">D99/C99</f>
        <v>0.18608298596238679</v>
      </c>
      <c r="H99" s="123"/>
    </row>
    <row r="100" spans="1:8" ht="15.75" x14ac:dyDescent="0.25">
      <c r="A100" s="130"/>
      <c r="B100" s="131">
        <f>DATE(2023,8,1)</f>
        <v>45139</v>
      </c>
      <c r="C100" s="204">
        <v>13342517</v>
      </c>
      <c r="D100" s="204">
        <v>2176274.1</v>
      </c>
      <c r="E100" s="204">
        <v>2942976.84</v>
      </c>
      <c r="F100" s="132">
        <f t="shared" si="18"/>
        <v>-0.26051946096864281</v>
      </c>
      <c r="G100" s="215">
        <f t="shared" si="19"/>
        <v>0.1631082126408383</v>
      </c>
      <c r="H100" s="123"/>
    </row>
    <row r="101" spans="1:8" ht="15.75" x14ac:dyDescent="0.25">
      <c r="A101" s="130"/>
      <c r="B101" s="131">
        <f>DATE(2023,9,1)</f>
        <v>45170</v>
      </c>
      <c r="C101" s="204">
        <v>12919096</v>
      </c>
      <c r="D101" s="204">
        <v>3641267.7</v>
      </c>
      <c r="E101" s="204">
        <v>2470080.11</v>
      </c>
      <c r="F101" s="132">
        <f t="shared" si="18"/>
        <v>0.47414963800506066</v>
      </c>
      <c r="G101" s="215">
        <f t="shared" si="19"/>
        <v>0.28185158621005679</v>
      </c>
      <c r="H101" s="123"/>
    </row>
    <row r="102" spans="1:8" ht="15.75" x14ac:dyDescent="0.25">
      <c r="A102" s="130"/>
      <c r="B102" s="131">
        <f>DATE(2023,10,1)</f>
        <v>45200</v>
      </c>
      <c r="C102" s="204">
        <v>12747730</v>
      </c>
      <c r="D102" s="204">
        <v>2255484.27</v>
      </c>
      <c r="E102" s="204">
        <v>3215532.42</v>
      </c>
      <c r="F102" s="132">
        <f t="shared" si="18"/>
        <v>-0.29856584372425637</v>
      </c>
      <c r="G102" s="215">
        <f t="shared" si="19"/>
        <v>0.1769322279339145</v>
      </c>
      <c r="H102" s="123"/>
    </row>
    <row r="103" spans="1:8" ht="15.75" x14ac:dyDescent="0.25">
      <c r="A103" s="130"/>
      <c r="B103" s="131">
        <f>DATE(2023,11,1)</f>
        <v>45231</v>
      </c>
      <c r="C103" s="204">
        <v>12382493</v>
      </c>
      <c r="D103" s="204">
        <v>2883631.5</v>
      </c>
      <c r="E103" s="204">
        <v>3258473.52</v>
      </c>
      <c r="F103" s="132">
        <f t="shared" si="18"/>
        <v>-0.11503607983900388</v>
      </c>
      <c r="G103" s="215">
        <f t="shared" si="19"/>
        <v>0.23287971977856156</v>
      </c>
      <c r="H103" s="123"/>
    </row>
    <row r="104" spans="1:8" ht="15.75" x14ac:dyDescent="0.25">
      <c r="A104" s="130"/>
      <c r="B104" s="131">
        <f>DATE(2023,12,1)</f>
        <v>45261</v>
      </c>
      <c r="C104" s="204">
        <v>13069344</v>
      </c>
      <c r="D104" s="204">
        <v>2283089.39</v>
      </c>
      <c r="E104" s="204">
        <v>2403855.66</v>
      </c>
      <c r="F104" s="132">
        <f t="shared" si="18"/>
        <v>-5.0238569648562013E-2</v>
      </c>
      <c r="G104" s="215">
        <f t="shared" si="19"/>
        <v>0.17469043511288709</v>
      </c>
      <c r="H104" s="123"/>
    </row>
    <row r="105" spans="1:8" ht="15.75" x14ac:dyDescent="0.25">
      <c r="A105" s="130"/>
      <c r="B105" s="131">
        <f>DATE(2024,1,1)</f>
        <v>45292</v>
      </c>
      <c r="C105" s="204">
        <v>11538016</v>
      </c>
      <c r="D105" s="204">
        <v>1993320.36</v>
      </c>
      <c r="E105" s="204">
        <v>3153729.45</v>
      </c>
      <c r="F105" s="132">
        <f>(+D105-E105)/E105</f>
        <v>-0.36794820494192992</v>
      </c>
      <c r="G105" s="215">
        <f>D105/C105</f>
        <v>0.17276110208202172</v>
      </c>
      <c r="H105" s="123"/>
    </row>
    <row r="106" spans="1:8" ht="15.75" thickBot="1" x14ac:dyDescent="0.25">
      <c r="A106" s="133"/>
      <c r="B106" s="131"/>
      <c r="C106" s="204"/>
      <c r="D106" s="204"/>
      <c r="E106" s="204"/>
      <c r="F106" s="132"/>
      <c r="G106" s="215"/>
      <c r="H106" s="123"/>
    </row>
    <row r="107" spans="1:8" ht="17.25" thickTop="1" thickBot="1" x14ac:dyDescent="0.3">
      <c r="A107" s="141" t="s">
        <v>14</v>
      </c>
      <c r="B107" s="142"/>
      <c r="C107" s="207">
        <f>SUM(C99:C106)</f>
        <v>90492828</v>
      </c>
      <c r="D107" s="207">
        <f>SUM(D99:D106)</f>
        <v>17930085.640000001</v>
      </c>
      <c r="E107" s="207">
        <f>SUM(E99:E106)</f>
        <v>20185063.539999999</v>
      </c>
      <c r="F107" s="143">
        <f>(+D107-E107)/E107</f>
        <v>-0.11171517471477817</v>
      </c>
      <c r="G107" s="267">
        <f>D107/C107</f>
        <v>0.19813819543798544</v>
      </c>
      <c r="H107" s="123"/>
    </row>
    <row r="108" spans="1:8" ht="15.75" customHeight="1" thickTop="1" x14ac:dyDescent="0.25">
      <c r="A108" s="138"/>
      <c r="B108" s="139"/>
      <c r="C108" s="205"/>
      <c r="D108" s="205"/>
      <c r="E108" s="205"/>
      <c r="F108" s="140"/>
      <c r="G108" s="219"/>
      <c r="H108" s="123"/>
    </row>
    <row r="109" spans="1:8" ht="15.75" x14ac:dyDescent="0.25">
      <c r="A109" s="130" t="s">
        <v>54</v>
      </c>
      <c r="B109" s="131">
        <f>DATE(2023,7,1)</f>
        <v>45108</v>
      </c>
      <c r="C109" s="204">
        <v>199161</v>
      </c>
      <c r="D109" s="204">
        <v>54168.5</v>
      </c>
      <c r="E109" s="204">
        <v>33672.5</v>
      </c>
      <c r="F109" s="132">
        <f t="shared" ref="F109:F114" si="20">(+D109-E109)/E109</f>
        <v>0.60868661370554611</v>
      </c>
      <c r="G109" s="215">
        <f>D109/C109</f>
        <v>0.27198347065941625</v>
      </c>
      <c r="H109" s="123"/>
    </row>
    <row r="110" spans="1:8" ht="15.75" x14ac:dyDescent="0.25">
      <c r="A110" s="130"/>
      <c r="B110" s="131">
        <f>DATE(2023,8,1)</f>
        <v>45139</v>
      </c>
      <c r="C110" s="204">
        <v>175878</v>
      </c>
      <c r="D110" s="204">
        <v>48279.5</v>
      </c>
      <c r="E110" s="204">
        <v>43554</v>
      </c>
      <c r="F110" s="132">
        <f t="shared" si="20"/>
        <v>0.10849749735959957</v>
      </c>
      <c r="G110" s="215">
        <f>D110/C110</f>
        <v>0.27450562321609295</v>
      </c>
      <c r="H110" s="123"/>
    </row>
    <row r="111" spans="1:8" ht="15.75" x14ac:dyDescent="0.25">
      <c r="A111" s="130"/>
      <c r="B111" s="131">
        <f>DATE(2023,9,1)</f>
        <v>45170</v>
      </c>
      <c r="C111" s="204">
        <v>172935</v>
      </c>
      <c r="D111" s="204">
        <v>44777.5</v>
      </c>
      <c r="E111" s="204">
        <v>21940.5</v>
      </c>
      <c r="F111" s="132">
        <f t="shared" si="20"/>
        <v>1.0408605091041681</v>
      </c>
      <c r="G111" s="215">
        <f>D111/C111</f>
        <v>0.25892676439124529</v>
      </c>
      <c r="H111" s="123"/>
    </row>
    <row r="112" spans="1:8" ht="15.75" x14ac:dyDescent="0.25">
      <c r="A112" s="130"/>
      <c r="B112" s="131">
        <f>DATE(2023,10,1)</f>
        <v>45200</v>
      </c>
      <c r="C112" s="204">
        <v>199343</v>
      </c>
      <c r="D112" s="204">
        <v>43819.5</v>
      </c>
      <c r="E112" s="204">
        <v>23452.5</v>
      </c>
      <c r="F112" s="132">
        <f t="shared" si="20"/>
        <v>0.86843620083146789</v>
      </c>
      <c r="G112" s="215">
        <f>D112/C112</f>
        <v>0.21981960741034298</v>
      </c>
      <c r="H112" s="123"/>
    </row>
    <row r="113" spans="1:8" ht="15.75" x14ac:dyDescent="0.25">
      <c r="A113" s="130"/>
      <c r="B113" s="131">
        <f>DATE(2023,11,1)</f>
        <v>45231</v>
      </c>
      <c r="C113" s="204">
        <v>159884</v>
      </c>
      <c r="D113" s="204">
        <v>38077.5</v>
      </c>
      <c r="E113" s="204">
        <v>27986</v>
      </c>
      <c r="F113" s="132">
        <f t="shared" si="20"/>
        <v>0.3605910097906096</v>
      </c>
      <c r="G113" s="215">
        <f>D113/C113</f>
        <v>0.23815703885316855</v>
      </c>
      <c r="H113" s="123"/>
    </row>
    <row r="114" spans="1:8" ht="15.75" x14ac:dyDescent="0.25">
      <c r="A114" s="130"/>
      <c r="B114" s="131">
        <f>DATE(2023,12,1)</f>
        <v>45261</v>
      </c>
      <c r="C114" s="204">
        <v>0</v>
      </c>
      <c r="D114" s="204">
        <v>0</v>
      </c>
      <c r="E114" s="204">
        <v>31936</v>
      </c>
      <c r="F114" s="132">
        <f t="shared" si="20"/>
        <v>-1</v>
      </c>
      <c r="G114" s="215">
        <v>0</v>
      </c>
      <c r="H114" s="123"/>
    </row>
    <row r="115" spans="1:8" ht="15.75" x14ac:dyDescent="0.25">
      <c r="A115" s="130"/>
      <c r="B115" s="131">
        <f>DATE(2024,1,1)</f>
        <v>45292</v>
      </c>
      <c r="C115" s="204">
        <v>0</v>
      </c>
      <c r="D115" s="204">
        <v>0</v>
      </c>
      <c r="E115" s="204">
        <v>19398.5</v>
      </c>
      <c r="F115" s="132">
        <f>(+D115-E115)/E115</f>
        <v>-1</v>
      </c>
      <c r="G115" s="215">
        <v>0</v>
      </c>
      <c r="H115" s="123"/>
    </row>
    <row r="116" spans="1:8" ht="15.75" thickBot="1" x14ac:dyDescent="0.25">
      <c r="A116" s="133"/>
      <c r="B116" s="134"/>
      <c r="C116" s="204"/>
      <c r="D116" s="204"/>
      <c r="E116" s="204"/>
      <c r="F116" s="132"/>
      <c r="G116" s="215"/>
      <c r="H116" s="123"/>
    </row>
    <row r="117" spans="1:8" ht="17.25" thickTop="1" thickBot="1" x14ac:dyDescent="0.3">
      <c r="A117" s="144" t="s">
        <v>14</v>
      </c>
      <c r="B117" s="145"/>
      <c r="C117" s="207">
        <f>SUM(C109:C116)</f>
        <v>907201</v>
      </c>
      <c r="D117" s="207">
        <f>SUM(D109:D116)</f>
        <v>229122.5</v>
      </c>
      <c r="E117" s="207">
        <f>SUM(E109:E116)</f>
        <v>201940</v>
      </c>
      <c r="F117" s="143">
        <f>(+D117-E117)/E117</f>
        <v>0.13460681390512033</v>
      </c>
      <c r="G117" s="217">
        <f>D117/C117</f>
        <v>0.2525597965610708</v>
      </c>
      <c r="H117" s="123"/>
    </row>
    <row r="118" spans="1:8" ht="15.75" customHeight="1" thickTop="1" x14ac:dyDescent="0.25">
      <c r="A118" s="130"/>
      <c r="B118" s="134"/>
      <c r="C118" s="204"/>
      <c r="D118" s="204"/>
      <c r="E118" s="204"/>
      <c r="F118" s="132"/>
      <c r="G118" s="218"/>
      <c r="H118" s="123"/>
    </row>
    <row r="119" spans="1:8" ht="15.75" x14ac:dyDescent="0.25">
      <c r="A119" s="130" t="s">
        <v>37</v>
      </c>
      <c r="B119" s="131">
        <f>DATE(2023,7,1)</f>
        <v>45108</v>
      </c>
      <c r="C119" s="204">
        <v>20709684</v>
      </c>
      <c r="D119" s="204">
        <v>4690410.88</v>
      </c>
      <c r="E119" s="204">
        <v>4747644.93</v>
      </c>
      <c r="F119" s="132">
        <f t="shared" ref="F119:F124" si="21">(+D119-E119)/E119</f>
        <v>-1.2055250728280519E-2</v>
      </c>
      <c r="G119" s="215">
        <f t="shared" ref="G119:G124" si="22">D119/C119</f>
        <v>0.22648394248796844</v>
      </c>
      <c r="H119" s="123"/>
    </row>
    <row r="120" spans="1:8" ht="15.75" x14ac:dyDescent="0.25">
      <c r="A120" s="130"/>
      <c r="B120" s="131">
        <f>DATE(2023,8,1)</f>
        <v>45139</v>
      </c>
      <c r="C120" s="204">
        <v>20362139</v>
      </c>
      <c r="D120" s="204">
        <v>3109199.97</v>
      </c>
      <c r="E120" s="204">
        <v>5944421.2300000004</v>
      </c>
      <c r="F120" s="132">
        <f t="shared" si="21"/>
        <v>-0.47695497177948137</v>
      </c>
      <c r="G120" s="215">
        <f t="shared" si="22"/>
        <v>0.15269515496382774</v>
      </c>
      <c r="H120" s="123"/>
    </row>
    <row r="121" spans="1:8" ht="15.75" x14ac:dyDescent="0.25">
      <c r="A121" s="130"/>
      <c r="B121" s="131">
        <f>DATE(2023,9,1)</f>
        <v>45170</v>
      </c>
      <c r="C121" s="204">
        <v>21392075</v>
      </c>
      <c r="D121" s="204">
        <v>4835353.0999999996</v>
      </c>
      <c r="E121" s="204">
        <v>4482002.3499999996</v>
      </c>
      <c r="F121" s="132">
        <f t="shared" si="21"/>
        <v>7.8837698512139343E-2</v>
      </c>
      <c r="G121" s="215">
        <f t="shared" si="22"/>
        <v>0.22603478624677595</v>
      </c>
      <c r="H121" s="123"/>
    </row>
    <row r="122" spans="1:8" ht="15.75" x14ac:dyDescent="0.25">
      <c r="A122" s="130"/>
      <c r="B122" s="131">
        <f>DATE(2023,10,1)</f>
        <v>45200</v>
      </c>
      <c r="C122" s="204">
        <v>19934793</v>
      </c>
      <c r="D122" s="204">
        <v>4925406.22</v>
      </c>
      <c r="E122" s="204">
        <v>4856222.42</v>
      </c>
      <c r="F122" s="132">
        <f t="shared" si="21"/>
        <v>1.4246423251758681E-2</v>
      </c>
      <c r="G122" s="215">
        <f t="shared" si="22"/>
        <v>0.24707586479578694</v>
      </c>
      <c r="H122" s="123"/>
    </row>
    <row r="123" spans="1:8" ht="15.75" x14ac:dyDescent="0.25">
      <c r="A123" s="130"/>
      <c r="B123" s="131">
        <f>DATE(2023,11,1)</f>
        <v>45231</v>
      </c>
      <c r="C123" s="204">
        <v>20304922</v>
      </c>
      <c r="D123" s="204">
        <v>3628470.69</v>
      </c>
      <c r="E123" s="204">
        <v>4475648.3499999996</v>
      </c>
      <c r="F123" s="132">
        <f t="shared" si="21"/>
        <v>-0.18928601930935879</v>
      </c>
      <c r="G123" s="215">
        <f t="shared" si="22"/>
        <v>0.17869907059972945</v>
      </c>
      <c r="H123" s="123"/>
    </row>
    <row r="124" spans="1:8" ht="15.75" x14ac:dyDescent="0.25">
      <c r="A124" s="130"/>
      <c r="B124" s="131">
        <f>DATE(2023,12,1)</f>
        <v>45261</v>
      </c>
      <c r="C124" s="204">
        <v>23730013</v>
      </c>
      <c r="D124" s="204">
        <v>5043873.1500000004</v>
      </c>
      <c r="E124" s="204">
        <v>4385866.74</v>
      </c>
      <c r="F124" s="132">
        <f t="shared" si="21"/>
        <v>0.15002881961707759</v>
      </c>
      <c r="G124" s="215">
        <f t="shared" si="22"/>
        <v>0.21255248153467091</v>
      </c>
      <c r="H124" s="123"/>
    </row>
    <row r="125" spans="1:8" ht="15.75" x14ac:dyDescent="0.25">
      <c r="A125" s="130"/>
      <c r="B125" s="131">
        <f>DATE(2024,1,1)</f>
        <v>45292</v>
      </c>
      <c r="C125" s="204">
        <v>22155236</v>
      </c>
      <c r="D125" s="204">
        <v>4031282.04</v>
      </c>
      <c r="E125" s="204">
        <v>4078609.4</v>
      </c>
      <c r="F125" s="132">
        <f>(+D125-E125)/E125</f>
        <v>-1.1603798098440088E-2</v>
      </c>
      <c r="G125" s="215">
        <f>D125/C125</f>
        <v>0.18195617686040447</v>
      </c>
      <c r="H125" s="123"/>
    </row>
    <row r="126" spans="1:8" ht="15.75" thickBot="1" x14ac:dyDescent="0.25">
      <c r="A126" s="133"/>
      <c r="B126" s="134"/>
      <c r="C126" s="204"/>
      <c r="D126" s="204"/>
      <c r="E126" s="204"/>
      <c r="F126" s="132"/>
      <c r="G126" s="215"/>
      <c r="H126" s="123"/>
    </row>
    <row r="127" spans="1:8" ht="17.25" thickTop="1" thickBot="1" x14ac:dyDescent="0.3">
      <c r="A127" s="141" t="s">
        <v>14</v>
      </c>
      <c r="B127" s="142"/>
      <c r="C127" s="206">
        <f>SUM(C119:C126)</f>
        <v>148588862</v>
      </c>
      <c r="D127" s="207">
        <f>SUM(D119:D126)</f>
        <v>30263996.049999997</v>
      </c>
      <c r="E127" s="206">
        <f>SUM(E119:E126)</f>
        <v>32970415.420000002</v>
      </c>
      <c r="F127" s="143">
        <f>(+D127-E127)/E127</f>
        <v>-8.2086298747642672E-2</v>
      </c>
      <c r="G127" s="217">
        <f>D127/C127</f>
        <v>0.20367607398460322</v>
      </c>
      <c r="H127" s="123"/>
    </row>
    <row r="128" spans="1:8" ht="15.75" customHeight="1" thickTop="1" x14ac:dyDescent="0.25">
      <c r="A128" s="130"/>
      <c r="B128" s="134"/>
      <c r="C128" s="204"/>
      <c r="D128" s="204"/>
      <c r="E128" s="204"/>
      <c r="F128" s="132"/>
      <c r="G128" s="218"/>
      <c r="H128" s="123"/>
    </row>
    <row r="129" spans="1:8" ht="15.75" x14ac:dyDescent="0.25">
      <c r="A129" s="130" t="s">
        <v>57</v>
      </c>
      <c r="B129" s="131">
        <f>DATE(2023,7,1)</f>
        <v>45108</v>
      </c>
      <c r="C129" s="204">
        <v>667022</v>
      </c>
      <c r="D129" s="204">
        <v>167507.5</v>
      </c>
      <c r="E129" s="204">
        <v>196833</v>
      </c>
      <c r="F129" s="132">
        <f t="shared" ref="F129:F134" si="23">(+D129-E129)/E129</f>
        <v>-0.14898670446520654</v>
      </c>
      <c r="G129" s="215">
        <f t="shared" ref="G129:G134" si="24">D129/C129</f>
        <v>0.25112739909628168</v>
      </c>
      <c r="H129" s="123"/>
    </row>
    <row r="130" spans="1:8" ht="15.75" x14ac:dyDescent="0.25">
      <c r="A130" s="130"/>
      <c r="B130" s="131">
        <f>DATE(2023,8,1)</f>
        <v>45139</v>
      </c>
      <c r="C130" s="204">
        <v>610032</v>
      </c>
      <c r="D130" s="204">
        <v>211410</v>
      </c>
      <c r="E130" s="204">
        <v>151280.5</v>
      </c>
      <c r="F130" s="132">
        <f t="shared" si="23"/>
        <v>0.39747026219506149</v>
      </c>
      <c r="G130" s="215">
        <f t="shared" si="24"/>
        <v>0.34655559052639862</v>
      </c>
      <c r="H130" s="123"/>
    </row>
    <row r="131" spans="1:8" ht="15.75" x14ac:dyDescent="0.25">
      <c r="A131" s="130"/>
      <c r="B131" s="131">
        <f>DATE(2023,9,1)</f>
        <v>45170</v>
      </c>
      <c r="C131" s="204">
        <v>532466</v>
      </c>
      <c r="D131" s="204">
        <v>169350</v>
      </c>
      <c r="E131" s="204">
        <v>193974</v>
      </c>
      <c r="F131" s="132">
        <f t="shared" si="23"/>
        <v>-0.12694484827863528</v>
      </c>
      <c r="G131" s="215">
        <f t="shared" si="24"/>
        <v>0.31804847633463923</v>
      </c>
      <c r="H131" s="123"/>
    </row>
    <row r="132" spans="1:8" ht="15.75" x14ac:dyDescent="0.25">
      <c r="A132" s="130"/>
      <c r="B132" s="131">
        <f>DATE(2023,10,1)</f>
        <v>45200</v>
      </c>
      <c r="C132" s="204">
        <v>417867</v>
      </c>
      <c r="D132" s="204">
        <v>88179.5</v>
      </c>
      <c r="E132" s="204">
        <v>196489.5</v>
      </c>
      <c r="F132" s="132">
        <f t="shared" si="23"/>
        <v>-0.55122538354466777</v>
      </c>
      <c r="G132" s="215">
        <f t="shared" si="24"/>
        <v>0.21102288527210811</v>
      </c>
      <c r="H132" s="123"/>
    </row>
    <row r="133" spans="1:8" ht="15.75" x14ac:dyDescent="0.25">
      <c r="A133" s="130"/>
      <c r="B133" s="131">
        <f>DATE(2023,11,1)</f>
        <v>45231</v>
      </c>
      <c r="C133" s="204">
        <v>535756</v>
      </c>
      <c r="D133" s="204">
        <v>133089.5</v>
      </c>
      <c r="E133" s="204">
        <v>205853.5</v>
      </c>
      <c r="F133" s="132">
        <f t="shared" si="23"/>
        <v>-0.3534746798086989</v>
      </c>
      <c r="G133" s="215">
        <f t="shared" si="24"/>
        <v>0.24841439013282166</v>
      </c>
      <c r="H133" s="123"/>
    </row>
    <row r="134" spans="1:8" ht="15.75" x14ac:dyDescent="0.25">
      <c r="A134" s="130"/>
      <c r="B134" s="131">
        <f>DATE(2023,12,1)</f>
        <v>45261</v>
      </c>
      <c r="C134" s="204">
        <v>646232</v>
      </c>
      <c r="D134" s="204">
        <v>263841.5</v>
      </c>
      <c r="E134" s="204">
        <v>179648</v>
      </c>
      <c r="F134" s="132">
        <f t="shared" si="23"/>
        <v>0.46865815372283576</v>
      </c>
      <c r="G134" s="215">
        <f t="shared" si="24"/>
        <v>0.40827674890751309</v>
      </c>
      <c r="H134" s="123"/>
    </row>
    <row r="135" spans="1:8" ht="15.75" x14ac:dyDescent="0.25">
      <c r="A135" s="130"/>
      <c r="B135" s="131">
        <f>DATE(2024,1,1)</f>
        <v>45292</v>
      </c>
      <c r="C135" s="204">
        <v>452540</v>
      </c>
      <c r="D135" s="204">
        <v>139110</v>
      </c>
      <c r="E135" s="204">
        <v>120250</v>
      </c>
      <c r="F135" s="132">
        <f>(+D135-E135)/E135</f>
        <v>0.15683991683991683</v>
      </c>
      <c r="G135" s="215">
        <f>D135/C135</f>
        <v>0.30739824103946611</v>
      </c>
      <c r="H135" s="123"/>
    </row>
    <row r="136" spans="1:8" ht="15.75" thickBot="1" x14ac:dyDescent="0.25">
      <c r="A136" s="133"/>
      <c r="B136" s="134"/>
      <c r="C136" s="204"/>
      <c r="D136" s="204"/>
      <c r="E136" s="204"/>
      <c r="F136" s="132"/>
      <c r="G136" s="215"/>
      <c r="H136" s="123"/>
    </row>
    <row r="137" spans="1:8" ht="17.25" thickTop="1" thickBot="1" x14ac:dyDescent="0.3">
      <c r="A137" s="135" t="s">
        <v>14</v>
      </c>
      <c r="B137" s="136"/>
      <c r="C137" s="201">
        <f>SUM(C129:C136)</f>
        <v>3861915</v>
      </c>
      <c r="D137" s="207">
        <f>SUM(D129:D136)</f>
        <v>1172488</v>
      </c>
      <c r="E137" s="207">
        <f>SUM(E129:E136)</f>
        <v>1244328.5</v>
      </c>
      <c r="F137" s="143">
        <f>(+D137-E137)/E137</f>
        <v>-5.7734352303270398E-2</v>
      </c>
      <c r="G137" s="217">
        <f>D137/C137</f>
        <v>0.303602746305913</v>
      </c>
      <c r="H137" s="123"/>
    </row>
    <row r="138" spans="1:8" ht="16.5" thickTop="1" thickBot="1" x14ac:dyDescent="0.25">
      <c r="A138" s="146"/>
      <c r="B138" s="139"/>
      <c r="C138" s="205"/>
      <c r="D138" s="205"/>
      <c r="E138" s="205"/>
      <c r="F138" s="140"/>
      <c r="G138" s="216"/>
      <c r="H138" s="123"/>
    </row>
    <row r="139" spans="1:8" ht="17.25" thickTop="1" thickBot="1" x14ac:dyDescent="0.3">
      <c r="A139" s="147" t="s">
        <v>38</v>
      </c>
      <c r="B139" s="121"/>
      <c r="C139" s="201">
        <f>C137+C127+C97+C77+C57+C37+C17+C47+C117+C27+C87+C107+C67</f>
        <v>764642575.14999998</v>
      </c>
      <c r="D139" s="201">
        <f>D137+D127+D97+D77+D57+D37+D17+D47+D117+D27+D87+D107+D67</f>
        <v>152172293.38999999</v>
      </c>
      <c r="E139" s="201">
        <f>E137+E127+E97+E77+E57+E37+E17+E47+E117+E27+E87+E107+E67</f>
        <v>159198272.27000001</v>
      </c>
      <c r="F139" s="137">
        <f>(+D139-E139)/E139</f>
        <v>-4.4133512128096318E-2</v>
      </c>
      <c r="G139" s="212">
        <f>D139/C139</f>
        <v>0.19901101290383724</v>
      </c>
      <c r="H139" s="123"/>
    </row>
    <row r="140" spans="1:8" ht="17.25" thickTop="1" thickBot="1" x14ac:dyDescent="0.3">
      <c r="A140" s="147"/>
      <c r="B140" s="121"/>
      <c r="C140" s="201"/>
      <c r="D140" s="201"/>
      <c r="E140" s="201"/>
      <c r="F140" s="137"/>
      <c r="G140" s="212"/>
      <c r="H140" s="123"/>
    </row>
    <row r="141" spans="1:8" ht="17.25" thickTop="1" thickBot="1" x14ac:dyDescent="0.3">
      <c r="A141" s="265" t="s">
        <v>39</v>
      </c>
      <c r="B141" s="266"/>
      <c r="C141" s="206">
        <f>+C15+C25+C35+C45+C55+C65+C75+C85+C95+C105+C115+C125+C135</f>
        <v>101458969</v>
      </c>
      <c r="D141" s="206">
        <f>+D15+D25+D35+D45+D55+D65+D75+D85+D95+D105+D115+D125+D135</f>
        <v>19916235.439999998</v>
      </c>
      <c r="E141" s="206">
        <f>+E15+E25+E35+E45+E55+E65+E75+E85+E95+E105+E115+E125+E135</f>
        <v>23004752.489999998</v>
      </c>
      <c r="F141" s="268">
        <f>(+D141-E141)/E141</f>
        <v>-0.13425560876356124</v>
      </c>
      <c r="G141" s="217">
        <f>D141/C141</f>
        <v>0.19629842128594857</v>
      </c>
      <c r="H141" s="123"/>
    </row>
    <row r="142" spans="1:8" ht="16.5" thickTop="1" x14ac:dyDescent="0.25">
      <c r="A142" s="256"/>
      <c r="B142" s="258"/>
      <c r="C142" s="259"/>
      <c r="D142" s="259"/>
      <c r="E142" s="259"/>
      <c r="F142" s="260"/>
      <c r="G142" s="257"/>
      <c r="H142" s="257"/>
    </row>
    <row r="143" spans="1:8" ht="18.75" x14ac:dyDescent="0.3">
      <c r="A143" s="263" t="s">
        <v>40</v>
      </c>
      <c r="B143" s="117"/>
      <c r="C143" s="208"/>
      <c r="D143" s="208"/>
      <c r="E143" s="208"/>
      <c r="F143" s="148"/>
      <c r="G143" s="220"/>
    </row>
    <row r="144" spans="1:8" ht="15.75" x14ac:dyDescent="0.25">
      <c r="A144" s="72"/>
    </row>
  </sheetData>
  <phoneticPr fontId="0" type="noConversion"/>
  <printOptions horizontalCentered="1"/>
  <pageMargins left="0.45" right="0.25" top="0.31944444444444398" bottom="0.2" header="0.5" footer="0.5"/>
  <pageSetup scale="56" orientation="landscape" r:id="rId1"/>
  <headerFooter alignWithMargins="0"/>
  <rowBreaks count="2" manualBreakCount="2">
    <brk id="57" max="7" man="1"/>
    <brk id="10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zoomScaleNormal="100" workbookViewId="0">
      <selection activeCell="A10" sqref="A10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9" t="s">
        <v>0</v>
      </c>
      <c r="B1" s="150"/>
      <c r="C1" s="222"/>
      <c r="D1" s="222"/>
      <c r="E1" s="222"/>
      <c r="F1" s="150"/>
      <c r="G1" s="234"/>
      <c r="H1" s="234"/>
    </row>
    <row r="2" spans="1:8" ht="18.75" x14ac:dyDescent="0.3">
      <c r="A2" s="153" t="s">
        <v>59</v>
      </c>
      <c r="B2" s="150"/>
      <c r="C2" s="222"/>
      <c r="D2" s="222"/>
      <c r="E2" s="222"/>
      <c r="F2" s="150"/>
      <c r="G2" s="234"/>
      <c r="H2" s="234"/>
    </row>
    <row r="3" spans="1:8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</row>
    <row r="4" spans="1:8" ht="18" x14ac:dyDescent="0.25">
      <c r="A4" s="285" t="s">
        <v>75</v>
      </c>
      <c r="B4" s="150"/>
      <c r="C4" s="222"/>
      <c r="D4" s="222"/>
      <c r="E4" s="222"/>
      <c r="F4" s="150"/>
      <c r="G4" s="234"/>
      <c r="H4" s="234"/>
    </row>
    <row r="5" spans="1:8" x14ac:dyDescent="0.2">
      <c r="A5" s="286" t="s">
        <v>79</v>
      </c>
      <c r="B5" s="150"/>
      <c r="C5" s="222"/>
      <c r="D5" s="222"/>
      <c r="E5" s="222"/>
      <c r="F5" s="150"/>
      <c r="G5" s="234"/>
      <c r="H5" s="234"/>
    </row>
    <row r="6" spans="1:8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</row>
    <row r="7" spans="1:8" ht="16.5" thickTop="1" x14ac:dyDescent="0.25">
      <c r="A7" s="154"/>
      <c r="B7" s="155" t="s">
        <v>2</v>
      </c>
      <c r="C7" s="223" t="s">
        <v>65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</row>
    <row r="8" spans="1:8" ht="16.5" thickBot="1" x14ac:dyDescent="0.3">
      <c r="A8" s="158" t="s">
        <v>5</v>
      </c>
      <c r="B8" s="159" t="s">
        <v>6</v>
      </c>
      <c r="C8" s="224" t="s">
        <v>45</v>
      </c>
      <c r="D8" s="224" t="s">
        <v>66</v>
      </c>
      <c r="E8" s="224" t="s">
        <v>66</v>
      </c>
      <c r="F8" s="160" t="s">
        <v>8</v>
      </c>
      <c r="G8" s="238" t="s">
        <v>35</v>
      </c>
      <c r="H8" s="254" t="s">
        <v>47</v>
      </c>
    </row>
    <row r="9" spans="1:8" ht="16.5" thickTop="1" x14ac:dyDescent="0.25">
      <c r="A9" s="161"/>
      <c r="B9" s="162"/>
      <c r="C9" s="225"/>
      <c r="D9" s="225"/>
      <c r="E9" s="225"/>
      <c r="F9" s="163"/>
      <c r="G9" s="239"/>
      <c r="H9" s="240"/>
    </row>
    <row r="10" spans="1:8" ht="15.75" x14ac:dyDescent="0.25">
      <c r="A10" s="164" t="s">
        <v>36</v>
      </c>
      <c r="B10" s="165">
        <f>DATE(23,7,1)</f>
        <v>8583</v>
      </c>
      <c r="C10" s="226">
        <v>0</v>
      </c>
      <c r="D10" s="226">
        <v>0</v>
      </c>
      <c r="E10" s="226">
        <v>120141.72</v>
      </c>
      <c r="F10" s="166">
        <v>-1</v>
      </c>
      <c r="G10" s="241">
        <v>0</v>
      </c>
      <c r="H10" s="289">
        <v>0</v>
      </c>
    </row>
    <row r="11" spans="1:8" ht="15.75" x14ac:dyDescent="0.25">
      <c r="A11" s="164"/>
      <c r="B11" s="165">
        <f>DATE(23,8,1)</f>
        <v>8614</v>
      </c>
      <c r="C11" s="226">
        <v>0</v>
      </c>
      <c r="D11" s="226">
        <v>0</v>
      </c>
      <c r="E11" s="226">
        <v>119034.53</v>
      </c>
      <c r="F11" s="166">
        <v>-1</v>
      </c>
      <c r="G11" s="241">
        <v>0</v>
      </c>
      <c r="H11" s="289">
        <v>0</v>
      </c>
    </row>
    <row r="12" spans="1:8" ht="15.75" x14ac:dyDescent="0.25">
      <c r="A12" s="164"/>
      <c r="B12" s="165">
        <f>DATE(23,9,1)</f>
        <v>8645</v>
      </c>
      <c r="C12" s="226">
        <v>0</v>
      </c>
      <c r="D12" s="226">
        <v>0</v>
      </c>
      <c r="E12" s="226">
        <v>77282.02</v>
      </c>
      <c r="F12" s="166">
        <v>-1</v>
      </c>
      <c r="G12" s="241">
        <v>0</v>
      </c>
      <c r="H12" s="289">
        <v>0</v>
      </c>
    </row>
    <row r="13" spans="1:8" ht="15.75" x14ac:dyDescent="0.25">
      <c r="A13" s="164"/>
      <c r="B13" s="165">
        <f>DATE(23,10,1)</f>
        <v>8675</v>
      </c>
      <c r="C13" s="226">
        <v>0</v>
      </c>
      <c r="D13" s="226">
        <v>0</v>
      </c>
      <c r="E13" s="226">
        <v>97377.75</v>
      </c>
      <c r="F13" s="166">
        <v>-1</v>
      </c>
      <c r="G13" s="241">
        <v>0</v>
      </c>
      <c r="H13" s="289">
        <v>0</v>
      </c>
    </row>
    <row r="14" spans="1:8" ht="15.75" x14ac:dyDescent="0.25">
      <c r="A14" s="164"/>
      <c r="B14" s="165">
        <f>DATE(23,11,1)</f>
        <v>8706</v>
      </c>
      <c r="C14" s="226">
        <v>0</v>
      </c>
      <c r="D14" s="226">
        <v>0</v>
      </c>
      <c r="E14" s="226">
        <v>92934.27</v>
      </c>
      <c r="F14" s="166">
        <v>-1</v>
      </c>
      <c r="G14" s="241">
        <v>0</v>
      </c>
      <c r="H14" s="289">
        <v>0</v>
      </c>
    </row>
    <row r="15" spans="1:8" ht="15.75" x14ac:dyDescent="0.25">
      <c r="A15" s="164"/>
      <c r="B15" s="165">
        <f>DATE(23,12,1)</f>
        <v>8736</v>
      </c>
      <c r="C15" s="226">
        <v>0</v>
      </c>
      <c r="D15" s="226">
        <v>0</v>
      </c>
      <c r="E15" s="226">
        <v>0</v>
      </c>
      <c r="F15" s="166">
        <v>0</v>
      </c>
      <c r="G15" s="241">
        <v>0</v>
      </c>
      <c r="H15" s="242">
        <v>0</v>
      </c>
    </row>
    <row r="16" spans="1:8" ht="15.75" x14ac:dyDescent="0.25">
      <c r="A16" s="164"/>
      <c r="B16" s="165">
        <f>DATE(24,1,1)</f>
        <v>8767</v>
      </c>
      <c r="C16" s="226">
        <v>0</v>
      </c>
      <c r="D16" s="226">
        <v>0</v>
      </c>
      <c r="E16" s="226">
        <v>0</v>
      </c>
      <c r="F16" s="166">
        <v>0</v>
      </c>
      <c r="G16" s="241">
        <v>0</v>
      </c>
      <c r="H16" s="242">
        <v>0</v>
      </c>
    </row>
    <row r="17" spans="1:8" ht="15.75" thickBot="1" x14ac:dyDescent="0.25">
      <c r="A17" s="167"/>
      <c r="B17" s="168"/>
      <c r="C17" s="226"/>
      <c r="D17" s="226"/>
      <c r="E17" s="226"/>
      <c r="F17" s="166"/>
      <c r="G17" s="241"/>
      <c r="H17" s="242"/>
    </row>
    <row r="18" spans="1:8" ht="17.25" thickTop="1" thickBot="1" x14ac:dyDescent="0.3">
      <c r="A18" s="169" t="s">
        <v>14</v>
      </c>
      <c r="B18" s="155"/>
      <c r="C18" s="223">
        <f>SUM(C10:C17)</f>
        <v>0</v>
      </c>
      <c r="D18" s="223">
        <f>SUM(D10:D17)</f>
        <v>0</v>
      </c>
      <c r="E18" s="223">
        <f>SUM(E10:E17)</f>
        <v>506770.29000000004</v>
      </c>
      <c r="F18" s="176">
        <f>+(D18-E18)/E18</f>
        <v>-1</v>
      </c>
      <c r="G18" s="245">
        <v>0</v>
      </c>
      <c r="H18" s="246">
        <v>0</v>
      </c>
    </row>
    <row r="19" spans="1:8" ht="15.75" thickTop="1" x14ac:dyDescent="0.2">
      <c r="A19" s="171"/>
      <c r="B19" s="172"/>
      <c r="C19" s="227"/>
      <c r="D19" s="227"/>
      <c r="E19" s="227"/>
      <c r="F19" s="173"/>
      <c r="G19" s="243"/>
      <c r="H19" s="244"/>
    </row>
    <row r="20" spans="1:8" ht="15.75" x14ac:dyDescent="0.25">
      <c r="A20" s="19" t="s">
        <v>48</v>
      </c>
      <c r="B20" s="165">
        <f>DATE(23,7,1)</f>
        <v>8583</v>
      </c>
      <c r="C20" s="226">
        <v>0</v>
      </c>
      <c r="D20" s="226">
        <v>0</v>
      </c>
      <c r="E20" s="226">
        <v>0</v>
      </c>
      <c r="F20" s="166">
        <v>0</v>
      </c>
      <c r="G20" s="241">
        <v>0</v>
      </c>
      <c r="H20" s="242">
        <v>0</v>
      </c>
    </row>
    <row r="21" spans="1:8" ht="15.75" x14ac:dyDescent="0.25">
      <c r="A21" s="19"/>
      <c r="B21" s="165">
        <f>DATE(23,8,1)</f>
        <v>8614</v>
      </c>
      <c r="C21" s="226">
        <v>0</v>
      </c>
      <c r="D21" s="226">
        <v>0</v>
      </c>
      <c r="E21" s="226">
        <v>0</v>
      </c>
      <c r="F21" s="166">
        <v>0</v>
      </c>
      <c r="G21" s="241">
        <v>0</v>
      </c>
      <c r="H21" s="242">
        <v>0</v>
      </c>
    </row>
    <row r="22" spans="1:8" ht="15.75" x14ac:dyDescent="0.25">
      <c r="A22" s="19"/>
      <c r="B22" s="165">
        <f>DATE(23,9,1)</f>
        <v>8645</v>
      </c>
      <c r="C22" s="226">
        <v>0</v>
      </c>
      <c r="D22" s="226">
        <v>0</v>
      </c>
      <c r="E22" s="226">
        <v>0</v>
      </c>
      <c r="F22" s="166">
        <v>0</v>
      </c>
      <c r="G22" s="241">
        <v>0</v>
      </c>
      <c r="H22" s="242">
        <v>0</v>
      </c>
    </row>
    <row r="23" spans="1:8" ht="15.75" x14ac:dyDescent="0.25">
      <c r="A23" s="19"/>
      <c r="B23" s="165">
        <f>DATE(23,10,1)</f>
        <v>8675</v>
      </c>
      <c r="C23" s="226">
        <v>0</v>
      </c>
      <c r="D23" s="226">
        <v>0</v>
      </c>
      <c r="E23" s="226">
        <v>0</v>
      </c>
      <c r="F23" s="166">
        <v>0</v>
      </c>
      <c r="G23" s="241">
        <v>0</v>
      </c>
      <c r="H23" s="242">
        <v>0</v>
      </c>
    </row>
    <row r="24" spans="1:8" ht="15.75" x14ac:dyDescent="0.25">
      <c r="A24" s="19"/>
      <c r="B24" s="165">
        <f>DATE(23,11,1)</f>
        <v>8706</v>
      </c>
      <c r="C24" s="226">
        <v>0</v>
      </c>
      <c r="D24" s="226">
        <v>0</v>
      </c>
      <c r="E24" s="226">
        <v>0</v>
      </c>
      <c r="F24" s="166">
        <v>0</v>
      </c>
      <c r="G24" s="241">
        <v>0</v>
      </c>
      <c r="H24" s="242">
        <v>0</v>
      </c>
    </row>
    <row r="25" spans="1:8" ht="15.75" x14ac:dyDescent="0.25">
      <c r="A25" s="19"/>
      <c r="B25" s="165">
        <f>DATE(23,12,1)</f>
        <v>8736</v>
      </c>
      <c r="C25" s="226">
        <v>0</v>
      </c>
      <c r="D25" s="226">
        <v>0</v>
      </c>
      <c r="E25" s="226">
        <v>0</v>
      </c>
      <c r="F25" s="166">
        <v>0</v>
      </c>
      <c r="G25" s="241">
        <v>0</v>
      </c>
      <c r="H25" s="242">
        <v>0</v>
      </c>
    </row>
    <row r="26" spans="1:8" ht="15.75" x14ac:dyDescent="0.25">
      <c r="A26" s="19"/>
      <c r="B26" s="165">
        <f>DATE(24,1,1)</f>
        <v>8767</v>
      </c>
      <c r="C26" s="226">
        <v>0</v>
      </c>
      <c r="D26" s="226">
        <v>0</v>
      </c>
      <c r="E26" s="226">
        <v>0</v>
      </c>
      <c r="F26" s="166">
        <v>0</v>
      </c>
      <c r="G26" s="241">
        <v>0</v>
      </c>
      <c r="H26" s="242">
        <v>0</v>
      </c>
    </row>
    <row r="27" spans="1:8" ht="15.75" thickBot="1" x14ac:dyDescent="0.25">
      <c r="A27" s="167"/>
      <c r="B27" s="165"/>
      <c r="C27" s="226"/>
      <c r="D27" s="226"/>
      <c r="E27" s="226"/>
      <c r="F27" s="166"/>
      <c r="G27" s="241"/>
      <c r="H27" s="242"/>
    </row>
    <row r="28" spans="1:8" ht="17.25" thickTop="1" thickBot="1" x14ac:dyDescent="0.3">
      <c r="A28" s="169" t="s">
        <v>14</v>
      </c>
      <c r="B28" s="155"/>
      <c r="C28" s="223">
        <f>SUM(C20:C27)</f>
        <v>0</v>
      </c>
      <c r="D28" s="223">
        <f>SUM(D20:D27)</f>
        <v>0</v>
      </c>
      <c r="E28" s="223">
        <f>SUM(E20:E27)</f>
        <v>0</v>
      </c>
      <c r="F28" s="170">
        <v>0</v>
      </c>
      <c r="G28" s="236">
        <v>0</v>
      </c>
      <c r="H28" s="237">
        <v>0</v>
      </c>
    </row>
    <row r="29" spans="1:8" ht="15.75" thickTop="1" x14ac:dyDescent="0.2">
      <c r="A29" s="171"/>
      <c r="B29" s="172"/>
      <c r="C29" s="227"/>
      <c r="D29" s="227"/>
      <c r="E29" s="227"/>
      <c r="F29" s="173"/>
      <c r="G29" s="243"/>
      <c r="H29" s="244"/>
    </row>
    <row r="30" spans="1:8" ht="15.75" x14ac:dyDescent="0.25">
      <c r="A30" s="19" t="s">
        <v>62</v>
      </c>
      <c r="B30" s="165">
        <f>DATE(23,7,1)</f>
        <v>8583</v>
      </c>
      <c r="C30" s="226">
        <v>0</v>
      </c>
      <c r="D30" s="226">
        <v>0</v>
      </c>
      <c r="E30" s="226">
        <v>0</v>
      </c>
      <c r="F30" s="166">
        <v>0</v>
      </c>
      <c r="G30" s="241">
        <v>0</v>
      </c>
      <c r="H30" s="242">
        <v>0</v>
      </c>
    </row>
    <row r="31" spans="1:8" ht="15.75" x14ac:dyDescent="0.25">
      <c r="A31" s="19"/>
      <c r="B31" s="165">
        <f>DATE(23,8,1)</f>
        <v>8614</v>
      </c>
      <c r="C31" s="226">
        <v>0</v>
      </c>
      <c r="D31" s="226">
        <v>0</v>
      </c>
      <c r="E31" s="226">
        <v>0</v>
      </c>
      <c r="F31" s="166">
        <v>0</v>
      </c>
      <c r="G31" s="241">
        <v>0</v>
      </c>
      <c r="H31" s="242">
        <v>0</v>
      </c>
    </row>
    <row r="32" spans="1:8" ht="15.75" x14ac:dyDescent="0.25">
      <c r="A32" s="19"/>
      <c r="B32" s="165">
        <f>DATE(23,9,1)</f>
        <v>8645</v>
      </c>
      <c r="C32" s="226">
        <v>0</v>
      </c>
      <c r="D32" s="226">
        <v>0</v>
      </c>
      <c r="E32" s="226">
        <v>0</v>
      </c>
      <c r="F32" s="166">
        <v>0</v>
      </c>
      <c r="G32" s="241">
        <v>0</v>
      </c>
      <c r="H32" s="242">
        <v>0</v>
      </c>
    </row>
    <row r="33" spans="1:8" ht="15.75" x14ac:dyDescent="0.25">
      <c r="A33" s="19"/>
      <c r="B33" s="165">
        <f>DATE(23,10,1)</f>
        <v>8675</v>
      </c>
      <c r="C33" s="226">
        <v>0</v>
      </c>
      <c r="D33" s="226">
        <v>0</v>
      </c>
      <c r="E33" s="226">
        <v>0</v>
      </c>
      <c r="F33" s="166">
        <v>0</v>
      </c>
      <c r="G33" s="241">
        <v>0</v>
      </c>
      <c r="H33" s="242">
        <v>0</v>
      </c>
    </row>
    <row r="34" spans="1:8" ht="15.75" x14ac:dyDescent="0.25">
      <c r="A34" s="19"/>
      <c r="B34" s="165">
        <f>DATE(23,11,1)</f>
        <v>8706</v>
      </c>
      <c r="C34" s="226">
        <v>0</v>
      </c>
      <c r="D34" s="226">
        <v>0</v>
      </c>
      <c r="E34" s="226">
        <v>0</v>
      </c>
      <c r="F34" s="166">
        <v>0</v>
      </c>
      <c r="G34" s="241">
        <v>0</v>
      </c>
      <c r="H34" s="242">
        <v>0</v>
      </c>
    </row>
    <row r="35" spans="1:8" ht="15.75" x14ac:dyDescent="0.25">
      <c r="A35" s="19"/>
      <c r="B35" s="165">
        <f>DATE(23,12,1)</f>
        <v>8736</v>
      </c>
      <c r="C35" s="226">
        <v>0</v>
      </c>
      <c r="D35" s="226">
        <v>0</v>
      </c>
      <c r="E35" s="226">
        <v>0</v>
      </c>
      <c r="F35" s="166">
        <v>0</v>
      </c>
      <c r="G35" s="241">
        <v>0</v>
      </c>
      <c r="H35" s="242">
        <v>0</v>
      </c>
    </row>
    <row r="36" spans="1:8" ht="15.75" x14ac:dyDescent="0.25">
      <c r="A36" s="19"/>
      <c r="B36" s="165">
        <f>DATE(24,1,1)</f>
        <v>8767</v>
      </c>
      <c r="C36" s="226">
        <v>0</v>
      </c>
      <c r="D36" s="226">
        <v>0</v>
      </c>
      <c r="E36" s="226">
        <v>0</v>
      </c>
      <c r="F36" s="166">
        <v>0</v>
      </c>
      <c r="G36" s="241">
        <v>0</v>
      </c>
      <c r="H36" s="242">
        <v>0</v>
      </c>
    </row>
    <row r="37" spans="1:8" ht="15.75" thickBot="1" x14ac:dyDescent="0.25">
      <c r="A37" s="167"/>
      <c r="B37" s="165"/>
      <c r="C37" s="226"/>
      <c r="D37" s="226"/>
      <c r="E37" s="226"/>
      <c r="F37" s="166"/>
      <c r="G37" s="241"/>
      <c r="H37" s="242"/>
    </row>
    <row r="38" spans="1:8" ht="17.25" thickTop="1" thickBot="1" x14ac:dyDescent="0.3">
      <c r="A38" s="174" t="s">
        <v>14</v>
      </c>
      <c r="B38" s="175"/>
      <c r="C38" s="228">
        <f>SUM(C30:C37)</f>
        <v>0</v>
      </c>
      <c r="D38" s="228">
        <f>SUM(D30:D37)</f>
        <v>0</v>
      </c>
      <c r="E38" s="228">
        <f>SUM(E30:E37)</f>
        <v>0</v>
      </c>
      <c r="F38" s="176">
        <v>0</v>
      </c>
      <c r="G38" s="245">
        <v>0</v>
      </c>
      <c r="H38" s="246">
        <v>0</v>
      </c>
    </row>
    <row r="39" spans="1:8" ht="15.75" thickTop="1" x14ac:dyDescent="0.2">
      <c r="A39" s="167"/>
      <c r="B39" s="168"/>
      <c r="C39" s="226"/>
      <c r="D39" s="226"/>
      <c r="E39" s="226"/>
      <c r="F39" s="166"/>
      <c r="G39" s="241"/>
      <c r="H39" s="242"/>
    </row>
    <row r="40" spans="1:8" ht="15.75" x14ac:dyDescent="0.25">
      <c r="A40" s="177" t="s">
        <v>58</v>
      </c>
      <c r="B40" s="165">
        <f>DATE(23,7,1)</f>
        <v>8583</v>
      </c>
      <c r="C40" s="226">
        <v>0</v>
      </c>
      <c r="D40" s="226">
        <v>0</v>
      </c>
      <c r="E40" s="226">
        <v>133555.04</v>
      </c>
      <c r="F40" s="166">
        <v>-1</v>
      </c>
      <c r="G40" s="241">
        <v>0</v>
      </c>
      <c r="H40" s="289">
        <v>0</v>
      </c>
    </row>
    <row r="41" spans="1:8" ht="15.75" x14ac:dyDescent="0.25">
      <c r="A41" s="177"/>
      <c r="B41" s="165">
        <f>DATE(23,8,1)</f>
        <v>8614</v>
      </c>
      <c r="C41" s="226">
        <v>0</v>
      </c>
      <c r="D41" s="226">
        <v>0</v>
      </c>
      <c r="E41" s="226">
        <v>183477.77</v>
      </c>
      <c r="F41" s="166">
        <v>-1</v>
      </c>
      <c r="G41" s="241">
        <v>0</v>
      </c>
      <c r="H41" s="289">
        <v>0</v>
      </c>
    </row>
    <row r="42" spans="1:8" ht="15.75" x14ac:dyDescent="0.25">
      <c r="A42" s="177"/>
      <c r="B42" s="165">
        <f>DATE(23,9,1)</f>
        <v>8645</v>
      </c>
      <c r="C42" s="226">
        <v>0</v>
      </c>
      <c r="D42" s="226">
        <v>0</v>
      </c>
      <c r="E42" s="226">
        <v>155342.66</v>
      </c>
      <c r="F42" s="166">
        <v>-1</v>
      </c>
      <c r="G42" s="241">
        <v>0</v>
      </c>
      <c r="H42" s="289">
        <v>0</v>
      </c>
    </row>
    <row r="43" spans="1:8" ht="15.75" x14ac:dyDescent="0.25">
      <c r="A43" s="177"/>
      <c r="B43" s="165">
        <f>DATE(23,10,1)</f>
        <v>8675</v>
      </c>
      <c r="C43" s="226">
        <v>0</v>
      </c>
      <c r="D43" s="226">
        <v>0</v>
      </c>
      <c r="E43" s="226">
        <v>95342.11</v>
      </c>
      <c r="F43" s="166">
        <v>-1</v>
      </c>
      <c r="G43" s="241">
        <v>0</v>
      </c>
      <c r="H43" s="289">
        <v>0</v>
      </c>
    </row>
    <row r="44" spans="1:8" ht="15.75" x14ac:dyDescent="0.25">
      <c r="A44" s="177"/>
      <c r="B44" s="165">
        <f>DATE(23,11,1)</f>
        <v>8706</v>
      </c>
      <c r="C44" s="226">
        <v>0</v>
      </c>
      <c r="D44" s="226">
        <v>0</v>
      </c>
      <c r="E44" s="226">
        <v>123201.53</v>
      </c>
      <c r="F44" s="166">
        <v>-1</v>
      </c>
      <c r="G44" s="241">
        <v>0</v>
      </c>
      <c r="H44" s="289">
        <v>0</v>
      </c>
    </row>
    <row r="45" spans="1:8" ht="15.75" x14ac:dyDescent="0.25">
      <c r="A45" s="177"/>
      <c r="B45" s="165">
        <f>DATE(23,12,1)</f>
        <v>8736</v>
      </c>
      <c r="C45" s="226">
        <v>0</v>
      </c>
      <c r="D45" s="226">
        <v>0</v>
      </c>
      <c r="E45" s="226">
        <v>124084.02</v>
      </c>
      <c r="F45" s="166">
        <v>-1</v>
      </c>
      <c r="G45" s="241">
        <v>0</v>
      </c>
      <c r="H45" s="289">
        <v>0</v>
      </c>
    </row>
    <row r="46" spans="1:8" ht="15.75" x14ac:dyDescent="0.25">
      <c r="A46" s="177"/>
      <c r="B46" s="165">
        <f>DATE(24,1,1)</f>
        <v>8767</v>
      </c>
      <c r="C46" s="226">
        <v>0</v>
      </c>
      <c r="D46" s="226">
        <v>0</v>
      </c>
      <c r="E46" s="226">
        <v>43801.09</v>
      </c>
      <c r="F46" s="166">
        <v>-1</v>
      </c>
      <c r="G46" s="241">
        <v>0</v>
      </c>
      <c r="H46" s="289">
        <v>0</v>
      </c>
    </row>
    <row r="47" spans="1:8" ht="15.75" thickBot="1" x14ac:dyDescent="0.25">
      <c r="A47" s="167"/>
      <c r="B47" s="168"/>
      <c r="C47" s="226"/>
      <c r="D47" s="226"/>
      <c r="E47" s="226"/>
      <c r="F47" s="166"/>
      <c r="G47" s="241"/>
      <c r="H47" s="242"/>
    </row>
    <row r="48" spans="1:8" ht="17.25" thickTop="1" thickBot="1" x14ac:dyDescent="0.3">
      <c r="A48" s="174" t="s">
        <v>14</v>
      </c>
      <c r="B48" s="178"/>
      <c r="C48" s="228">
        <f>SUM(C40:C47)</f>
        <v>0</v>
      </c>
      <c r="D48" s="228">
        <f>SUM(D40:D47)</f>
        <v>0</v>
      </c>
      <c r="E48" s="228">
        <f>SUM(E40:E47)</f>
        <v>858804.22</v>
      </c>
      <c r="F48" s="176">
        <f>+(D48-E48)/E48</f>
        <v>-1</v>
      </c>
      <c r="G48" s="245">
        <v>0</v>
      </c>
      <c r="H48" s="246">
        <v>0</v>
      </c>
    </row>
    <row r="49" spans="1:8" ht="15.75" thickTop="1" x14ac:dyDescent="0.2">
      <c r="A49" s="167"/>
      <c r="B49" s="168"/>
      <c r="C49" s="226"/>
      <c r="D49" s="226"/>
      <c r="E49" s="226"/>
      <c r="F49" s="166"/>
      <c r="G49" s="241"/>
      <c r="H49" s="242"/>
    </row>
    <row r="50" spans="1:8" ht="15.75" x14ac:dyDescent="0.25">
      <c r="A50" s="164" t="s">
        <v>60</v>
      </c>
      <c r="B50" s="165">
        <f>DATE(23,7,1)</f>
        <v>8583</v>
      </c>
      <c r="C50" s="226">
        <v>0</v>
      </c>
      <c r="D50" s="226">
        <v>0</v>
      </c>
      <c r="E50" s="226">
        <v>0</v>
      </c>
      <c r="F50" s="166">
        <v>0</v>
      </c>
      <c r="G50" s="241">
        <v>0</v>
      </c>
      <c r="H50" s="242">
        <v>0</v>
      </c>
    </row>
    <row r="51" spans="1:8" ht="15.75" x14ac:dyDescent="0.25">
      <c r="A51" s="164"/>
      <c r="B51" s="165">
        <f>DATE(23,8,1)</f>
        <v>8614</v>
      </c>
      <c r="C51" s="226">
        <v>0</v>
      </c>
      <c r="D51" s="226">
        <v>0</v>
      </c>
      <c r="E51" s="226">
        <v>0</v>
      </c>
      <c r="F51" s="166">
        <v>0</v>
      </c>
      <c r="G51" s="241">
        <v>0</v>
      </c>
      <c r="H51" s="242">
        <v>0</v>
      </c>
    </row>
    <row r="52" spans="1:8" ht="15.75" x14ac:dyDescent="0.25">
      <c r="A52" s="164"/>
      <c r="B52" s="165">
        <f>DATE(23,9,1)</f>
        <v>8645</v>
      </c>
      <c r="C52" s="226">
        <v>0</v>
      </c>
      <c r="D52" s="226">
        <v>0</v>
      </c>
      <c r="E52" s="226">
        <v>0</v>
      </c>
      <c r="F52" s="166">
        <v>0</v>
      </c>
      <c r="G52" s="241">
        <v>0</v>
      </c>
      <c r="H52" s="242">
        <v>0</v>
      </c>
    </row>
    <row r="53" spans="1:8" ht="15.75" x14ac:dyDescent="0.25">
      <c r="A53" s="164"/>
      <c r="B53" s="165">
        <f>DATE(23,10,1)</f>
        <v>8675</v>
      </c>
      <c r="C53" s="226">
        <v>0</v>
      </c>
      <c r="D53" s="226">
        <v>0</v>
      </c>
      <c r="E53" s="226">
        <v>0</v>
      </c>
      <c r="F53" s="166">
        <v>0</v>
      </c>
      <c r="G53" s="241">
        <v>0</v>
      </c>
      <c r="H53" s="242">
        <v>0</v>
      </c>
    </row>
    <row r="54" spans="1:8" ht="15.75" x14ac:dyDescent="0.25">
      <c r="A54" s="164"/>
      <c r="B54" s="165">
        <f>DATE(23,11,1)</f>
        <v>8706</v>
      </c>
      <c r="C54" s="226">
        <v>0</v>
      </c>
      <c r="D54" s="226">
        <v>0</v>
      </c>
      <c r="E54" s="226">
        <v>0</v>
      </c>
      <c r="F54" s="166">
        <v>0</v>
      </c>
      <c r="G54" s="241">
        <v>0</v>
      </c>
      <c r="H54" s="242">
        <v>0</v>
      </c>
    </row>
    <row r="55" spans="1:8" ht="15.75" x14ac:dyDescent="0.25">
      <c r="A55" s="164"/>
      <c r="B55" s="165">
        <f>DATE(23,12,1)</f>
        <v>8736</v>
      </c>
      <c r="C55" s="226">
        <v>0</v>
      </c>
      <c r="D55" s="226">
        <v>0</v>
      </c>
      <c r="E55" s="226">
        <v>0</v>
      </c>
      <c r="F55" s="166">
        <v>0</v>
      </c>
      <c r="G55" s="241">
        <v>0</v>
      </c>
      <c r="H55" s="242">
        <v>0</v>
      </c>
    </row>
    <row r="56" spans="1:8" ht="15.75" x14ac:dyDescent="0.25">
      <c r="A56" s="164"/>
      <c r="B56" s="165">
        <f>DATE(24,1,1)</f>
        <v>8767</v>
      </c>
      <c r="C56" s="226">
        <v>0</v>
      </c>
      <c r="D56" s="226">
        <v>0</v>
      </c>
      <c r="E56" s="226">
        <v>0</v>
      </c>
      <c r="F56" s="166">
        <v>0</v>
      </c>
      <c r="G56" s="241">
        <v>0</v>
      </c>
      <c r="H56" s="242">
        <v>0</v>
      </c>
    </row>
    <row r="57" spans="1:8" ht="15.75" thickBot="1" x14ac:dyDescent="0.25">
      <c r="A57" s="167"/>
      <c r="B57" s="165"/>
      <c r="C57" s="226"/>
      <c r="D57" s="226"/>
      <c r="E57" s="226"/>
      <c r="F57" s="166"/>
      <c r="G57" s="241"/>
      <c r="H57" s="242"/>
    </row>
    <row r="58" spans="1:8" ht="17.25" thickTop="1" thickBot="1" x14ac:dyDescent="0.3">
      <c r="A58" s="174" t="s">
        <v>14</v>
      </c>
      <c r="B58" s="175"/>
      <c r="C58" s="228">
        <f>SUM(C50:C57)</f>
        <v>0</v>
      </c>
      <c r="D58" s="230">
        <f>SUM(D50:D57)</f>
        <v>0</v>
      </c>
      <c r="E58" s="271">
        <f>SUM(E50:E57)</f>
        <v>0</v>
      </c>
      <c r="F58" s="176">
        <v>0</v>
      </c>
      <c r="G58" s="245">
        <v>0</v>
      </c>
      <c r="H58" s="246">
        <v>0</v>
      </c>
    </row>
    <row r="59" spans="1:8" ht="15.75" thickTop="1" x14ac:dyDescent="0.2">
      <c r="A59" s="167"/>
      <c r="B59" s="168"/>
      <c r="C59" s="226"/>
      <c r="D59" s="226"/>
      <c r="E59" s="226"/>
      <c r="F59" s="166"/>
      <c r="G59" s="241"/>
      <c r="H59" s="242"/>
    </row>
    <row r="60" spans="1:8" ht="15.75" x14ac:dyDescent="0.25">
      <c r="A60" s="164" t="s">
        <v>64</v>
      </c>
      <c r="B60" s="165">
        <f>DATE(23,7,1)</f>
        <v>8583</v>
      </c>
      <c r="C60" s="226">
        <v>0</v>
      </c>
      <c r="D60" s="226">
        <v>0</v>
      </c>
      <c r="E60" s="226">
        <v>0</v>
      </c>
      <c r="F60" s="166">
        <v>0</v>
      </c>
      <c r="G60" s="241">
        <v>0</v>
      </c>
      <c r="H60" s="242">
        <v>0</v>
      </c>
    </row>
    <row r="61" spans="1:8" ht="15.75" x14ac:dyDescent="0.25">
      <c r="A61" s="164"/>
      <c r="B61" s="165">
        <f>DATE(23,8,1)</f>
        <v>8614</v>
      </c>
      <c r="C61" s="226">
        <v>0</v>
      </c>
      <c r="D61" s="226">
        <v>0</v>
      </c>
      <c r="E61" s="226">
        <v>0</v>
      </c>
      <c r="F61" s="166">
        <v>0</v>
      </c>
      <c r="G61" s="241">
        <v>0</v>
      </c>
      <c r="H61" s="242">
        <v>0</v>
      </c>
    </row>
    <row r="62" spans="1:8" ht="15.75" x14ac:dyDescent="0.25">
      <c r="A62" s="164"/>
      <c r="B62" s="165">
        <f>DATE(23,9,1)</f>
        <v>8645</v>
      </c>
      <c r="C62" s="226">
        <v>0</v>
      </c>
      <c r="D62" s="226">
        <v>0</v>
      </c>
      <c r="E62" s="226">
        <v>0</v>
      </c>
      <c r="F62" s="166">
        <v>0</v>
      </c>
      <c r="G62" s="241">
        <v>0</v>
      </c>
      <c r="H62" s="242">
        <v>0</v>
      </c>
    </row>
    <row r="63" spans="1:8" ht="15.75" x14ac:dyDescent="0.25">
      <c r="A63" s="164"/>
      <c r="B63" s="165">
        <f>DATE(23,10,1)</f>
        <v>8675</v>
      </c>
      <c r="C63" s="226">
        <v>0</v>
      </c>
      <c r="D63" s="226">
        <v>0</v>
      </c>
      <c r="E63" s="226">
        <v>0</v>
      </c>
      <c r="F63" s="166">
        <v>0</v>
      </c>
      <c r="G63" s="241">
        <v>0</v>
      </c>
      <c r="H63" s="242">
        <v>0</v>
      </c>
    </row>
    <row r="64" spans="1:8" ht="15.75" x14ac:dyDescent="0.25">
      <c r="A64" s="164"/>
      <c r="B64" s="165">
        <f>DATE(23,11,1)</f>
        <v>8706</v>
      </c>
      <c r="C64" s="226">
        <v>0</v>
      </c>
      <c r="D64" s="226">
        <v>0</v>
      </c>
      <c r="E64" s="226">
        <v>0</v>
      </c>
      <c r="F64" s="166">
        <v>0</v>
      </c>
      <c r="G64" s="241">
        <v>0</v>
      </c>
      <c r="H64" s="242">
        <v>0</v>
      </c>
    </row>
    <row r="65" spans="1:8" ht="15.75" x14ac:dyDescent="0.25">
      <c r="A65" s="164"/>
      <c r="B65" s="165">
        <f>DATE(23,12,1)</f>
        <v>8736</v>
      </c>
      <c r="C65" s="226">
        <v>0</v>
      </c>
      <c r="D65" s="226">
        <v>0</v>
      </c>
      <c r="E65" s="226">
        <v>0</v>
      </c>
      <c r="F65" s="166">
        <v>0</v>
      </c>
      <c r="G65" s="241">
        <v>0</v>
      </c>
      <c r="H65" s="242">
        <v>0</v>
      </c>
    </row>
    <row r="66" spans="1:8" ht="15.75" x14ac:dyDescent="0.25">
      <c r="A66" s="164"/>
      <c r="B66" s="165">
        <f>DATE(24,1,1)</f>
        <v>8767</v>
      </c>
      <c r="C66" s="226">
        <v>0</v>
      </c>
      <c r="D66" s="226">
        <v>0</v>
      </c>
      <c r="E66" s="226">
        <v>0</v>
      </c>
      <c r="F66" s="166">
        <v>0</v>
      </c>
      <c r="G66" s="241">
        <v>0</v>
      </c>
      <c r="H66" s="242">
        <v>0</v>
      </c>
    </row>
    <row r="67" spans="1:8" ht="15.75" thickBot="1" x14ac:dyDescent="0.25">
      <c r="A67" s="167"/>
      <c r="B67" s="165"/>
      <c r="C67" s="226"/>
      <c r="D67" s="226"/>
      <c r="E67" s="226"/>
      <c r="F67" s="166"/>
      <c r="G67" s="241"/>
      <c r="H67" s="242"/>
    </row>
    <row r="68" spans="1:8" ht="17.25" thickTop="1" thickBot="1" x14ac:dyDescent="0.3">
      <c r="A68" s="174" t="s">
        <v>14</v>
      </c>
      <c r="B68" s="175"/>
      <c r="C68" s="228">
        <f>SUM(C60:C67)</f>
        <v>0</v>
      </c>
      <c r="D68" s="230">
        <f>SUM(D60:D67)</f>
        <v>0</v>
      </c>
      <c r="E68" s="271">
        <f>SUM(E60:E67)</f>
        <v>0</v>
      </c>
      <c r="F68" s="176">
        <v>0</v>
      </c>
      <c r="G68" s="245">
        <v>0</v>
      </c>
      <c r="H68" s="246">
        <v>0</v>
      </c>
    </row>
    <row r="69" spans="1:8" ht="15.75" thickTop="1" x14ac:dyDescent="0.2">
      <c r="A69" s="167"/>
      <c r="B69" s="168"/>
      <c r="C69" s="226"/>
      <c r="D69" s="226"/>
      <c r="E69" s="226"/>
      <c r="F69" s="166"/>
      <c r="G69" s="241"/>
      <c r="H69" s="242"/>
    </row>
    <row r="70" spans="1:8" ht="15.75" x14ac:dyDescent="0.25">
      <c r="A70" s="164" t="s">
        <v>67</v>
      </c>
      <c r="B70" s="165">
        <f>DATE(23,7,1)</f>
        <v>8583</v>
      </c>
      <c r="C70" s="226">
        <v>0</v>
      </c>
      <c r="D70" s="226">
        <v>0</v>
      </c>
      <c r="E70" s="226">
        <v>0</v>
      </c>
      <c r="F70" s="166">
        <v>0</v>
      </c>
      <c r="G70" s="241">
        <v>0</v>
      </c>
      <c r="H70" s="242">
        <v>0</v>
      </c>
    </row>
    <row r="71" spans="1:8" ht="15.75" x14ac:dyDescent="0.25">
      <c r="A71" s="164"/>
      <c r="B71" s="165">
        <f>DATE(23,8,1)</f>
        <v>8614</v>
      </c>
      <c r="C71" s="226">
        <v>0</v>
      </c>
      <c r="D71" s="226">
        <v>0</v>
      </c>
      <c r="E71" s="226">
        <v>0</v>
      </c>
      <c r="F71" s="166">
        <v>0</v>
      </c>
      <c r="G71" s="241">
        <v>0</v>
      </c>
      <c r="H71" s="242">
        <v>0</v>
      </c>
    </row>
    <row r="72" spans="1:8" ht="15.75" x14ac:dyDescent="0.25">
      <c r="A72" s="164"/>
      <c r="B72" s="165">
        <f>DATE(23,9,1)</f>
        <v>8645</v>
      </c>
      <c r="C72" s="226">
        <v>0</v>
      </c>
      <c r="D72" s="226">
        <v>0</v>
      </c>
      <c r="E72" s="226">
        <v>0</v>
      </c>
      <c r="F72" s="166">
        <v>0</v>
      </c>
      <c r="G72" s="241">
        <v>0</v>
      </c>
      <c r="H72" s="242">
        <v>0</v>
      </c>
    </row>
    <row r="73" spans="1:8" ht="15.75" x14ac:dyDescent="0.25">
      <c r="A73" s="164"/>
      <c r="B73" s="165">
        <f>DATE(23,10,1)</f>
        <v>8675</v>
      </c>
      <c r="C73" s="226">
        <v>0</v>
      </c>
      <c r="D73" s="226">
        <v>0</v>
      </c>
      <c r="E73" s="226">
        <v>0</v>
      </c>
      <c r="F73" s="166">
        <v>0</v>
      </c>
      <c r="G73" s="241">
        <v>0</v>
      </c>
      <c r="H73" s="242">
        <v>0</v>
      </c>
    </row>
    <row r="74" spans="1:8" ht="15.75" x14ac:dyDescent="0.25">
      <c r="A74" s="164"/>
      <c r="B74" s="165">
        <f>DATE(23,11,1)</f>
        <v>8706</v>
      </c>
      <c r="C74" s="226">
        <v>0</v>
      </c>
      <c r="D74" s="226">
        <v>0</v>
      </c>
      <c r="E74" s="226">
        <v>0</v>
      </c>
      <c r="F74" s="166">
        <v>0</v>
      </c>
      <c r="G74" s="241">
        <v>0</v>
      </c>
      <c r="H74" s="242">
        <v>0</v>
      </c>
    </row>
    <row r="75" spans="1:8" ht="15.75" x14ac:dyDescent="0.25">
      <c r="A75" s="164"/>
      <c r="B75" s="165">
        <f>DATE(23,12,1)</f>
        <v>8736</v>
      </c>
      <c r="C75" s="226">
        <v>0</v>
      </c>
      <c r="D75" s="226">
        <v>0</v>
      </c>
      <c r="E75" s="226">
        <v>0</v>
      </c>
      <c r="F75" s="166">
        <v>0</v>
      </c>
      <c r="G75" s="241">
        <v>0</v>
      </c>
      <c r="H75" s="242">
        <v>0</v>
      </c>
    </row>
    <row r="76" spans="1:8" ht="15.75" x14ac:dyDescent="0.25">
      <c r="A76" s="164"/>
      <c r="B76" s="165">
        <f>DATE(24,1,1)</f>
        <v>8767</v>
      </c>
      <c r="C76" s="226">
        <v>0</v>
      </c>
      <c r="D76" s="226">
        <v>0</v>
      </c>
      <c r="E76" s="226">
        <v>0</v>
      </c>
      <c r="F76" s="166">
        <v>0</v>
      </c>
      <c r="G76" s="241">
        <v>0</v>
      </c>
      <c r="H76" s="242">
        <v>0</v>
      </c>
    </row>
    <row r="77" spans="1:8" ht="15.75" thickBot="1" x14ac:dyDescent="0.25">
      <c r="A77" s="167"/>
      <c r="B77" s="165"/>
      <c r="C77" s="226"/>
      <c r="D77" s="226"/>
      <c r="E77" s="226"/>
      <c r="F77" s="166"/>
      <c r="G77" s="241"/>
      <c r="H77" s="242"/>
    </row>
    <row r="78" spans="1:8" ht="17.25" thickTop="1" thickBot="1" x14ac:dyDescent="0.3">
      <c r="A78" s="174" t="s">
        <v>14</v>
      </c>
      <c r="B78" s="175"/>
      <c r="C78" s="228">
        <f>SUM(C70:C77)</f>
        <v>0</v>
      </c>
      <c r="D78" s="230">
        <f>SUM(D70:D77)</f>
        <v>0</v>
      </c>
      <c r="E78" s="271">
        <f>SUM(E70:E77)</f>
        <v>0</v>
      </c>
      <c r="F78" s="176">
        <v>0</v>
      </c>
      <c r="G78" s="245">
        <v>0</v>
      </c>
      <c r="H78" s="246">
        <v>0</v>
      </c>
    </row>
    <row r="79" spans="1:8" ht="15.75" thickTop="1" x14ac:dyDescent="0.2">
      <c r="A79" s="167"/>
      <c r="B79" s="168"/>
      <c r="C79" s="226"/>
      <c r="D79" s="226"/>
      <c r="E79" s="226"/>
      <c r="F79" s="166"/>
      <c r="G79" s="241"/>
      <c r="H79" s="242"/>
    </row>
    <row r="80" spans="1:8" ht="15.75" x14ac:dyDescent="0.25">
      <c r="A80" s="164" t="s">
        <v>69</v>
      </c>
      <c r="B80" s="165">
        <f>DATE(23,7,1)</f>
        <v>8583</v>
      </c>
      <c r="C80" s="226">
        <v>0</v>
      </c>
      <c r="D80" s="226">
        <v>0</v>
      </c>
      <c r="E80" s="226">
        <v>0</v>
      </c>
      <c r="F80" s="166">
        <v>0</v>
      </c>
      <c r="G80" s="241">
        <v>0</v>
      </c>
      <c r="H80" s="242">
        <v>0</v>
      </c>
    </row>
    <row r="81" spans="1:8" ht="15.75" x14ac:dyDescent="0.25">
      <c r="A81" s="164"/>
      <c r="B81" s="165">
        <f>DATE(23,8,1)</f>
        <v>8614</v>
      </c>
      <c r="C81" s="226">
        <v>0</v>
      </c>
      <c r="D81" s="226">
        <v>0</v>
      </c>
      <c r="E81" s="226">
        <v>0</v>
      </c>
      <c r="F81" s="166">
        <v>0</v>
      </c>
      <c r="G81" s="241">
        <v>0</v>
      </c>
      <c r="H81" s="242">
        <v>0</v>
      </c>
    </row>
    <row r="82" spans="1:8" ht="15.75" x14ac:dyDescent="0.25">
      <c r="A82" s="164"/>
      <c r="B82" s="165">
        <f>DATE(23,9,1)</f>
        <v>8645</v>
      </c>
      <c r="C82" s="226">
        <v>0</v>
      </c>
      <c r="D82" s="226">
        <v>0</v>
      </c>
      <c r="E82" s="226">
        <v>0</v>
      </c>
      <c r="F82" s="166">
        <v>0</v>
      </c>
      <c r="G82" s="241">
        <v>0</v>
      </c>
      <c r="H82" s="242">
        <v>0</v>
      </c>
    </row>
    <row r="83" spans="1:8" ht="15.75" x14ac:dyDescent="0.25">
      <c r="A83" s="164"/>
      <c r="B83" s="165">
        <f>DATE(23,10,1)</f>
        <v>8675</v>
      </c>
      <c r="C83" s="226">
        <v>0</v>
      </c>
      <c r="D83" s="226">
        <v>0</v>
      </c>
      <c r="E83" s="226">
        <v>0</v>
      </c>
      <c r="F83" s="166">
        <v>0</v>
      </c>
      <c r="G83" s="241">
        <v>0</v>
      </c>
      <c r="H83" s="242">
        <v>0</v>
      </c>
    </row>
    <row r="84" spans="1:8" ht="15.75" x14ac:dyDescent="0.25">
      <c r="A84" s="164"/>
      <c r="B84" s="165">
        <f>DATE(23,11,1)</f>
        <v>8706</v>
      </c>
      <c r="C84" s="226">
        <v>0</v>
      </c>
      <c r="D84" s="226">
        <v>0</v>
      </c>
      <c r="E84" s="226">
        <v>0</v>
      </c>
      <c r="F84" s="166">
        <v>0</v>
      </c>
      <c r="G84" s="241">
        <v>0</v>
      </c>
      <c r="H84" s="242">
        <v>0</v>
      </c>
    </row>
    <row r="85" spans="1:8" ht="15.75" x14ac:dyDescent="0.25">
      <c r="A85" s="164"/>
      <c r="B85" s="165">
        <f>DATE(23,12,1)</f>
        <v>8736</v>
      </c>
      <c r="C85" s="226">
        <v>0</v>
      </c>
      <c r="D85" s="226">
        <v>0</v>
      </c>
      <c r="E85" s="226">
        <v>0</v>
      </c>
      <c r="F85" s="166">
        <v>0</v>
      </c>
      <c r="G85" s="241">
        <v>0</v>
      </c>
      <c r="H85" s="242">
        <v>0</v>
      </c>
    </row>
    <row r="86" spans="1:8" ht="15.75" x14ac:dyDescent="0.25">
      <c r="A86" s="164"/>
      <c r="B86" s="165">
        <f>DATE(24,1,1)</f>
        <v>8767</v>
      </c>
      <c r="C86" s="226">
        <v>0</v>
      </c>
      <c r="D86" s="226">
        <v>0</v>
      </c>
      <c r="E86" s="226">
        <v>0</v>
      </c>
      <c r="F86" s="166">
        <v>0</v>
      </c>
      <c r="G86" s="241">
        <v>0</v>
      </c>
      <c r="H86" s="242">
        <v>0</v>
      </c>
    </row>
    <row r="87" spans="1:8" ht="15.75" thickBot="1" x14ac:dyDescent="0.25">
      <c r="A87" s="167"/>
      <c r="B87" s="165"/>
      <c r="C87" s="226"/>
      <c r="D87" s="226"/>
      <c r="E87" s="226"/>
      <c r="F87" s="166"/>
      <c r="G87" s="241"/>
      <c r="H87" s="242"/>
    </row>
    <row r="88" spans="1:8" ht="17.25" thickTop="1" thickBot="1" x14ac:dyDescent="0.3">
      <c r="A88" s="174" t="s">
        <v>14</v>
      </c>
      <c r="B88" s="175"/>
      <c r="C88" s="228">
        <f>SUM(C80:C87)</f>
        <v>0</v>
      </c>
      <c r="D88" s="230">
        <f>SUM(D80:D87)</f>
        <v>0</v>
      </c>
      <c r="E88" s="271">
        <f>SUM(E80:E87)</f>
        <v>0</v>
      </c>
      <c r="F88" s="176">
        <v>0</v>
      </c>
      <c r="G88" s="249">
        <v>0</v>
      </c>
      <c r="H88" s="270">
        <v>0</v>
      </c>
    </row>
    <row r="89" spans="1:8" ht="15.75" thickTop="1" x14ac:dyDescent="0.2">
      <c r="A89" s="167"/>
      <c r="B89" s="179"/>
      <c r="C89" s="229"/>
      <c r="D89" s="229"/>
      <c r="E89" s="229"/>
      <c r="F89" s="180"/>
      <c r="G89" s="247"/>
      <c r="H89" s="248"/>
    </row>
    <row r="90" spans="1:8" ht="15.75" x14ac:dyDescent="0.25">
      <c r="A90" s="164" t="s">
        <v>16</v>
      </c>
      <c r="B90" s="165">
        <f>DATE(23,7,1)</f>
        <v>8583</v>
      </c>
      <c r="C90" s="226">
        <v>0</v>
      </c>
      <c r="D90" s="226">
        <v>0</v>
      </c>
      <c r="E90" s="226">
        <v>0</v>
      </c>
      <c r="F90" s="166">
        <v>0</v>
      </c>
      <c r="G90" s="241">
        <v>0</v>
      </c>
      <c r="H90" s="242">
        <v>0</v>
      </c>
    </row>
    <row r="91" spans="1:8" ht="15.75" x14ac:dyDescent="0.25">
      <c r="A91" s="164"/>
      <c r="B91" s="165">
        <f>DATE(23,8,1)</f>
        <v>8614</v>
      </c>
      <c r="C91" s="226">
        <v>0</v>
      </c>
      <c r="D91" s="226">
        <v>0</v>
      </c>
      <c r="E91" s="226">
        <v>0</v>
      </c>
      <c r="F91" s="166">
        <v>0</v>
      </c>
      <c r="G91" s="241">
        <v>0</v>
      </c>
      <c r="H91" s="242">
        <v>0</v>
      </c>
    </row>
    <row r="92" spans="1:8" ht="15.75" x14ac:dyDescent="0.25">
      <c r="A92" s="164"/>
      <c r="B92" s="165">
        <f>DATE(23,9,1)</f>
        <v>8645</v>
      </c>
      <c r="C92" s="226">
        <v>0</v>
      </c>
      <c r="D92" s="226">
        <v>0</v>
      </c>
      <c r="E92" s="226">
        <v>0</v>
      </c>
      <c r="F92" s="166">
        <v>0</v>
      </c>
      <c r="G92" s="241">
        <v>0</v>
      </c>
      <c r="H92" s="242">
        <v>0</v>
      </c>
    </row>
    <row r="93" spans="1:8" ht="15.75" x14ac:dyDescent="0.25">
      <c r="A93" s="164"/>
      <c r="B93" s="165">
        <f>DATE(23,10,1)</f>
        <v>8675</v>
      </c>
      <c r="C93" s="226">
        <v>0</v>
      </c>
      <c r="D93" s="226">
        <v>0</v>
      </c>
      <c r="E93" s="226">
        <v>0</v>
      </c>
      <c r="F93" s="166">
        <v>0</v>
      </c>
      <c r="G93" s="241">
        <v>0</v>
      </c>
      <c r="H93" s="242">
        <v>0</v>
      </c>
    </row>
    <row r="94" spans="1:8" ht="15.75" x14ac:dyDescent="0.25">
      <c r="A94" s="164"/>
      <c r="B94" s="165">
        <f>DATE(23,11,1)</f>
        <v>8706</v>
      </c>
      <c r="C94" s="226">
        <v>0</v>
      </c>
      <c r="D94" s="226">
        <v>0</v>
      </c>
      <c r="E94" s="226">
        <v>0</v>
      </c>
      <c r="F94" s="166">
        <v>0</v>
      </c>
      <c r="G94" s="241">
        <v>0</v>
      </c>
      <c r="H94" s="242">
        <v>0</v>
      </c>
    </row>
    <row r="95" spans="1:8" ht="15.75" x14ac:dyDescent="0.25">
      <c r="A95" s="164"/>
      <c r="B95" s="165">
        <f>DATE(23,12,1)</f>
        <v>8736</v>
      </c>
      <c r="C95" s="226">
        <v>0</v>
      </c>
      <c r="D95" s="226">
        <v>0</v>
      </c>
      <c r="E95" s="226">
        <v>0</v>
      </c>
      <c r="F95" s="166">
        <v>0</v>
      </c>
      <c r="G95" s="241">
        <v>0</v>
      </c>
      <c r="H95" s="242">
        <v>0</v>
      </c>
    </row>
    <row r="96" spans="1:8" ht="15.75" x14ac:dyDescent="0.25">
      <c r="A96" s="164"/>
      <c r="B96" s="165">
        <f>DATE(24,1,1)</f>
        <v>8767</v>
      </c>
      <c r="C96" s="226">
        <v>0</v>
      </c>
      <c r="D96" s="226">
        <v>0</v>
      </c>
      <c r="E96" s="226">
        <v>0</v>
      </c>
      <c r="F96" s="166">
        <v>0</v>
      </c>
      <c r="G96" s="241">
        <v>0</v>
      </c>
      <c r="H96" s="242">
        <v>0</v>
      </c>
    </row>
    <row r="97" spans="1:8" ht="16.5" thickBot="1" x14ac:dyDescent="0.3">
      <c r="A97" s="164"/>
      <c r="B97" s="165"/>
      <c r="C97" s="226"/>
      <c r="D97" s="226"/>
      <c r="E97" s="226"/>
      <c r="F97" s="166"/>
      <c r="G97" s="241"/>
      <c r="H97" s="242"/>
    </row>
    <row r="98" spans="1:8" ht="17.25" thickTop="1" thickBot="1" x14ac:dyDescent="0.3">
      <c r="A98" s="174" t="s">
        <v>14</v>
      </c>
      <c r="B98" s="181"/>
      <c r="C98" s="228">
        <f>SUM(C90:C97)</f>
        <v>0</v>
      </c>
      <c r="D98" s="228">
        <f>SUM(D90:D97)</f>
        <v>0</v>
      </c>
      <c r="E98" s="228">
        <f>SUM(E90:E97)</f>
        <v>0</v>
      </c>
      <c r="F98" s="176">
        <v>0</v>
      </c>
      <c r="G98" s="245">
        <v>0</v>
      </c>
      <c r="H98" s="246">
        <v>0</v>
      </c>
    </row>
    <row r="99" spans="1:8" ht="15.75" thickTop="1" x14ac:dyDescent="0.2">
      <c r="A99" s="171"/>
      <c r="B99" s="172"/>
      <c r="C99" s="227"/>
      <c r="D99" s="227"/>
      <c r="E99" s="227"/>
      <c r="F99" s="173"/>
      <c r="G99" s="243"/>
      <c r="H99" s="244"/>
    </row>
    <row r="100" spans="1:8" ht="15.75" x14ac:dyDescent="0.25">
      <c r="A100" s="164" t="s">
        <v>53</v>
      </c>
      <c r="B100" s="165">
        <f>DATE(23,7,1)</f>
        <v>8583</v>
      </c>
      <c r="C100" s="226">
        <v>0</v>
      </c>
      <c r="D100" s="226">
        <v>0</v>
      </c>
      <c r="E100" s="226">
        <v>0</v>
      </c>
      <c r="F100" s="166">
        <v>0</v>
      </c>
      <c r="G100" s="241">
        <v>0</v>
      </c>
      <c r="H100" s="242">
        <v>0</v>
      </c>
    </row>
    <row r="101" spans="1:8" ht="15.75" x14ac:dyDescent="0.25">
      <c r="A101" s="164"/>
      <c r="B101" s="165">
        <f>DATE(23,8,1)</f>
        <v>8614</v>
      </c>
      <c r="C101" s="226">
        <v>0</v>
      </c>
      <c r="D101" s="226">
        <v>0</v>
      </c>
      <c r="E101" s="226">
        <v>0</v>
      </c>
      <c r="F101" s="166">
        <v>0</v>
      </c>
      <c r="G101" s="241">
        <v>0</v>
      </c>
      <c r="H101" s="242">
        <v>0</v>
      </c>
    </row>
    <row r="102" spans="1:8" ht="15.75" x14ac:dyDescent="0.25">
      <c r="A102" s="164"/>
      <c r="B102" s="165">
        <f>DATE(23,9,1)</f>
        <v>8645</v>
      </c>
      <c r="C102" s="226">
        <v>0</v>
      </c>
      <c r="D102" s="226">
        <v>0</v>
      </c>
      <c r="E102" s="226">
        <v>0</v>
      </c>
      <c r="F102" s="166">
        <v>0</v>
      </c>
      <c r="G102" s="241">
        <v>0</v>
      </c>
      <c r="H102" s="242">
        <v>0</v>
      </c>
    </row>
    <row r="103" spans="1:8" ht="15.75" x14ac:dyDescent="0.25">
      <c r="A103" s="164"/>
      <c r="B103" s="165">
        <f>DATE(23,10,1)</f>
        <v>8675</v>
      </c>
      <c r="C103" s="226">
        <v>0</v>
      </c>
      <c r="D103" s="226">
        <v>0</v>
      </c>
      <c r="E103" s="226">
        <v>0</v>
      </c>
      <c r="F103" s="166">
        <v>0</v>
      </c>
      <c r="G103" s="241">
        <v>0</v>
      </c>
      <c r="H103" s="242">
        <v>0</v>
      </c>
    </row>
    <row r="104" spans="1:8" ht="15.75" x14ac:dyDescent="0.25">
      <c r="A104" s="164"/>
      <c r="B104" s="165">
        <f>DATE(23,11,1)</f>
        <v>8706</v>
      </c>
      <c r="C104" s="226">
        <v>0</v>
      </c>
      <c r="D104" s="226">
        <v>0</v>
      </c>
      <c r="E104" s="226">
        <v>0</v>
      </c>
      <c r="F104" s="166">
        <v>0</v>
      </c>
      <c r="G104" s="241">
        <v>0</v>
      </c>
      <c r="H104" s="242">
        <v>0</v>
      </c>
    </row>
    <row r="105" spans="1:8" ht="15.75" x14ac:dyDescent="0.25">
      <c r="A105" s="164"/>
      <c r="B105" s="165">
        <f>DATE(23,12,1)</f>
        <v>8736</v>
      </c>
      <c r="C105" s="226">
        <v>0</v>
      </c>
      <c r="D105" s="226">
        <v>0</v>
      </c>
      <c r="E105" s="226">
        <v>0</v>
      </c>
      <c r="F105" s="166">
        <v>0</v>
      </c>
      <c r="G105" s="241">
        <v>0</v>
      </c>
      <c r="H105" s="242">
        <v>0</v>
      </c>
    </row>
    <row r="106" spans="1:8" ht="15.75" x14ac:dyDescent="0.25">
      <c r="A106" s="164"/>
      <c r="B106" s="165">
        <f>DATE(24,1,1)</f>
        <v>8767</v>
      </c>
      <c r="C106" s="226">
        <v>0</v>
      </c>
      <c r="D106" s="226">
        <v>0</v>
      </c>
      <c r="E106" s="226">
        <v>0</v>
      </c>
      <c r="F106" s="166">
        <v>0</v>
      </c>
      <c r="G106" s="241">
        <v>0</v>
      </c>
      <c r="H106" s="242">
        <v>0</v>
      </c>
    </row>
    <row r="107" spans="1:8" ht="15.75" thickBot="1" x14ac:dyDescent="0.25">
      <c r="A107" s="167"/>
      <c r="B107" s="168"/>
      <c r="C107" s="226"/>
      <c r="D107" s="226"/>
      <c r="E107" s="226"/>
      <c r="F107" s="166"/>
      <c r="G107" s="241"/>
      <c r="H107" s="242"/>
    </row>
    <row r="108" spans="1:8" ht="17.25" thickTop="1" thickBot="1" x14ac:dyDescent="0.3">
      <c r="A108" s="174" t="s">
        <v>14</v>
      </c>
      <c r="B108" s="175"/>
      <c r="C108" s="228">
        <f>SUM(C100:C107)</f>
        <v>0</v>
      </c>
      <c r="D108" s="228">
        <f>SUM(D100:D107)</f>
        <v>0</v>
      </c>
      <c r="E108" s="228">
        <f>SUM(E100:E107)</f>
        <v>0</v>
      </c>
      <c r="F108" s="176">
        <v>0</v>
      </c>
      <c r="G108" s="245">
        <v>0</v>
      </c>
      <c r="H108" s="246">
        <v>0</v>
      </c>
    </row>
    <row r="109" spans="1:8" ht="15.75" thickTop="1" x14ac:dyDescent="0.2">
      <c r="A109" s="167"/>
      <c r="B109" s="168"/>
      <c r="C109" s="226"/>
      <c r="D109" s="226"/>
      <c r="E109" s="226"/>
      <c r="F109" s="166"/>
      <c r="G109" s="241"/>
      <c r="H109" s="242"/>
    </row>
    <row r="110" spans="1:8" ht="15.75" x14ac:dyDescent="0.25">
      <c r="A110" s="164" t="s">
        <v>54</v>
      </c>
      <c r="B110" s="165">
        <f>DATE(23,7,1)</f>
        <v>8583</v>
      </c>
      <c r="C110" s="226">
        <v>0</v>
      </c>
      <c r="D110" s="226">
        <v>0</v>
      </c>
      <c r="E110" s="226">
        <v>0</v>
      </c>
      <c r="F110" s="166">
        <v>0</v>
      </c>
      <c r="G110" s="241">
        <v>0</v>
      </c>
      <c r="H110" s="242">
        <v>0</v>
      </c>
    </row>
    <row r="111" spans="1:8" ht="15.75" x14ac:dyDescent="0.25">
      <c r="A111" s="164"/>
      <c r="B111" s="165">
        <f>DATE(23,8,1)</f>
        <v>8614</v>
      </c>
      <c r="C111" s="226">
        <v>0</v>
      </c>
      <c r="D111" s="226">
        <v>0</v>
      </c>
      <c r="E111" s="226">
        <v>0</v>
      </c>
      <c r="F111" s="166">
        <v>0</v>
      </c>
      <c r="G111" s="241">
        <v>0</v>
      </c>
      <c r="H111" s="242">
        <v>0</v>
      </c>
    </row>
    <row r="112" spans="1:8" ht="15.75" x14ac:dyDescent="0.25">
      <c r="A112" s="164"/>
      <c r="B112" s="165">
        <f>DATE(23,9,1)</f>
        <v>8645</v>
      </c>
      <c r="C112" s="226">
        <v>0</v>
      </c>
      <c r="D112" s="226">
        <v>0</v>
      </c>
      <c r="E112" s="226">
        <v>0</v>
      </c>
      <c r="F112" s="166">
        <v>0</v>
      </c>
      <c r="G112" s="241">
        <v>0</v>
      </c>
      <c r="H112" s="242">
        <v>0</v>
      </c>
    </row>
    <row r="113" spans="1:8" ht="15.75" x14ac:dyDescent="0.25">
      <c r="A113" s="164"/>
      <c r="B113" s="165">
        <f>DATE(23,10,1)</f>
        <v>8675</v>
      </c>
      <c r="C113" s="226">
        <v>0</v>
      </c>
      <c r="D113" s="226">
        <v>0</v>
      </c>
      <c r="E113" s="226">
        <v>0</v>
      </c>
      <c r="F113" s="166">
        <v>0</v>
      </c>
      <c r="G113" s="241">
        <v>0</v>
      </c>
      <c r="H113" s="242">
        <v>0</v>
      </c>
    </row>
    <row r="114" spans="1:8" ht="15.75" x14ac:dyDescent="0.25">
      <c r="A114" s="164"/>
      <c r="B114" s="165">
        <f>DATE(23,11,1)</f>
        <v>8706</v>
      </c>
      <c r="C114" s="226">
        <v>0</v>
      </c>
      <c r="D114" s="226">
        <v>0</v>
      </c>
      <c r="E114" s="226">
        <v>0</v>
      </c>
      <c r="F114" s="166">
        <v>0</v>
      </c>
      <c r="G114" s="241">
        <v>0</v>
      </c>
      <c r="H114" s="242">
        <v>0</v>
      </c>
    </row>
    <row r="115" spans="1:8" ht="15.75" x14ac:dyDescent="0.25">
      <c r="A115" s="164"/>
      <c r="B115" s="165">
        <f>DATE(23,12,1)</f>
        <v>8736</v>
      </c>
      <c r="C115" s="226">
        <v>0</v>
      </c>
      <c r="D115" s="226">
        <v>0</v>
      </c>
      <c r="E115" s="226">
        <v>0</v>
      </c>
      <c r="F115" s="166">
        <v>0</v>
      </c>
      <c r="G115" s="241">
        <v>0</v>
      </c>
      <c r="H115" s="242">
        <v>0</v>
      </c>
    </row>
    <row r="116" spans="1:8" ht="15.75" x14ac:dyDescent="0.25">
      <c r="A116" s="164"/>
      <c r="B116" s="165">
        <f>DATE(24,1,1)</f>
        <v>8767</v>
      </c>
      <c r="C116" s="226">
        <v>0</v>
      </c>
      <c r="D116" s="226">
        <v>0</v>
      </c>
      <c r="E116" s="226">
        <v>0</v>
      </c>
      <c r="F116" s="166">
        <v>0</v>
      </c>
      <c r="G116" s="241">
        <v>0</v>
      </c>
      <c r="H116" s="242">
        <v>0</v>
      </c>
    </row>
    <row r="117" spans="1:8" ht="15.75" thickBot="1" x14ac:dyDescent="0.25">
      <c r="A117" s="167"/>
      <c r="B117" s="168"/>
      <c r="C117" s="226"/>
      <c r="D117" s="226"/>
      <c r="E117" s="226"/>
      <c r="F117" s="166"/>
      <c r="G117" s="241"/>
      <c r="H117" s="242"/>
    </row>
    <row r="118" spans="1:8" ht="17.25" thickTop="1" thickBot="1" x14ac:dyDescent="0.3">
      <c r="A118" s="182" t="s">
        <v>14</v>
      </c>
      <c r="B118" s="183"/>
      <c r="C118" s="230">
        <f>SUM(C110:C117)</f>
        <v>0</v>
      </c>
      <c r="D118" s="230">
        <f>SUM(D110:D117)</f>
        <v>0</v>
      </c>
      <c r="E118" s="230">
        <f>SUM(E110:E117)</f>
        <v>0</v>
      </c>
      <c r="F118" s="176">
        <v>0</v>
      </c>
      <c r="G118" s="245">
        <v>0</v>
      </c>
      <c r="H118" s="246">
        <v>0</v>
      </c>
    </row>
    <row r="119" spans="1:8" ht="15.75" thickTop="1" x14ac:dyDescent="0.2">
      <c r="A119" s="167"/>
      <c r="B119" s="168"/>
      <c r="C119" s="226"/>
      <c r="D119" s="226"/>
      <c r="E119" s="226"/>
      <c r="F119" s="166"/>
      <c r="G119" s="241"/>
      <c r="H119" s="242"/>
    </row>
    <row r="120" spans="1:8" ht="15.75" x14ac:dyDescent="0.25">
      <c r="A120" s="164" t="s">
        <v>37</v>
      </c>
      <c r="B120" s="165">
        <f>DATE(23,7,1)</f>
        <v>8583</v>
      </c>
      <c r="C120" s="226">
        <v>3921585</v>
      </c>
      <c r="D120" s="226">
        <v>179389.2</v>
      </c>
      <c r="E120" s="226">
        <v>215844.68</v>
      </c>
      <c r="F120" s="166">
        <f t="shared" ref="F120:F125" si="0">+(D120-E120)/E120</f>
        <v>-0.16889681969460624</v>
      </c>
      <c r="G120" s="241">
        <f>+D120/C120</f>
        <v>4.5744055018570304E-2</v>
      </c>
      <c r="H120" s="289">
        <f>1-G120</f>
        <v>0.95425594498142974</v>
      </c>
    </row>
    <row r="121" spans="1:8" ht="15.75" x14ac:dyDescent="0.25">
      <c r="A121" s="164"/>
      <c r="B121" s="165">
        <f>DATE(23,8,1)</f>
        <v>8614</v>
      </c>
      <c r="C121" s="226">
        <v>4810863</v>
      </c>
      <c r="D121" s="226">
        <v>198288.36</v>
      </c>
      <c r="E121" s="226">
        <v>222475.66</v>
      </c>
      <c r="F121" s="166">
        <f t="shared" si="0"/>
        <v>-0.10871885940241741</v>
      </c>
      <c r="G121" s="241">
        <f>+D121/C121</f>
        <v>4.1216796238013845E-2</v>
      </c>
      <c r="H121" s="289">
        <f>1-G121</f>
        <v>0.95878320376198611</v>
      </c>
    </row>
    <row r="122" spans="1:8" ht="15.75" x14ac:dyDescent="0.25">
      <c r="A122" s="164"/>
      <c r="B122" s="165">
        <f>DATE(23,9,1)</f>
        <v>8645</v>
      </c>
      <c r="C122" s="226">
        <v>4650603.5</v>
      </c>
      <c r="D122" s="226">
        <v>223122.42</v>
      </c>
      <c r="E122" s="226">
        <v>213180.35</v>
      </c>
      <c r="F122" s="166">
        <f t="shared" si="0"/>
        <v>4.6636896880974284E-2</v>
      </c>
      <c r="G122" s="241">
        <f>+D122/C122</f>
        <v>4.797708942506064E-2</v>
      </c>
      <c r="H122" s="289">
        <f>1-G122</f>
        <v>0.95202291057493937</v>
      </c>
    </row>
    <row r="123" spans="1:8" ht="15.75" x14ac:dyDescent="0.25">
      <c r="A123" s="164"/>
      <c r="B123" s="165">
        <f>DATE(23,10,1)</f>
        <v>8675</v>
      </c>
      <c r="C123" s="226">
        <v>5353656.5</v>
      </c>
      <c r="D123" s="226">
        <v>233641.67</v>
      </c>
      <c r="E123" s="226">
        <v>197241.83</v>
      </c>
      <c r="F123" s="166">
        <f t="shared" si="0"/>
        <v>0.18454422167954956</v>
      </c>
      <c r="G123" s="241">
        <f>+D123/C123</f>
        <v>4.3641513048138222E-2</v>
      </c>
      <c r="H123" s="289">
        <f>1-G123</f>
        <v>0.95635848695186176</v>
      </c>
    </row>
    <row r="124" spans="1:8" ht="15.75" x14ac:dyDescent="0.25">
      <c r="A124" s="164"/>
      <c r="B124" s="165">
        <f>DATE(23,11,1)</f>
        <v>8706</v>
      </c>
      <c r="C124" s="226">
        <v>945680</v>
      </c>
      <c r="D124" s="226">
        <v>43064.43</v>
      </c>
      <c r="E124" s="226">
        <v>191836.78</v>
      </c>
      <c r="F124" s="166">
        <f t="shared" si="0"/>
        <v>-0.77551525833575818</v>
      </c>
      <c r="G124" s="241">
        <f>+D124/C124</f>
        <v>4.5538057270958464E-2</v>
      </c>
      <c r="H124" s="289">
        <f>1-G124</f>
        <v>0.9544619427290415</v>
      </c>
    </row>
    <row r="125" spans="1:8" ht="15.75" x14ac:dyDescent="0.25">
      <c r="A125" s="164"/>
      <c r="B125" s="165">
        <f>DATE(23,12,1)</f>
        <v>8736</v>
      </c>
      <c r="C125" s="226">
        <v>0</v>
      </c>
      <c r="D125" s="226">
        <v>0</v>
      </c>
      <c r="E125" s="226">
        <v>198418.76</v>
      </c>
      <c r="F125" s="166">
        <f t="shared" si="0"/>
        <v>-1</v>
      </c>
      <c r="G125" s="241">
        <v>0</v>
      </c>
      <c r="H125" s="289">
        <v>0</v>
      </c>
    </row>
    <row r="126" spans="1:8" ht="15.75" x14ac:dyDescent="0.25">
      <c r="A126" s="164"/>
      <c r="B126" s="165">
        <f>DATE(24,1,1)</f>
        <v>8767</v>
      </c>
      <c r="C126" s="226">
        <v>0</v>
      </c>
      <c r="D126" s="226">
        <v>0</v>
      </c>
      <c r="E126" s="226">
        <v>161229.07</v>
      </c>
      <c r="F126" s="166">
        <f>+(D126-E126)/E126</f>
        <v>-1</v>
      </c>
      <c r="G126" s="241">
        <v>0</v>
      </c>
      <c r="H126" s="289">
        <v>0</v>
      </c>
    </row>
    <row r="127" spans="1:8" ht="15.75" thickBot="1" x14ac:dyDescent="0.25">
      <c r="A127" s="167"/>
      <c r="B127" s="168"/>
      <c r="C127" s="226"/>
      <c r="D127" s="226"/>
      <c r="E127" s="226"/>
      <c r="F127" s="166"/>
      <c r="G127" s="241"/>
      <c r="H127" s="242"/>
    </row>
    <row r="128" spans="1:8" ht="17.25" thickTop="1" thickBot="1" x14ac:dyDescent="0.3">
      <c r="A128" s="174" t="s">
        <v>14</v>
      </c>
      <c r="B128" s="175"/>
      <c r="C128" s="228">
        <f>SUM(C120:C127)</f>
        <v>19682388</v>
      </c>
      <c r="D128" s="228">
        <f>SUM(D120:D127)</f>
        <v>877506.08000000007</v>
      </c>
      <c r="E128" s="228">
        <f>SUM(E120:E127)</f>
        <v>1400227.1300000001</v>
      </c>
      <c r="F128" s="176">
        <f>+(D128-E128)/E128</f>
        <v>-0.37331161409506469</v>
      </c>
      <c r="G128" s="245">
        <f>+D128/C128</f>
        <v>4.4583313772698724E-2</v>
      </c>
      <c r="H128" s="246">
        <f>1-G128</f>
        <v>0.95541668622730125</v>
      </c>
    </row>
    <row r="129" spans="1:8" ht="15.75" thickTop="1" x14ac:dyDescent="0.2">
      <c r="A129" s="167"/>
      <c r="B129" s="168"/>
      <c r="C129" s="226"/>
      <c r="D129" s="226"/>
      <c r="E129" s="226"/>
      <c r="F129" s="166"/>
      <c r="G129" s="241"/>
      <c r="H129" s="242"/>
    </row>
    <row r="130" spans="1:8" ht="15.75" x14ac:dyDescent="0.25">
      <c r="A130" s="164" t="s">
        <v>57</v>
      </c>
      <c r="B130" s="165">
        <f>DATE(23,7,1)</f>
        <v>8583</v>
      </c>
      <c r="C130" s="226">
        <v>0</v>
      </c>
      <c r="D130" s="226">
        <v>0</v>
      </c>
      <c r="E130" s="226">
        <v>0</v>
      </c>
      <c r="F130" s="166">
        <v>0</v>
      </c>
      <c r="G130" s="241">
        <v>0</v>
      </c>
      <c r="H130" s="242">
        <v>0</v>
      </c>
    </row>
    <row r="131" spans="1:8" ht="15.75" x14ac:dyDescent="0.25">
      <c r="A131" s="164"/>
      <c r="B131" s="165">
        <f>DATE(23,8,1)</f>
        <v>8614</v>
      </c>
      <c r="C131" s="226">
        <v>0</v>
      </c>
      <c r="D131" s="226">
        <v>0</v>
      </c>
      <c r="E131" s="226">
        <v>0</v>
      </c>
      <c r="F131" s="166">
        <v>0</v>
      </c>
      <c r="G131" s="241">
        <v>0</v>
      </c>
      <c r="H131" s="242">
        <v>0</v>
      </c>
    </row>
    <row r="132" spans="1:8" ht="15.75" x14ac:dyDescent="0.25">
      <c r="A132" s="164"/>
      <c r="B132" s="165">
        <f>DATE(23,9,1)</f>
        <v>8645</v>
      </c>
      <c r="C132" s="226">
        <v>0</v>
      </c>
      <c r="D132" s="226">
        <v>0</v>
      </c>
      <c r="E132" s="226">
        <v>0</v>
      </c>
      <c r="F132" s="166">
        <v>0</v>
      </c>
      <c r="G132" s="241">
        <v>0</v>
      </c>
      <c r="H132" s="242">
        <v>0</v>
      </c>
    </row>
    <row r="133" spans="1:8" ht="15.75" x14ac:dyDescent="0.25">
      <c r="A133" s="164"/>
      <c r="B133" s="165">
        <f>DATE(23,10,1)</f>
        <v>8675</v>
      </c>
      <c r="C133" s="226">
        <v>0</v>
      </c>
      <c r="D133" s="226">
        <v>0</v>
      </c>
      <c r="E133" s="226">
        <v>0</v>
      </c>
      <c r="F133" s="166">
        <v>0</v>
      </c>
      <c r="G133" s="241">
        <v>0</v>
      </c>
      <c r="H133" s="242">
        <v>0</v>
      </c>
    </row>
    <row r="134" spans="1:8" ht="15.75" x14ac:dyDescent="0.25">
      <c r="A134" s="164"/>
      <c r="B134" s="165">
        <f>DATE(23,11,1)</f>
        <v>8706</v>
      </c>
      <c r="C134" s="226">
        <v>0</v>
      </c>
      <c r="D134" s="226">
        <v>0</v>
      </c>
      <c r="E134" s="226">
        <v>0</v>
      </c>
      <c r="F134" s="166">
        <v>0</v>
      </c>
      <c r="G134" s="241">
        <v>0</v>
      </c>
      <c r="H134" s="242">
        <v>0</v>
      </c>
    </row>
    <row r="135" spans="1:8" ht="15.75" x14ac:dyDescent="0.25">
      <c r="A135" s="164"/>
      <c r="B135" s="165">
        <f>DATE(23,12,1)</f>
        <v>8736</v>
      </c>
      <c r="C135" s="226">
        <v>0</v>
      </c>
      <c r="D135" s="226">
        <v>0</v>
      </c>
      <c r="E135" s="226">
        <v>0</v>
      </c>
      <c r="F135" s="166">
        <v>0</v>
      </c>
      <c r="G135" s="241">
        <v>0</v>
      </c>
      <c r="H135" s="242">
        <v>0</v>
      </c>
    </row>
    <row r="136" spans="1:8" ht="15.75" x14ac:dyDescent="0.25">
      <c r="A136" s="164"/>
      <c r="B136" s="165">
        <f>DATE(24,1,1)</f>
        <v>8767</v>
      </c>
      <c r="C136" s="226">
        <v>0</v>
      </c>
      <c r="D136" s="226">
        <v>0</v>
      </c>
      <c r="E136" s="226">
        <v>0</v>
      </c>
      <c r="F136" s="166"/>
      <c r="G136" s="241"/>
      <c r="H136" s="242"/>
    </row>
    <row r="137" spans="1:8" ht="15.75" thickBot="1" x14ac:dyDescent="0.25">
      <c r="A137" s="167"/>
      <c r="B137" s="168"/>
      <c r="C137" s="226"/>
      <c r="D137" s="226"/>
      <c r="E137" s="226"/>
      <c r="F137" s="166"/>
      <c r="G137" s="241"/>
      <c r="H137" s="242"/>
    </row>
    <row r="138" spans="1:8" ht="17.25" thickTop="1" thickBot="1" x14ac:dyDescent="0.3">
      <c r="A138" s="169" t="s">
        <v>14</v>
      </c>
      <c r="B138" s="155"/>
      <c r="C138" s="223">
        <f>SUM(C130:C137)</f>
        <v>0</v>
      </c>
      <c r="D138" s="223">
        <f>SUM(D130:D137)</f>
        <v>0</v>
      </c>
      <c r="E138" s="223">
        <f>SUM(E130:E137)</f>
        <v>0</v>
      </c>
      <c r="F138" s="176">
        <v>0</v>
      </c>
      <c r="G138" s="245">
        <v>0</v>
      </c>
      <c r="H138" s="246">
        <v>0</v>
      </c>
    </row>
    <row r="139" spans="1:8" ht="16.5" thickTop="1" thickBot="1" x14ac:dyDescent="0.25">
      <c r="A139" s="171"/>
      <c r="B139" s="172"/>
      <c r="C139" s="227"/>
      <c r="D139" s="227"/>
      <c r="E139" s="227"/>
      <c r="F139" s="173"/>
      <c r="G139" s="243"/>
      <c r="H139" s="244"/>
    </row>
    <row r="140" spans="1:8" ht="17.25" thickTop="1" thickBot="1" x14ac:dyDescent="0.3">
      <c r="A140" s="184" t="s">
        <v>38</v>
      </c>
      <c r="B140" s="155"/>
      <c r="C140" s="223">
        <f>C138+C128+C98+C78+C58+C38+C18+C48+C118+C28+C88+C108+C68</f>
        <v>19682388</v>
      </c>
      <c r="D140" s="223">
        <f>D138+D128+D98+D78+D58+D38+D18+D48+D118+D28+D88+D108+D68</f>
        <v>877506.08000000007</v>
      </c>
      <c r="E140" s="223">
        <f>E138+E128+E98+E78+E58+E38+E18+E48+E118+E28+E88+E108+E68</f>
        <v>2765801.64</v>
      </c>
      <c r="F140" s="176">
        <f>+(D140-E140)/E140</f>
        <v>-0.68272992997429849</v>
      </c>
      <c r="G140" s="236">
        <f>D140/C140</f>
        <v>4.4583313772698724E-2</v>
      </c>
      <c r="H140" s="237">
        <f>1-G140</f>
        <v>0.95541668622730125</v>
      </c>
    </row>
    <row r="141" spans="1:8" ht="17.25" thickTop="1" thickBot="1" x14ac:dyDescent="0.3">
      <c r="A141" s="184"/>
      <c r="B141" s="155"/>
      <c r="C141" s="223"/>
      <c r="D141" s="223"/>
      <c r="E141" s="223"/>
      <c r="F141" s="170"/>
      <c r="G141" s="236"/>
      <c r="H141" s="237"/>
    </row>
    <row r="142" spans="1:8" ht="17.25" thickTop="1" thickBot="1" x14ac:dyDescent="0.3">
      <c r="A142" s="184" t="s">
        <v>39</v>
      </c>
      <c r="B142" s="155"/>
      <c r="C142" s="223">
        <f>+C16+C26+C36+C46+C56+C66+C76+C86+C96+C106+C116+C126+C136</f>
        <v>0</v>
      </c>
      <c r="D142" s="223">
        <f>+D16+D26+D36+D46+D56+D66+D76+D86+D96+D106+D116+D126+D136</f>
        <v>0</v>
      </c>
      <c r="E142" s="223">
        <f>+E16+E26+E36+E46+E56+E66+E76+E86+E96+E106+E116+E126+E136</f>
        <v>205030.16</v>
      </c>
      <c r="F142" s="176">
        <f>+(D142-E142)/E142</f>
        <v>-1</v>
      </c>
      <c r="G142" s="236">
        <v>0</v>
      </c>
      <c r="H142" s="246">
        <v>0</v>
      </c>
    </row>
    <row r="143" spans="1:8" ht="16.5" thickTop="1" x14ac:dyDescent="0.25">
      <c r="A143" s="185"/>
      <c r="B143" s="186"/>
      <c r="C143" s="231"/>
      <c r="D143" s="231"/>
      <c r="E143" s="231"/>
      <c r="F143" s="187"/>
      <c r="G143" s="250"/>
      <c r="H143" s="250"/>
    </row>
    <row r="144" spans="1:8" ht="18.75" x14ac:dyDescent="0.3">
      <c r="A144" s="188" t="s">
        <v>49</v>
      </c>
      <c r="B144" s="189"/>
      <c r="C144" s="232"/>
      <c r="D144" s="232"/>
      <c r="E144" s="232"/>
      <c r="F144" s="190"/>
      <c r="G144" s="251"/>
      <c r="H144" s="251"/>
    </row>
    <row r="145" spans="1:8" ht="15.75" x14ac:dyDescent="0.25">
      <c r="A145" s="191"/>
      <c r="B145" s="189"/>
      <c r="C145" s="232"/>
      <c r="D145" s="232"/>
      <c r="E145" s="232"/>
      <c r="F145" s="190"/>
      <c r="G145" s="257"/>
      <c r="H145" s="257"/>
    </row>
  </sheetData>
  <printOptions horizontalCentered="1"/>
  <pageMargins left="0.7" right="0.45" top="0.25" bottom="0.25" header="0.3" footer="0.3"/>
  <pageSetup scale="54" orientation="landscape" r:id="rId1"/>
  <rowBreaks count="2" manualBreakCount="2">
    <brk id="58" max="16383" man="1"/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46"/>
  <sheetViews>
    <sheetView showOutlineSymbols="0" zoomScaleNormal="100" workbookViewId="0">
      <selection activeCell="A10" sqref="A10"/>
    </sheetView>
  </sheetViews>
  <sheetFormatPr defaultColWidth="9.6640625" defaultRowHeight="15" x14ac:dyDescent="0.2"/>
  <cols>
    <col min="1" max="1" width="27.6640625" style="152" customWidth="1"/>
    <col min="2" max="2" width="9.6640625" style="152" customWidth="1"/>
    <col min="3" max="3" width="18.33203125" style="233" customWidth="1"/>
    <col min="4" max="4" width="16.44140625" style="233" customWidth="1"/>
    <col min="5" max="5" width="15.5546875" style="233" customWidth="1"/>
    <col min="6" max="6" width="9.6640625" style="152" customWidth="1"/>
    <col min="7" max="7" width="9.6640625" style="252" customWidth="1"/>
    <col min="8" max="8" width="10.88671875" style="252" customWidth="1"/>
    <col min="9" max="9" width="1.6640625" style="152" customWidth="1"/>
    <col min="10" max="16384" width="9.6640625" style="152"/>
  </cols>
  <sheetData>
    <row r="1" spans="1:9" ht="18" x14ac:dyDescent="0.25">
      <c r="A1" s="149" t="s">
        <v>0</v>
      </c>
      <c r="B1" s="150"/>
      <c r="C1" s="222"/>
      <c r="D1" s="222"/>
      <c r="E1" s="222"/>
      <c r="F1" s="150"/>
      <c r="G1" s="234"/>
      <c r="H1" s="234"/>
      <c r="I1" s="151"/>
    </row>
    <row r="2" spans="1:9" ht="18.75" x14ac:dyDescent="0.3">
      <c r="A2" s="153" t="s">
        <v>41</v>
      </c>
      <c r="B2" s="150"/>
      <c r="C2" s="222"/>
      <c r="D2" s="222"/>
      <c r="E2" s="222"/>
      <c r="F2" s="150"/>
      <c r="G2" s="234"/>
      <c r="H2" s="234"/>
      <c r="I2" s="151"/>
    </row>
    <row r="3" spans="1:9" ht="18" x14ac:dyDescent="0.25">
      <c r="A3" s="149" t="s">
        <v>42</v>
      </c>
      <c r="B3" s="150"/>
      <c r="C3" s="222"/>
      <c r="D3" s="222"/>
      <c r="E3" s="222"/>
      <c r="F3" s="150"/>
      <c r="G3" s="234"/>
      <c r="H3" s="234"/>
      <c r="I3" s="151"/>
    </row>
    <row r="4" spans="1:9" ht="18" x14ac:dyDescent="0.25">
      <c r="A4" s="285" t="s">
        <v>76</v>
      </c>
      <c r="B4" s="150"/>
      <c r="C4" s="222"/>
      <c r="D4" s="222"/>
      <c r="E4" s="222"/>
      <c r="F4" s="150"/>
      <c r="G4" s="234"/>
      <c r="H4" s="234"/>
      <c r="I4" s="151"/>
    </row>
    <row r="5" spans="1:9" x14ac:dyDescent="0.2">
      <c r="A5" s="286" t="s">
        <v>79</v>
      </c>
      <c r="B5" s="150"/>
      <c r="C5" s="222"/>
      <c r="D5" s="222"/>
      <c r="E5" s="222"/>
      <c r="F5" s="150"/>
      <c r="G5" s="234"/>
      <c r="H5" s="234"/>
      <c r="I5" s="151"/>
    </row>
    <row r="6" spans="1:9" ht="16.5" thickBot="1" x14ac:dyDescent="0.3">
      <c r="A6" s="150"/>
      <c r="B6" s="150"/>
      <c r="C6" s="222"/>
      <c r="D6" s="222"/>
      <c r="E6" s="222"/>
      <c r="F6" s="150"/>
      <c r="G6" s="235" t="s">
        <v>43</v>
      </c>
      <c r="H6" s="235"/>
      <c r="I6" s="151"/>
    </row>
    <row r="7" spans="1:9" ht="16.5" thickTop="1" x14ac:dyDescent="0.25">
      <c r="A7" s="154"/>
      <c r="B7" s="155" t="s">
        <v>2</v>
      </c>
      <c r="C7" s="223" t="s">
        <v>44</v>
      </c>
      <c r="D7" s="223" t="s">
        <v>31</v>
      </c>
      <c r="E7" s="223" t="s">
        <v>3</v>
      </c>
      <c r="F7" s="156"/>
      <c r="G7" s="236" t="s">
        <v>32</v>
      </c>
      <c r="H7" s="253" t="s">
        <v>32</v>
      </c>
      <c r="I7" s="157"/>
    </row>
    <row r="8" spans="1:9" ht="16.5" thickBot="1" x14ac:dyDescent="0.3">
      <c r="A8" s="158" t="s">
        <v>5</v>
      </c>
      <c r="B8" s="159" t="s">
        <v>6</v>
      </c>
      <c r="C8" s="224" t="s">
        <v>45</v>
      </c>
      <c r="D8" s="224" t="s">
        <v>46</v>
      </c>
      <c r="E8" s="224" t="s">
        <v>46</v>
      </c>
      <c r="F8" s="160" t="s">
        <v>8</v>
      </c>
      <c r="G8" s="238" t="s">
        <v>35</v>
      </c>
      <c r="H8" s="254" t="s">
        <v>47</v>
      </c>
      <c r="I8" s="157"/>
    </row>
    <row r="9" spans="1:9" ht="15.75" customHeight="1" thickTop="1" x14ac:dyDescent="0.25">
      <c r="A9" s="161"/>
      <c r="B9" s="162"/>
      <c r="C9" s="225"/>
      <c r="D9" s="225"/>
      <c r="E9" s="225"/>
      <c r="F9" s="163"/>
      <c r="G9" s="239"/>
      <c r="H9" s="240"/>
      <c r="I9" s="157"/>
    </row>
    <row r="10" spans="1:9" ht="15.75" x14ac:dyDescent="0.25">
      <c r="A10" s="164" t="s">
        <v>36</v>
      </c>
      <c r="B10" s="165">
        <f>DATE(23,7,1)</f>
        <v>8583</v>
      </c>
      <c r="C10" s="226">
        <v>130294533.33</v>
      </c>
      <c r="D10" s="226">
        <v>12225071.779999999</v>
      </c>
      <c r="E10" s="226">
        <v>12857023.68</v>
      </c>
      <c r="F10" s="166">
        <f t="shared" ref="F10:F15" si="0">(+D10-E10)/E10</f>
        <v>-4.915227005321969E-2</v>
      </c>
      <c r="G10" s="241">
        <f t="shared" ref="G10:G15" si="1">D10/C10</f>
        <v>9.3826436670503097E-2</v>
      </c>
      <c r="H10" s="242">
        <f t="shared" ref="H10:H16" si="2">1-G10</f>
        <v>0.90617356332949694</v>
      </c>
      <c r="I10" s="157"/>
    </row>
    <row r="11" spans="1:9" ht="15.75" x14ac:dyDescent="0.25">
      <c r="A11" s="164"/>
      <c r="B11" s="165">
        <f>DATE(23,8,1)</f>
        <v>8614</v>
      </c>
      <c r="C11" s="226">
        <v>121966832.73999999</v>
      </c>
      <c r="D11" s="226">
        <v>11145204.02</v>
      </c>
      <c r="E11" s="226">
        <v>11827521.810000001</v>
      </c>
      <c r="F11" s="166">
        <f t="shared" si="0"/>
        <v>-5.7688990217977111E-2</v>
      </c>
      <c r="G11" s="241">
        <f t="shared" si="1"/>
        <v>9.1378973853970064E-2</v>
      </c>
      <c r="H11" s="242">
        <f t="shared" si="2"/>
        <v>0.90862102614602991</v>
      </c>
      <c r="I11" s="157"/>
    </row>
    <row r="12" spans="1:9" ht="15.75" x14ac:dyDescent="0.25">
      <c r="A12" s="164"/>
      <c r="B12" s="165">
        <f>DATE(23,9,1)</f>
        <v>8645</v>
      </c>
      <c r="C12" s="226">
        <v>119569753.25</v>
      </c>
      <c r="D12" s="226">
        <v>10888864.68</v>
      </c>
      <c r="E12" s="226">
        <v>11779242.130000001</v>
      </c>
      <c r="F12" s="166">
        <f t="shared" si="0"/>
        <v>-7.5588687300377363E-2</v>
      </c>
      <c r="G12" s="241">
        <f t="shared" si="1"/>
        <v>9.1067049851923987E-2</v>
      </c>
      <c r="H12" s="242">
        <f t="shared" si="2"/>
        <v>0.90893295014807607</v>
      </c>
      <c r="I12" s="157"/>
    </row>
    <row r="13" spans="1:9" ht="15.75" x14ac:dyDescent="0.25">
      <c r="A13" s="164"/>
      <c r="B13" s="165">
        <f>DATE(23,10,1)</f>
        <v>8675</v>
      </c>
      <c r="C13" s="226">
        <v>113617241.08</v>
      </c>
      <c r="D13" s="226">
        <v>10286786.27</v>
      </c>
      <c r="E13" s="226">
        <v>11839133.27</v>
      </c>
      <c r="F13" s="166">
        <f t="shared" si="0"/>
        <v>-0.1311199869616807</v>
      </c>
      <c r="G13" s="241">
        <f t="shared" si="1"/>
        <v>9.0538954935165894E-2</v>
      </c>
      <c r="H13" s="242">
        <f t="shared" si="2"/>
        <v>0.90946104506483416</v>
      </c>
      <c r="I13" s="157"/>
    </row>
    <row r="14" spans="1:9" ht="15.75" x14ac:dyDescent="0.25">
      <c r="A14" s="164"/>
      <c r="B14" s="165">
        <f>DATE(23,11,1)</f>
        <v>8706</v>
      </c>
      <c r="C14" s="226">
        <v>111981421.75</v>
      </c>
      <c r="D14" s="226">
        <v>10696499.550000001</v>
      </c>
      <c r="E14" s="226">
        <v>10518258.619999999</v>
      </c>
      <c r="F14" s="166">
        <f t="shared" si="0"/>
        <v>1.6945859237676889E-2</v>
      </c>
      <c r="G14" s="241">
        <f t="shared" si="1"/>
        <v>9.552030491164934E-2</v>
      </c>
      <c r="H14" s="242">
        <f t="shared" si="2"/>
        <v>0.90447969508835069</v>
      </c>
      <c r="I14" s="157"/>
    </row>
    <row r="15" spans="1:9" ht="15.75" x14ac:dyDescent="0.25">
      <c r="A15" s="164"/>
      <c r="B15" s="165">
        <f>DATE(23,12,1)</f>
        <v>8736</v>
      </c>
      <c r="C15" s="226">
        <v>129048538.48</v>
      </c>
      <c r="D15" s="226">
        <v>11420329.99</v>
      </c>
      <c r="E15" s="226">
        <v>11200076.720000001</v>
      </c>
      <c r="F15" s="166">
        <f t="shared" si="0"/>
        <v>1.9665335828163821E-2</v>
      </c>
      <c r="G15" s="241">
        <f t="shared" si="1"/>
        <v>8.8496391547820033E-2</v>
      </c>
      <c r="H15" s="242">
        <f t="shared" si="2"/>
        <v>0.91150360845217993</v>
      </c>
      <c r="I15" s="157"/>
    </row>
    <row r="16" spans="1:9" ht="15.75" x14ac:dyDescent="0.25">
      <c r="A16" s="164"/>
      <c r="B16" s="165">
        <f>DATE(24,1,1)</f>
        <v>8767</v>
      </c>
      <c r="C16" s="226">
        <v>104910741.22</v>
      </c>
      <c r="D16" s="226">
        <v>9832743.6199999992</v>
      </c>
      <c r="E16" s="226">
        <v>11398304.84</v>
      </c>
      <c r="F16" s="166">
        <f>(+D16-E16)/E16</f>
        <v>-0.13735035533582032</v>
      </c>
      <c r="G16" s="241">
        <f>D16/C16</f>
        <v>9.3724851294116132E-2</v>
      </c>
      <c r="H16" s="242">
        <f t="shared" si="2"/>
        <v>0.90627514870588388</v>
      </c>
      <c r="I16" s="157"/>
    </row>
    <row r="17" spans="1:9" ht="15.75" thickBot="1" x14ac:dyDescent="0.25">
      <c r="A17" s="167"/>
      <c r="B17" s="168"/>
      <c r="C17" s="226"/>
      <c r="D17" s="226"/>
      <c r="E17" s="226"/>
      <c r="F17" s="166"/>
      <c r="G17" s="241"/>
      <c r="H17" s="242"/>
      <c r="I17" s="157"/>
    </row>
    <row r="18" spans="1:9" ht="17.25" thickTop="1" thickBot="1" x14ac:dyDescent="0.3">
      <c r="A18" s="169" t="s">
        <v>14</v>
      </c>
      <c r="B18" s="155"/>
      <c r="C18" s="223">
        <f>SUM(C10:C17)</f>
        <v>831389061.85000002</v>
      </c>
      <c r="D18" s="223">
        <f>SUM(D10:D17)</f>
        <v>76495499.909999996</v>
      </c>
      <c r="E18" s="223">
        <f>SUM(E10:E17)</f>
        <v>81419561.070000008</v>
      </c>
      <c r="F18" s="170">
        <f>(+D18-E18)/E18</f>
        <v>-6.0477618588075877E-2</v>
      </c>
      <c r="G18" s="236">
        <f>D18/C18</f>
        <v>9.2009269089712159E-2</v>
      </c>
      <c r="H18" s="237">
        <f>1-G18</f>
        <v>0.90799073091028781</v>
      </c>
      <c r="I18" s="157"/>
    </row>
    <row r="19" spans="1:9" ht="15.75" thickTop="1" x14ac:dyDescent="0.2">
      <c r="A19" s="171"/>
      <c r="B19" s="172"/>
      <c r="C19" s="227"/>
      <c r="D19" s="227"/>
      <c r="E19" s="227"/>
      <c r="F19" s="173"/>
      <c r="G19" s="243"/>
      <c r="H19" s="244"/>
      <c r="I19" s="157"/>
    </row>
    <row r="20" spans="1:9" ht="15.75" x14ac:dyDescent="0.25">
      <c r="A20" s="19" t="s">
        <v>48</v>
      </c>
      <c r="B20" s="165">
        <f>DATE(23,7,1)</f>
        <v>8583</v>
      </c>
      <c r="C20" s="226">
        <v>75800127.310000002</v>
      </c>
      <c r="D20" s="226">
        <v>7575374.3200000003</v>
      </c>
      <c r="E20" s="226">
        <v>7757914.71</v>
      </c>
      <c r="F20" s="166">
        <f t="shared" ref="F20:F25" si="3">(+D20-E20)/E20</f>
        <v>-2.3529569068954054E-2</v>
      </c>
      <c r="G20" s="241">
        <f t="shared" ref="G20:G25" si="4">D20/C20</f>
        <v>9.993880734552027E-2</v>
      </c>
      <c r="H20" s="242">
        <f t="shared" ref="H20:H26" si="5">1-G20</f>
        <v>0.9000611926544797</v>
      </c>
      <c r="I20" s="157"/>
    </row>
    <row r="21" spans="1:9" ht="15.75" x14ac:dyDescent="0.25">
      <c r="A21" s="19"/>
      <c r="B21" s="165">
        <f>DATE(23,8,1)</f>
        <v>8614</v>
      </c>
      <c r="C21" s="226">
        <v>70452827.459999993</v>
      </c>
      <c r="D21" s="226">
        <v>7089689.0300000003</v>
      </c>
      <c r="E21" s="226">
        <v>6870200.0300000003</v>
      </c>
      <c r="F21" s="166">
        <f t="shared" si="3"/>
        <v>3.1947978085290187E-2</v>
      </c>
      <c r="G21" s="241">
        <f t="shared" si="4"/>
        <v>0.1006302981101108</v>
      </c>
      <c r="H21" s="242">
        <f t="shared" si="5"/>
        <v>0.89936970188988918</v>
      </c>
      <c r="I21" s="157"/>
    </row>
    <row r="22" spans="1:9" ht="15.75" x14ac:dyDescent="0.25">
      <c r="A22" s="19"/>
      <c r="B22" s="165">
        <f>DATE(23,9,1)</f>
        <v>8645</v>
      </c>
      <c r="C22" s="226">
        <v>66505879.869999997</v>
      </c>
      <c r="D22" s="226">
        <v>6608716.9299999997</v>
      </c>
      <c r="E22" s="226">
        <v>7013550.54</v>
      </c>
      <c r="F22" s="166">
        <f t="shared" si="3"/>
        <v>-5.7721635809300141E-2</v>
      </c>
      <c r="G22" s="241">
        <f t="shared" si="4"/>
        <v>9.9370415712387444E-2</v>
      </c>
      <c r="H22" s="242">
        <f t="shared" si="5"/>
        <v>0.90062958428761253</v>
      </c>
      <c r="I22" s="157"/>
    </row>
    <row r="23" spans="1:9" ht="15.75" x14ac:dyDescent="0.25">
      <c r="A23" s="19"/>
      <c r="B23" s="165">
        <f>DATE(23,10,1)</f>
        <v>8675</v>
      </c>
      <c r="C23" s="226">
        <v>63554221.140000001</v>
      </c>
      <c r="D23" s="226">
        <v>6073572.6299999999</v>
      </c>
      <c r="E23" s="226">
        <v>6793373.3399999999</v>
      </c>
      <c r="F23" s="166">
        <f t="shared" si="3"/>
        <v>-0.10595630093840831</v>
      </c>
      <c r="G23" s="241">
        <f t="shared" si="4"/>
        <v>9.5565212208656769E-2</v>
      </c>
      <c r="H23" s="242">
        <f t="shared" si="5"/>
        <v>0.90443478779134323</v>
      </c>
      <c r="I23" s="157"/>
    </row>
    <row r="24" spans="1:9" ht="15.75" x14ac:dyDescent="0.25">
      <c r="A24" s="19"/>
      <c r="B24" s="165">
        <f>DATE(23,11,1)</f>
        <v>8706</v>
      </c>
      <c r="C24" s="226">
        <v>62962072.119999997</v>
      </c>
      <c r="D24" s="226">
        <v>6219601.8899999997</v>
      </c>
      <c r="E24" s="226">
        <v>6317939.5599999996</v>
      </c>
      <c r="F24" s="166">
        <f t="shared" si="3"/>
        <v>-1.5564832342270766E-2</v>
      </c>
      <c r="G24" s="241">
        <f t="shared" si="4"/>
        <v>9.8783310024263535E-2</v>
      </c>
      <c r="H24" s="242">
        <f t="shared" si="5"/>
        <v>0.90121668997573645</v>
      </c>
      <c r="I24" s="157"/>
    </row>
    <row r="25" spans="1:9" ht="15.75" x14ac:dyDescent="0.25">
      <c r="A25" s="19"/>
      <c r="B25" s="165">
        <f>DATE(23,12,1)</f>
        <v>8736</v>
      </c>
      <c r="C25" s="226">
        <v>71324672.930000007</v>
      </c>
      <c r="D25" s="226">
        <v>7129561.0199999996</v>
      </c>
      <c r="E25" s="226">
        <v>6662914.5199999996</v>
      </c>
      <c r="F25" s="166">
        <f t="shared" si="3"/>
        <v>7.003639302279388E-2</v>
      </c>
      <c r="G25" s="241">
        <f t="shared" si="4"/>
        <v>9.9959252908136662E-2</v>
      </c>
      <c r="H25" s="242">
        <f t="shared" si="5"/>
        <v>0.90004074709186332</v>
      </c>
      <c r="I25" s="157"/>
    </row>
    <row r="26" spans="1:9" ht="15.75" x14ac:dyDescent="0.25">
      <c r="A26" s="19"/>
      <c r="B26" s="165">
        <f>DATE(24,1,1)</f>
        <v>8767</v>
      </c>
      <c r="C26" s="226">
        <v>54725892.43</v>
      </c>
      <c r="D26" s="226">
        <v>5384241.8899999997</v>
      </c>
      <c r="E26" s="226">
        <v>6582615.0199999996</v>
      </c>
      <c r="F26" s="166">
        <f>(+D26-E26)/E26</f>
        <v>-0.18205122528948989</v>
      </c>
      <c r="G26" s="241">
        <f>D26/C26</f>
        <v>9.8385638879932277E-2</v>
      </c>
      <c r="H26" s="242">
        <f t="shared" si="5"/>
        <v>0.90161436112006776</v>
      </c>
      <c r="I26" s="157"/>
    </row>
    <row r="27" spans="1:9" ht="15.75" thickBot="1" x14ac:dyDescent="0.25">
      <c r="A27" s="167"/>
      <c r="B27" s="165"/>
      <c r="C27" s="226"/>
      <c r="D27" s="226"/>
      <c r="E27" s="226"/>
      <c r="F27" s="166"/>
      <c r="G27" s="241"/>
      <c r="H27" s="242"/>
      <c r="I27" s="157"/>
    </row>
    <row r="28" spans="1:9" ht="17.25" thickTop="1" thickBot="1" x14ac:dyDescent="0.3">
      <c r="A28" s="169" t="s">
        <v>14</v>
      </c>
      <c r="B28" s="155"/>
      <c r="C28" s="223">
        <f>SUM(C20:C27)</f>
        <v>465325693.25999999</v>
      </c>
      <c r="D28" s="223">
        <f>SUM(D20:D27)</f>
        <v>46080757.709999993</v>
      </c>
      <c r="E28" s="223">
        <f>SUM(E20:E27)</f>
        <v>47998507.719999999</v>
      </c>
      <c r="F28" s="170">
        <f>(+D28-E28)/E28</f>
        <v>-3.9954367356319249E-2</v>
      </c>
      <c r="G28" s="236">
        <f>D28/C28</f>
        <v>9.9029042190138514E-2</v>
      </c>
      <c r="H28" s="237">
        <f>1-G28</f>
        <v>0.90097095780986147</v>
      </c>
      <c r="I28" s="157"/>
    </row>
    <row r="29" spans="1:9" ht="15.75" thickTop="1" x14ac:dyDescent="0.2">
      <c r="A29" s="171"/>
      <c r="B29" s="172"/>
      <c r="C29" s="227"/>
      <c r="D29" s="227"/>
      <c r="E29" s="227"/>
      <c r="F29" s="173"/>
      <c r="G29" s="243"/>
      <c r="H29" s="244"/>
      <c r="I29" s="157"/>
    </row>
    <row r="30" spans="1:9" ht="15.75" x14ac:dyDescent="0.25">
      <c r="A30" s="19" t="s">
        <v>62</v>
      </c>
      <c r="B30" s="165">
        <f>DATE(23,7,1)</f>
        <v>8583</v>
      </c>
      <c r="C30" s="226">
        <v>37126873.899999999</v>
      </c>
      <c r="D30" s="226">
        <v>3728602.99</v>
      </c>
      <c r="E30" s="226">
        <v>3537425.2</v>
      </c>
      <c r="F30" s="166">
        <f t="shared" ref="F30:F35" si="6">(+D30-E30)/E30</f>
        <v>5.4044334280199065E-2</v>
      </c>
      <c r="G30" s="241">
        <f t="shared" ref="G30:G35" si="7">D30/C30</f>
        <v>0.10042868139242933</v>
      </c>
      <c r="H30" s="242">
        <f t="shared" ref="H30:H36" si="8">1-G30</f>
        <v>0.89957131860757067</v>
      </c>
      <c r="I30" s="157"/>
    </row>
    <row r="31" spans="1:9" ht="15.75" x14ac:dyDescent="0.25">
      <c r="A31" s="19"/>
      <c r="B31" s="165">
        <f>DATE(23,8,1)</f>
        <v>8614</v>
      </c>
      <c r="C31" s="226">
        <v>33173547.440000001</v>
      </c>
      <c r="D31" s="226">
        <v>3492885.71</v>
      </c>
      <c r="E31" s="226">
        <v>3224518.01</v>
      </c>
      <c r="F31" s="166">
        <f t="shared" si="6"/>
        <v>8.3227229361947402E-2</v>
      </c>
      <c r="G31" s="241">
        <f t="shared" si="7"/>
        <v>0.10529129320032708</v>
      </c>
      <c r="H31" s="242">
        <f t="shared" si="8"/>
        <v>0.89470870679967296</v>
      </c>
      <c r="I31" s="157"/>
    </row>
    <row r="32" spans="1:9" ht="15.75" x14ac:dyDescent="0.25">
      <c r="A32" s="19"/>
      <c r="B32" s="165">
        <f>DATE(23,9,1)</f>
        <v>8645</v>
      </c>
      <c r="C32" s="226">
        <v>34343922.799999997</v>
      </c>
      <c r="D32" s="226">
        <v>3669671.06</v>
      </c>
      <c r="E32" s="226">
        <v>3285954.25</v>
      </c>
      <c r="F32" s="166">
        <f t="shared" si="6"/>
        <v>0.11677484858469958</v>
      </c>
      <c r="G32" s="241">
        <f t="shared" si="7"/>
        <v>0.10685066704144817</v>
      </c>
      <c r="H32" s="242">
        <f t="shared" si="8"/>
        <v>0.89314933295855181</v>
      </c>
      <c r="I32" s="157"/>
    </row>
    <row r="33" spans="1:9" ht="15.75" x14ac:dyDescent="0.25">
      <c r="A33" s="19"/>
      <c r="B33" s="165">
        <f>DATE(23,10,1)</f>
        <v>8675</v>
      </c>
      <c r="C33" s="226">
        <v>31007658.719999999</v>
      </c>
      <c r="D33" s="226">
        <v>3409284.9</v>
      </c>
      <c r="E33" s="226">
        <v>3155435.74</v>
      </c>
      <c r="F33" s="166">
        <f t="shared" si="6"/>
        <v>8.0448210933935754E-2</v>
      </c>
      <c r="G33" s="241">
        <f t="shared" si="7"/>
        <v>0.10994976856479025</v>
      </c>
      <c r="H33" s="242">
        <f t="shared" si="8"/>
        <v>0.89005023143520978</v>
      </c>
      <c r="I33" s="157"/>
    </row>
    <row r="34" spans="1:9" ht="15.75" x14ac:dyDescent="0.25">
      <c r="A34" s="19"/>
      <c r="B34" s="165">
        <f>DATE(23,11,1)</f>
        <v>8706</v>
      </c>
      <c r="C34" s="226">
        <v>31665455.82</v>
      </c>
      <c r="D34" s="226">
        <v>3279489.54</v>
      </c>
      <c r="E34" s="226">
        <v>2805588.39</v>
      </c>
      <c r="F34" s="166">
        <f t="shared" si="6"/>
        <v>0.16891328453209056</v>
      </c>
      <c r="G34" s="241">
        <f t="shared" si="7"/>
        <v>0.10356678768946267</v>
      </c>
      <c r="H34" s="242">
        <f t="shared" si="8"/>
        <v>0.8964332123105373</v>
      </c>
      <c r="I34" s="157"/>
    </row>
    <row r="35" spans="1:9" ht="15.75" x14ac:dyDescent="0.25">
      <c r="A35" s="19"/>
      <c r="B35" s="165">
        <f>DATE(23,12,1)</f>
        <v>8736</v>
      </c>
      <c r="C35" s="226">
        <v>34846745.240000002</v>
      </c>
      <c r="D35" s="226">
        <v>3745372.22</v>
      </c>
      <c r="E35" s="226">
        <v>2840105.54</v>
      </c>
      <c r="F35" s="166">
        <f t="shared" si="6"/>
        <v>0.31874402808284374</v>
      </c>
      <c r="G35" s="241">
        <f t="shared" si="7"/>
        <v>0.10748126386566369</v>
      </c>
      <c r="H35" s="242">
        <f t="shared" si="8"/>
        <v>0.8925187361343363</v>
      </c>
      <c r="I35" s="157"/>
    </row>
    <row r="36" spans="1:9" ht="15.75" x14ac:dyDescent="0.25">
      <c r="A36" s="19"/>
      <c r="B36" s="165">
        <f>DATE(24,1,1)</f>
        <v>8767</v>
      </c>
      <c r="C36" s="226">
        <v>28973333.780000001</v>
      </c>
      <c r="D36" s="226">
        <v>3017306.94</v>
      </c>
      <c r="E36" s="226">
        <v>3252604.7</v>
      </c>
      <c r="F36" s="166">
        <f>(+D36-E36)/E36</f>
        <v>-7.2341333086064913E-2</v>
      </c>
      <c r="G36" s="241">
        <f>D36/C36</f>
        <v>0.10414082697251831</v>
      </c>
      <c r="H36" s="242">
        <f t="shared" si="8"/>
        <v>0.89585917302748164</v>
      </c>
      <c r="I36" s="157"/>
    </row>
    <row r="37" spans="1:9" ht="15.75" thickBot="1" x14ac:dyDescent="0.25">
      <c r="A37" s="167"/>
      <c r="B37" s="165"/>
      <c r="C37" s="226"/>
      <c r="D37" s="226"/>
      <c r="E37" s="226"/>
      <c r="F37" s="166"/>
      <c r="G37" s="241"/>
      <c r="H37" s="242"/>
      <c r="I37" s="157"/>
    </row>
    <row r="38" spans="1:9" ht="17.25" thickTop="1" thickBot="1" x14ac:dyDescent="0.3">
      <c r="A38" s="174" t="s">
        <v>14</v>
      </c>
      <c r="B38" s="175"/>
      <c r="C38" s="228">
        <f>SUM(C30:C37)</f>
        <v>231137537.70000002</v>
      </c>
      <c r="D38" s="228">
        <f>SUM(D30:D37)</f>
        <v>24342613.359999999</v>
      </c>
      <c r="E38" s="228">
        <f>SUM(E30:E37)</f>
        <v>22101631.830000002</v>
      </c>
      <c r="F38" s="176">
        <f>(+D38-E38)/E38</f>
        <v>0.1013943923795783</v>
      </c>
      <c r="G38" s="245">
        <f>D38/C38</f>
        <v>0.10531657299038535</v>
      </c>
      <c r="H38" s="246">
        <f>1-G38</f>
        <v>0.89468342700961467</v>
      </c>
      <c r="I38" s="157"/>
    </row>
    <row r="39" spans="1:9" ht="15.75" thickTop="1" x14ac:dyDescent="0.2">
      <c r="A39" s="167"/>
      <c r="B39" s="168"/>
      <c r="C39" s="226"/>
      <c r="D39" s="226"/>
      <c r="E39" s="226"/>
      <c r="F39" s="166"/>
      <c r="G39" s="241"/>
      <c r="H39" s="242"/>
      <c r="I39" s="157"/>
    </row>
    <row r="40" spans="1:9" ht="15.75" x14ac:dyDescent="0.25">
      <c r="A40" s="177" t="s">
        <v>58</v>
      </c>
      <c r="B40" s="165">
        <f>DATE(23,7,1)</f>
        <v>8583</v>
      </c>
      <c r="C40" s="226">
        <v>203652069.36000001</v>
      </c>
      <c r="D40" s="226">
        <v>18456668.579999998</v>
      </c>
      <c r="E40" s="226">
        <v>17880290.199999999</v>
      </c>
      <c r="F40" s="166">
        <f t="shared" ref="F40:F45" si="9">(+D40-E40)/E40</f>
        <v>3.2235404098754444E-2</v>
      </c>
      <c r="G40" s="241">
        <f t="shared" ref="G40:G45" si="10">D40/C40</f>
        <v>9.0628436224597153E-2</v>
      </c>
      <c r="H40" s="242">
        <f t="shared" ref="H40:H46" si="11">1-G40</f>
        <v>0.90937156377540285</v>
      </c>
      <c r="I40" s="157"/>
    </row>
    <row r="41" spans="1:9" ht="15.75" x14ac:dyDescent="0.25">
      <c r="A41" s="177"/>
      <c r="B41" s="165">
        <f>DATE(23,8,1)</f>
        <v>8614</v>
      </c>
      <c r="C41" s="226">
        <v>191968973.33000001</v>
      </c>
      <c r="D41" s="226">
        <v>17397451.300000001</v>
      </c>
      <c r="E41" s="226">
        <v>17060867.379999999</v>
      </c>
      <c r="F41" s="166">
        <f t="shared" si="9"/>
        <v>1.9728417817406526E-2</v>
      </c>
      <c r="G41" s="241">
        <f t="shared" si="10"/>
        <v>9.0626370492138314E-2</v>
      </c>
      <c r="H41" s="242">
        <f t="shared" si="11"/>
        <v>0.90937362950786171</v>
      </c>
      <c r="I41" s="157"/>
    </row>
    <row r="42" spans="1:9" ht="15.75" x14ac:dyDescent="0.25">
      <c r="A42" s="177"/>
      <c r="B42" s="165">
        <f>DATE(23,9,1)</f>
        <v>8645</v>
      </c>
      <c r="C42" s="226">
        <v>188961524.24000001</v>
      </c>
      <c r="D42" s="226">
        <v>17402399.579999998</v>
      </c>
      <c r="E42" s="226">
        <v>17061917.539999999</v>
      </c>
      <c r="F42" s="166">
        <f t="shared" si="9"/>
        <v>1.9955672579109133E-2</v>
      </c>
      <c r="G42" s="241">
        <f t="shared" si="10"/>
        <v>9.2094936522089083E-2</v>
      </c>
      <c r="H42" s="242">
        <f t="shared" si="11"/>
        <v>0.90790506347791089</v>
      </c>
      <c r="I42" s="157"/>
    </row>
    <row r="43" spans="1:9" ht="15.75" x14ac:dyDescent="0.25">
      <c r="A43" s="177"/>
      <c r="B43" s="165">
        <f>DATE(23,10,1)</f>
        <v>8675</v>
      </c>
      <c r="C43" s="226">
        <v>184357310.63</v>
      </c>
      <c r="D43" s="226">
        <v>16475993.380000001</v>
      </c>
      <c r="E43" s="226">
        <v>16341780.85</v>
      </c>
      <c r="F43" s="166">
        <f t="shared" si="9"/>
        <v>8.2128460314042934E-3</v>
      </c>
      <c r="G43" s="241">
        <f t="shared" si="10"/>
        <v>8.9369894384426454E-2</v>
      </c>
      <c r="H43" s="242">
        <f t="shared" si="11"/>
        <v>0.91063010561557356</v>
      </c>
      <c r="I43" s="157"/>
    </row>
    <row r="44" spans="1:9" ht="15.75" x14ac:dyDescent="0.25">
      <c r="A44" s="177"/>
      <c r="B44" s="165">
        <f>DATE(23,11,1)</f>
        <v>8706</v>
      </c>
      <c r="C44" s="226">
        <v>183237380.37</v>
      </c>
      <c r="D44" s="226">
        <v>16419604.9</v>
      </c>
      <c r="E44" s="226">
        <v>14923708.42</v>
      </c>
      <c r="F44" s="166">
        <f t="shared" si="9"/>
        <v>0.10023624409568842</v>
      </c>
      <c r="G44" s="241">
        <f t="shared" si="10"/>
        <v>8.9608380488985923E-2</v>
      </c>
      <c r="H44" s="242">
        <f t="shared" si="11"/>
        <v>0.91039161951101411</v>
      </c>
      <c r="I44" s="157"/>
    </row>
    <row r="45" spans="1:9" ht="15.75" x14ac:dyDescent="0.25">
      <c r="A45" s="177"/>
      <c r="B45" s="165">
        <f>DATE(23,12,1)</f>
        <v>8736</v>
      </c>
      <c r="C45" s="226">
        <v>197745355.72</v>
      </c>
      <c r="D45" s="226">
        <v>18063260.059999999</v>
      </c>
      <c r="E45" s="226">
        <v>16991042.620000001</v>
      </c>
      <c r="F45" s="166">
        <f t="shared" si="9"/>
        <v>6.3104864367646299E-2</v>
      </c>
      <c r="G45" s="241">
        <f t="shared" si="10"/>
        <v>9.134606471151159E-2</v>
      </c>
      <c r="H45" s="242">
        <f t="shared" si="11"/>
        <v>0.90865393528848837</v>
      </c>
      <c r="I45" s="157"/>
    </row>
    <row r="46" spans="1:9" ht="15.75" x14ac:dyDescent="0.25">
      <c r="A46" s="177"/>
      <c r="B46" s="165">
        <f>DATE(24,1,1)</f>
        <v>8767</v>
      </c>
      <c r="C46" s="226">
        <v>206093808.71000001</v>
      </c>
      <c r="D46" s="226">
        <v>15246319.380000001</v>
      </c>
      <c r="E46" s="226">
        <v>15916443.26</v>
      </c>
      <c r="F46" s="166">
        <f>(+D46-E46)/E46</f>
        <v>-4.2102614827528931E-2</v>
      </c>
      <c r="G46" s="241">
        <f>D46/C46</f>
        <v>7.3977571065482597E-2</v>
      </c>
      <c r="H46" s="242">
        <f t="shared" si="11"/>
        <v>0.92602242893451736</v>
      </c>
      <c r="I46" s="157"/>
    </row>
    <row r="47" spans="1:9" ht="15.75" thickBot="1" x14ac:dyDescent="0.25">
      <c r="A47" s="167"/>
      <c r="B47" s="168"/>
      <c r="C47" s="226"/>
      <c r="D47" s="226"/>
      <c r="E47" s="226"/>
      <c r="F47" s="166"/>
      <c r="G47" s="241"/>
      <c r="H47" s="242"/>
      <c r="I47" s="157"/>
    </row>
    <row r="48" spans="1:9" ht="17.25" thickTop="1" thickBot="1" x14ac:dyDescent="0.3">
      <c r="A48" s="174" t="s">
        <v>14</v>
      </c>
      <c r="B48" s="178"/>
      <c r="C48" s="228">
        <f>SUM(C40:C47)</f>
        <v>1356016422.3600001</v>
      </c>
      <c r="D48" s="228">
        <f>SUM(D40:D47)</f>
        <v>119461697.17999999</v>
      </c>
      <c r="E48" s="228">
        <f>SUM(E40:E47)</f>
        <v>116176050.27000001</v>
      </c>
      <c r="F48" s="176">
        <f>(+D48-E48)/E48</f>
        <v>2.8281620027225438E-2</v>
      </c>
      <c r="G48" s="245">
        <f>D48/C48</f>
        <v>8.8097529801364649E-2</v>
      </c>
      <c r="H48" s="246">
        <f>1-G48</f>
        <v>0.91190247019863535</v>
      </c>
      <c r="I48" s="157"/>
    </row>
    <row r="49" spans="1:9" ht="15.75" thickTop="1" x14ac:dyDescent="0.2">
      <c r="A49" s="167"/>
      <c r="B49" s="168"/>
      <c r="C49" s="226"/>
      <c r="D49" s="226"/>
      <c r="E49" s="226"/>
      <c r="F49" s="166"/>
      <c r="G49" s="241"/>
      <c r="H49" s="242"/>
      <c r="I49" s="157"/>
    </row>
    <row r="50" spans="1:9" ht="15.75" x14ac:dyDescent="0.25">
      <c r="A50" s="164" t="s">
        <v>60</v>
      </c>
      <c r="B50" s="165">
        <f>DATE(23,7,1)</f>
        <v>8583</v>
      </c>
      <c r="C50" s="226">
        <v>121881486.05</v>
      </c>
      <c r="D50" s="226">
        <v>12067335.59</v>
      </c>
      <c r="E50" s="226">
        <v>11877741.560000001</v>
      </c>
      <c r="F50" s="166">
        <f t="shared" ref="F50:F55" si="12">(+D50-E50)/E50</f>
        <v>1.5962127904725964E-2</v>
      </c>
      <c r="G50" s="241">
        <f t="shared" ref="G50:G55" si="13">D50/C50</f>
        <v>9.9008766475406795E-2</v>
      </c>
      <c r="H50" s="242">
        <f t="shared" ref="H50:H56" si="14">1-G50</f>
        <v>0.9009912335245932</v>
      </c>
      <c r="I50" s="157"/>
    </row>
    <row r="51" spans="1:9" ht="15.75" x14ac:dyDescent="0.25">
      <c r="A51" s="164"/>
      <c r="B51" s="165">
        <f>DATE(23,8,1)</f>
        <v>8614</v>
      </c>
      <c r="C51" s="226">
        <v>115554383.93000001</v>
      </c>
      <c r="D51" s="226">
        <v>10973674.99</v>
      </c>
      <c r="E51" s="226">
        <v>11399779.33</v>
      </c>
      <c r="F51" s="166">
        <f t="shared" si="12"/>
        <v>-3.7378297216565493E-2</v>
      </c>
      <c r="G51" s="241">
        <f t="shared" si="13"/>
        <v>9.4965457966939462E-2</v>
      </c>
      <c r="H51" s="242">
        <f t="shared" si="14"/>
        <v>0.90503454203306055</v>
      </c>
      <c r="I51" s="157"/>
    </row>
    <row r="52" spans="1:9" ht="15.75" x14ac:dyDescent="0.25">
      <c r="A52" s="164"/>
      <c r="B52" s="165">
        <f>DATE(23,9,1)</f>
        <v>8645</v>
      </c>
      <c r="C52" s="226">
        <v>112575369.23999999</v>
      </c>
      <c r="D52" s="226">
        <v>10801103.67</v>
      </c>
      <c r="E52" s="226">
        <v>10069352.810000001</v>
      </c>
      <c r="F52" s="166">
        <f t="shared" si="12"/>
        <v>7.2671091559458362E-2</v>
      </c>
      <c r="G52" s="241">
        <f t="shared" si="13"/>
        <v>9.5945531806101145E-2</v>
      </c>
      <c r="H52" s="242">
        <f t="shared" si="14"/>
        <v>0.9040544681938989</v>
      </c>
      <c r="I52" s="157"/>
    </row>
    <row r="53" spans="1:9" ht="15.75" x14ac:dyDescent="0.25">
      <c r="A53" s="164"/>
      <c r="B53" s="165">
        <f>DATE(23,10,1)</f>
        <v>8675</v>
      </c>
      <c r="C53" s="226">
        <v>105123042.13</v>
      </c>
      <c r="D53" s="226">
        <v>10564246.92</v>
      </c>
      <c r="E53" s="226">
        <v>10695374.6</v>
      </c>
      <c r="F53" s="166">
        <f t="shared" si="12"/>
        <v>-1.2260223218362048E-2</v>
      </c>
      <c r="G53" s="241">
        <f t="shared" si="13"/>
        <v>0.10049411343077158</v>
      </c>
      <c r="H53" s="242">
        <f t="shared" si="14"/>
        <v>0.89950588656922847</v>
      </c>
      <c r="I53" s="157"/>
    </row>
    <row r="54" spans="1:9" ht="15.75" x14ac:dyDescent="0.25">
      <c r="A54" s="164"/>
      <c r="B54" s="165">
        <f>DATE(23,11,1)</f>
        <v>8706</v>
      </c>
      <c r="C54" s="226">
        <v>100178994.58</v>
      </c>
      <c r="D54" s="226">
        <v>9910289.5700000003</v>
      </c>
      <c r="E54" s="226">
        <v>10611649.119999999</v>
      </c>
      <c r="F54" s="166">
        <f t="shared" si="12"/>
        <v>-6.6093360425773198E-2</v>
      </c>
      <c r="G54" s="241">
        <f t="shared" si="13"/>
        <v>9.8925823837111224E-2</v>
      </c>
      <c r="H54" s="242">
        <f t="shared" si="14"/>
        <v>0.90107417616288876</v>
      </c>
      <c r="I54" s="157"/>
    </row>
    <row r="55" spans="1:9" ht="15.75" x14ac:dyDescent="0.25">
      <c r="A55" s="164"/>
      <c r="B55" s="165">
        <f>DATE(23,12,1)</f>
        <v>8736</v>
      </c>
      <c r="C55" s="226">
        <v>122205739.61</v>
      </c>
      <c r="D55" s="226">
        <v>11817185.1</v>
      </c>
      <c r="E55" s="226">
        <v>11067872.5</v>
      </c>
      <c r="F55" s="166">
        <f t="shared" si="12"/>
        <v>6.7701593056840842E-2</v>
      </c>
      <c r="G55" s="241">
        <f t="shared" si="13"/>
        <v>9.6699100530896906E-2</v>
      </c>
      <c r="H55" s="242">
        <f t="shared" si="14"/>
        <v>0.90330089946910308</v>
      </c>
      <c r="I55" s="157"/>
    </row>
    <row r="56" spans="1:9" ht="15.75" x14ac:dyDescent="0.25">
      <c r="A56" s="164"/>
      <c r="B56" s="165">
        <f>DATE(24,1,1)</f>
        <v>8767</v>
      </c>
      <c r="C56" s="226">
        <v>90178722.310000002</v>
      </c>
      <c r="D56" s="226">
        <v>8636364.1500000004</v>
      </c>
      <c r="E56" s="226">
        <v>10685663.300000001</v>
      </c>
      <c r="F56" s="166">
        <f>(+D56-E56)/E56</f>
        <v>-0.1917802472776772</v>
      </c>
      <c r="G56" s="241">
        <f>D56/C56</f>
        <v>9.576942241775703E-2</v>
      </c>
      <c r="H56" s="242">
        <f t="shared" si="14"/>
        <v>0.90423057758224301</v>
      </c>
      <c r="I56" s="157"/>
    </row>
    <row r="57" spans="1:9" ht="15.75" thickBot="1" x14ac:dyDescent="0.25">
      <c r="A57" s="167"/>
      <c r="B57" s="165"/>
      <c r="C57" s="226"/>
      <c r="D57" s="226"/>
      <c r="E57" s="226"/>
      <c r="F57" s="166"/>
      <c r="G57" s="241"/>
      <c r="H57" s="242"/>
      <c r="I57" s="157"/>
    </row>
    <row r="58" spans="1:9" ht="17.25" thickTop="1" thickBot="1" x14ac:dyDescent="0.3">
      <c r="A58" s="174" t="s">
        <v>14</v>
      </c>
      <c r="B58" s="175"/>
      <c r="C58" s="228">
        <f>SUM(C50:C57)</f>
        <v>767697737.85000014</v>
      </c>
      <c r="D58" s="230">
        <f>SUM(D50:D57)</f>
        <v>74770199.99000001</v>
      </c>
      <c r="E58" s="271">
        <f>SUM(E50:E57)</f>
        <v>76407433.219999999</v>
      </c>
      <c r="F58" s="272">
        <f>(+D58-E58)/E58</f>
        <v>-2.1427669547358068E-2</v>
      </c>
      <c r="G58" s="249">
        <f>D58/C58</f>
        <v>9.7395363179524311E-2</v>
      </c>
      <c r="H58" s="270">
        <f>1-G58</f>
        <v>0.90260463682047565</v>
      </c>
      <c r="I58" s="157"/>
    </row>
    <row r="59" spans="1:9" ht="15.75" thickTop="1" x14ac:dyDescent="0.2">
      <c r="A59" s="167"/>
      <c r="B59" s="168"/>
      <c r="C59" s="226"/>
      <c r="D59" s="226"/>
      <c r="E59" s="226"/>
      <c r="F59" s="166"/>
      <c r="G59" s="241"/>
      <c r="H59" s="242"/>
      <c r="I59" s="157"/>
    </row>
    <row r="60" spans="1:9" ht="15.75" x14ac:dyDescent="0.25">
      <c r="A60" s="164" t="s">
        <v>64</v>
      </c>
      <c r="B60" s="165">
        <f>DATE(23,7,1)</f>
        <v>8583</v>
      </c>
      <c r="C60" s="226">
        <v>53239780.990000002</v>
      </c>
      <c r="D60" s="226">
        <v>5575819.8300000001</v>
      </c>
      <c r="E60" s="226">
        <v>5559220.0999999996</v>
      </c>
      <c r="F60" s="166">
        <f t="shared" ref="F60:F65" si="15">(+D60-E60)/E60</f>
        <v>2.9859817926619686E-3</v>
      </c>
      <c r="G60" s="241">
        <f t="shared" ref="G60:G65" si="16">D60/C60</f>
        <v>0.10473032995848167</v>
      </c>
      <c r="H60" s="242">
        <f t="shared" ref="H60:H66" si="17">1-G60</f>
        <v>0.89526967004151836</v>
      </c>
      <c r="I60" s="157"/>
    </row>
    <row r="61" spans="1:9" ht="15.75" x14ac:dyDescent="0.25">
      <c r="A61" s="164"/>
      <c r="B61" s="165">
        <f>DATE(23,8,1)</f>
        <v>8614</v>
      </c>
      <c r="C61" s="226">
        <v>49967048.579999998</v>
      </c>
      <c r="D61" s="226">
        <v>5122977.68</v>
      </c>
      <c r="E61" s="226">
        <v>4834999.09</v>
      </c>
      <c r="F61" s="166">
        <f t="shared" si="15"/>
        <v>5.9561250093223876E-2</v>
      </c>
      <c r="G61" s="241">
        <f t="shared" si="16"/>
        <v>0.10252712188509254</v>
      </c>
      <c r="H61" s="242">
        <f t="shared" si="17"/>
        <v>0.8974728781149075</v>
      </c>
      <c r="I61" s="157"/>
    </row>
    <row r="62" spans="1:9" ht="15.75" x14ac:dyDescent="0.25">
      <c r="A62" s="164"/>
      <c r="B62" s="165">
        <f>DATE(23,9,1)</f>
        <v>8645</v>
      </c>
      <c r="C62" s="226">
        <v>48479872.609999999</v>
      </c>
      <c r="D62" s="226">
        <v>4693957.13</v>
      </c>
      <c r="E62" s="226">
        <v>4841899.8</v>
      </c>
      <c r="F62" s="166">
        <f t="shared" si="15"/>
        <v>-3.0554674014526266E-2</v>
      </c>
      <c r="G62" s="241">
        <f t="shared" si="16"/>
        <v>9.6822802480544715E-2</v>
      </c>
      <c r="H62" s="242">
        <f t="shared" si="17"/>
        <v>0.90317719751945524</v>
      </c>
      <c r="I62" s="157"/>
    </row>
    <row r="63" spans="1:9" ht="15.75" x14ac:dyDescent="0.25">
      <c r="A63" s="164"/>
      <c r="B63" s="165">
        <f>DATE(23,10,1)</f>
        <v>8675</v>
      </c>
      <c r="C63" s="226">
        <v>45241468.390000001</v>
      </c>
      <c r="D63" s="226">
        <v>4687600.6900000004</v>
      </c>
      <c r="E63" s="226">
        <v>4853868.22</v>
      </c>
      <c r="F63" s="166">
        <f t="shared" si="15"/>
        <v>-3.4254644432847689E-2</v>
      </c>
      <c r="G63" s="241">
        <f t="shared" si="16"/>
        <v>0.10361292099520204</v>
      </c>
      <c r="H63" s="242">
        <f t="shared" si="17"/>
        <v>0.89638707900479797</v>
      </c>
      <c r="I63" s="157"/>
    </row>
    <row r="64" spans="1:9" ht="15.75" x14ac:dyDescent="0.25">
      <c r="A64" s="164"/>
      <c r="B64" s="165">
        <f>DATE(23,11,1)</f>
        <v>8706</v>
      </c>
      <c r="C64" s="226">
        <v>44523750.759999998</v>
      </c>
      <c r="D64" s="226">
        <v>4597031.58</v>
      </c>
      <c r="E64" s="226">
        <v>4436643.53</v>
      </c>
      <c r="F64" s="166">
        <f t="shared" si="15"/>
        <v>3.6150763277571642E-2</v>
      </c>
      <c r="G64" s="241">
        <f t="shared" si="16"/>
        <v>0.10324897389664572</v>
      </c>
      <c r="H64" s="242">
        <f t="shared" si="17"/>
        <v>0.89675102610335422</v>
      </c>
      <c r="I64" s="157"/>
    </row>
    <row r="65" spans="1:9" ht="15.75" x14ac:dyDescent="0.25">
      <c r="A65" s="164"/>
      <c r="B65" s="165">
        <f>DATE(23,12,1)</f>
        <v>8736</v>
      </c>
      <c r="C65" s="226">
        <v>52832745.200000003</v>
      </c>
      <c r="D65" s="226">
        <v>5308528.92</v>
      </c>
      <c r="E65" s="226">
        <v>4878718.8099999996</v>
      </c>
      <c r="F65" s="166">
        <f t="shared" si="15"/>
        <v>8.809897162324884E-2</v>
      </c>
      <c r="G65" s="241">
        <f t="shared" si="16"/>
        <v>0.10047800658293259</v>
      </c>
      <c r="H65" s="242">
        <f t="shared" si="17"/>
        <v>0.8995219934170674</v>
      </c>
      <c r="I65" s="157"/>
    </row>
    <row r="66" spans="1:9" ht="15.75" x14ac:dyDescent="0.25">
      <c r="A66" s="164"/>
      <c r="B66" s="165">
        <f>DATE(24,1,1)</f>
        <v>8767</v>
      </c>
      <c r="C66" s="226">
        <v>41233936.259999998</v>
      </c>
      <c r="D66" s="226">
        <v>4172035.59</v>
      </c>
      <c r="E66" s="226">
        <v>4734129.4000000004</v>
      </c>
      <c r="F66" s="166">
        <f>(+D66-E66)/E66</f>
        <v>-0.11873224462347828</v>
      </c>
      <c r="G66" s="241">
        <f>D66/C66</f>
        <v>0.10117965851461012</v>
      </c>
      <c r="H66" s="242">
        <f t="shared" si="17"/>
        <v>0.89882034148538992</v>
      </c>
      <c r="I66" s="157"/>
    </row>
    <row r="67" spans="1:9" ht="15.75" thickBot="1" x14ac:dyDescent="0.25">
      <c r="A67" s="167"/>
      <c r="B67" s="165"/>
      <c r="C67" s="226"/>
      <c r="D67" s="226"/>
      <c r="E67" s="226"/>
      <c r="F67" s="166"/>
      <c r="G67" s="241"/>
      <c r="H67" s="242"/>
      <c r="I67" s="157"/>
    </row>
    <row r="68" spans="1:9" ht="17.25" thickTop="1" thickBot="1" x14ac:dyDescent="0.3">
      <c r="A68" s="174" t="s">
        <v>14</v>
      </c>
      <c r="B68" s="175"/>
      <c r="C68" s="228">
        <f>SUM(C60:C67)</f>
        <v>335518602.78999996</v>
      </c>
      <c r="D68" s="230">
        <f>SUM(D60:D67)</f>
        <v>34157951.420000002</v>
      </c>
      <c r="E68" s="271">
        <f>SUM(E60:E67)</f>
        <v>34139478.949999996</v>
      </c>
      <c r="F68" s="272">
        <f>(+D68-E68)/E68</f>
        <v>5.4108822302357553E-4</v>
      </c>
      <c r="G68" s="249">
        <f>D68/C68</f>
        <v>0.10180643080878396</v>
      </c>
      <c r="H68" s="270">
        <f>1-G68</f>
        <v>0.89819356919121607</v>
      </c>
      <c r="I68" s="157"/>
    </row>
    <row r="69" spans="1:9" ht="15.75" thickTop="1" x14ac:dyDescent="0.2">
      <c r="A69" s="167"/>
      <c r="B69" s="168"/>
      <c r="C69" s="226"/>
      <c r="D69" s="226"/>
      <c r="E69" s="226"/>
      <c r="F69" s="166"/>
      <c r="G69" s="241"/>
      <c r="H69" s="242"/>
      <c r="I69" s="157"/>
    </row>
    <row r="70" spans="1:9" ht="15.75" x14ac:dyDescent="0.25">
      <c r="A70" s="290" t="s">
        <v>67</v>
      </c>
      <c r="B70" s="165">
        <f>DATE(23,7,1)</f>
        <v>8583</v>
      </c>
      <c r="C70" s="226">
        <v>89298695.370000005</v>
      </c>
      <c r="D70" s="226">
        <v>9977929.8800000008</v>
      </c>
      <c r="E70" s="226">
        <v>9654928.8200000003</v>
      </c>
      <c r="F70" s="166">
        <f t="shared" ref="F70:F75" si="18">(+D70-E70)/E70</f>
        <v>3.3454525250451353E-2</v>
      </c>
      <c r="G70" s="241">
        <f t="shared" ref="G70:G75" si="19">D70/C70</f>
        <v>0.11173656948354586</v>
      </c>
      <c r="H70" s="242">
        <f t="shared" ref="H70:H76" si="20">1-G70</f>
        <v>0.88826343051645418</v>
      </c>
      <c r="I70" s="157"/>
    </row>
    <row r="71" spans="1:9" ht="15.75" x14ac:dyDescent="0.25">
      <c r="A71" s="290"/>
      <c r="B71" s="165">
        <f>DATE(23,8,1)</f>
        <v>8614</v>
      </c>
      <c r="C71" s="226">
        <v>89627706.310000002</v>
      </c>
      <c r="D71" s="226">
        <v>9956028.8800000008</v>
      </c>
      <c r="E71" s="226">
        <v>9270730.9700000007</v>
      </c>
      <c r="F71" s="166">
        <f t="shared" si="18"/>
        <v>7.3920590751432425E-2</v>
      </c>
      <c r="G71" s="241">
        <f t="shared" si="19"/>
        <v>0.11108204471466186</v>
      </c>
      <c r="H71" s="242">
        <f t="shared" si="20"/>
        <v>0.88891795528533812</v>
      </c>
      <c r="I71" s="157"/>
    </row>
    <row r="72" spans="1:9" ht="15.75" x14ac:dyDescent="0.25">
      <c r="A72" s="290"/>
      <c r="B72" s="165">
        <f>DATE(23,9,1)</f>
        <v>8645</v>
      </c>
      <c r="C72" s="226">
        <v>95507709.879999995</v>
      </c>
      <c r="D72" s="226">
        <v>10479555.779999999</v>
      </c>
      <c r="E72" s="226">
        <v>9440089.3000000007</v>
      </c>
      <c r="F72" s="166">
        <f t="shared" si="18"/>
        <v>0.11011193294537992</v>
      </c>
      <c r="G72" s="241">
        <f t="shared" si="19"/>
        <v>0.10972471011153932</v>
      </c>
      <c r="H72" s="242">
        <f t="shared" si="20"/>
        <v>0.89027528988846072</v>
      </c>
      <c r="I72" s="157"/>
    </row>
    <row r="73" spans="1:9" ht="15.75" x14ac:dyDescent="0.25">
      <c r="A73" s="290"/>
      <c r="B73" s="165">
        <f>DATE(23,10,1)</f>
        <v>8675</v>
      </c>
      <c r="C73" s="226">
        <v>94703586.390000001</v>
      </c>
      <c r="D73" s="226">
        <v>10708668.119999999</v>
      </c>
      <c r="E73" s="226">
        <v>9283650.1199999992</v>
      </c>
      <c r="F73" s="166">
        <f t="shared" si="18"/>
        <v>0.15349759863634327</v>
      </c>
      <c r="G73" s="241">
        <f t="shared" si="19"/>
        <v>0.1130756344949863</v>
      </c>
      <c r="H73" s="242">
        <f t="shared" si="20"/>
        <v>0.88692436550501375</v>
      </c>
      <c r="I73" s="157"/>
    </row>
    <row r="74" spans="1:9" ht="15.75" x14ac:dyDescent="0.25">
      <c r="A74" s="290"/>
      <c r="B74" s="165">
        <f>DATE(23,11,1)</f>
        <v>8706</v>
      </c>
      <c r="C74" s="226">
        <v>94033257.400000006</v>
      </c>
      <c r="D74" s="226">
        <v>10522780.289999999</v>
      </c>
      <c r="E74" s="226">
        <v>9336104.8499999996</v>
      </c>
      <c r="F74" s="166">
        <f t="shared" si="18"/>
        <v>0.12710605322732632</v>
      </c>
      <c r="G74" s="241">
        <f t="shared" si="19"/>
        <v>0.11190487898593204</v>
      </c>
      <c r="H74" s="242">
        <f t="shared" si="20"/>
        <v>0.88809512101406796</v>
      </c>
      <c r="I74" s="157"/>
    </row>
    <row r="75" spans="1:9" ht="15.75" x14ac:dyDescent="0.25">
      <c r="A75" s="290"/>
      <c r="B75" s="165">
        <f>DATE(23,12,1)</f>
        <v>8736</v>
      </c>
      <c r="C75" s="226">
        <v>96743255.180000007</v>
      </c>
      <c r="D75" s="226">
        <v>10765230.130000001</v>
      </c>
      <c r="E75" s="226">
        <v>9794618.4299999997</v>
      </c>
      <c r="F75" s="166">
        <f t="shared" si="18"/>
        <v>9.9096427996327896E-2</v>
      </c>
      <c r="G75" s="241">
        <f t="shared" si="19"/>
        <v>0.11127628597952662</v>
      </c>
      <c r="H75" s="242">
        <f t="shared" si="20"/>
        <v>0.88872371402047334</v>
      </c>
      <c r="I75" s="157"/>
    </row>
    <row r="76" spans="1:9" ht="15.75" x14ac:dyDescent="0.25">
      <c r="A76" s="290"/>
      <c r="B76" s="165">
        <f>DATE(24,1,1)</f>
        <v>8767</v>
      </c>
      <c r="C76" s="226">
        <v>76940806.450000003</v>
      </c>
      <c r="D76" s="226">
        <v>8504931.5700000003</v>
      </c>
      <c r="E76" s="226">
        <v>9804638.4499999993</v>
      </c>
      <c r="F76" s="166">
        <f>(+D76-E76)/E76</f>
        <v>-0.13256040869105165</v>
      </c>
      <c r="G76" s="241">
        <f>D76/C76</f>
        <v>0.11053863304028314</v>
      </c>
      <c r="H76" s="242">
        <f t="shared" si="20"/>
        <v>0.88946136695971689</v>
      </c>
      <c r="I76" s="157"/>
    </row>
    <row r="77" spans="1:9" ht="15.75" thickBot="1" x14ac:dyDescent="0.25">
      <c r="A77" s="167"/>
      <c r="B77" s="165"/>
      <c r="C77" s="226"/>
      <c r="D77" s="226"/>
      <c r="E77" s="226"/>
      <c r="F77" s="166"/>
      <c r="G77" s="241"/>
      <c r="H77" s="242"/>
      <c r="I77" s="157"/>
    </row>
    <row r="78" spans="1:9" ht="17.25" thickTop="1" thickBot="1" x14ac:dyDescent="0.3">
      <c r="A78" s="174" t="s">
        <v>14</v>
      </c>
      <c r="B78" s="175"/>
      <c r="C78" s="228">
        <f>SUM(C70:C77)</f>
        <v>636855016.98000002</v>
      </c>
      <c r="D78" s="230">
        <f>SUM(D70:D77)</f>
        <v>70915124.650000006</v>
      </c>
      <c r="E78" s="271">
        <f>SUM(E70:E77)</f>
        <v>66584760.939999998</v>
      </c>
      <c r="F78" s="272">
        <f>(+D78-E78)/E78</f>
        <v>6.5035357172824118E-2</v>
      </c>
      <c r="G78" s="249">
        <f>D78/C78</f>
        <v>0.11135207034449263</v>
      </c>
      <c r="H78" s="270">
        <f>1-G78</f>
        <v>0.88864792965550743</v>
      </c>
      <c r="I78" s="157"/>
    </row>
    <row r="79" spans="1:9" ht="15.75" thickTop="1" x14ac:dyDescent="0.2">
      <c r="A79" s="167"/>
      <c r="B79" s="168"/>
      <c r="C79" s="226"/>
      <c r="D79" s="226"/>
      <c r="E79" s="226"/>
      <c r="F79" s="166"/>
      <c r="G79" s="241"/>
      <c r="H79" s="242"/>
      <c r="I79" s="157"/>
    </row>
    <row r="80" spans="1:9" ht="15.75" x14ac:dyDescent="0.25">
      <c r="A80" s="164" t="s">
        <v>69</v>
      </c>
      <c r="B80" s="165">
        <f>DATE(23,7,1)</f>
        <v>8583</v>
      </c>
      <c r="C80" s="226">
        <v>121213119.26000001</v>
      </c>
      <c r="D80" s="226">
        <v>12329543.52</v>
      </c>
      <c r="E80" s="226">
        <v>11762621.74</v>
      </c>
      <c r="F80" s="166">
        <f t="shared" ref="F80:F85" si="21">(+D80-E80)/E80</f>
        <v>4.8196889480184822E-2</v>
      </c>
      <c r="G80" s="241">
        <f t="shared" ref="G80:G85" si="22">D80/C80</f>
        <v>0.10171789650552054</v>
      </c>
      <c r="H80" s="242">
        <f t="shared" ref="H80:H86" si="23">1-G80</f>
        <v>0.89828210349447946</v>
      </c>
      <c r="I80" s="157"/>
    </row>
    <row r="81" spans="1:9" ht="15.75" x14ac:dyDescent="0.25">
      <c r="A81" s="164"/>
      <c r="B81" s="165">
        <f>DATE(23,8,1)</f>
        <v>8614</v>
      </c>
      <c r="C81" s="226">
        <v>112407031.68000001</v>
      </c>
      <c r="D81" s="226">
        <v>11665095.210000001</v>
      </c>
      <c r="E81" s="226">
        <v>12540537.029999999</v>
      </c>
      <c r="F81" s="166">
        <f t="shared" si="21"/>
        <v>-6.9808957774753169E-2</v>
      </c>
      <c r="G81" s="241">
        <f t="shared" si="22"/>
        <v>0.10377549371829477</v>
      </c>
      <c r="H81" s="242">
        <f t="shared" si="23"/>
        <v>0.89622450628170525</v>
      </c>
      <c r="I81" s="157"/>
    </row>
    <row r="82" spans="1:9" ht="15.75" x14ac:dyDescent="0.25">
      <c r="A82" s="164"/>
      <c r="B82" s="165">
        <f>DATE(23,9,1)</f>
        <v>8645</v>
      </c>
      <c r="C82" s="226">
        <v>114671749.77</v>
      </c>
      <c r="D82" s="226">
        <v>12009719.560000001</v>
      </c>
      <c r="E82" s="226">
        <v>12203478.51</v>
      </c>
      <c r="F82" s="166">
        <f t="shared" si="21"/>
        <v>-1.58773541364641E-2</v>
      </c>
      <c r="G82" s="241">
        <f t="shared" si="22"/>
        <v>0.10473128372147626</v>
      </c>
      <c r="H82" s="242">
        <f t="shared" si="23"/>
        <v>0.89526871627852378</v>
      </c>
      <c r="I82" s="157"/>
    </row>
    <row r="83" spans="1:9" ht="15.75" x14ac:dyDescent="0.25">
      <c r="A83" s="164"/>
      <c r="B83" s="165">
        <f>DATE(23,10,1)</f>
        <v>8675</v>
      </c>
      <c r="C83" s="226">
        <v>104976582.06999999</v>
      </c>
      <c r="D83" s="226">
        <v>10536048.18</v>
      </c>
      <c r="E83" s="226">
        <v>11570843.18</v>
      </c>
      <c r="F83" s="166">
        <f t="shared" si="21"/>
        <v>-8.9431252666929667E-2</v>
      </c>
      <c r="G83" s="241">
        <f t="shared" si="22"/>
        <v>0.10036570035185945</v>
      </c>
      <c r="H83" s="242">
        <f t="shared" si="23"/>
        <v>0.89963429964814057</v>
      </c>
      <c r="I83" s="157"/>
    </row>
    <row r="84" spans="1:9" ht="15.75" x14ac:dyDescent="0.25">
      <c r="A84" s="164"/>
      <c r="B84" s="165">
        <f>DATE(23,11,1)</f>
        <v>8706</v>
      </c>
      <c r="C84" s="226">
        <v>104619738.67</v>
      </c>
      <c r="D84" s="226">
        <v>10666938.560000001</v>
      </c>
      <c r="E84" s="226">
        <v>10635557.710000001</v>
      </c>
      <c r="F84" s="166">
        <f t="shared" si="21"/>
        <v>2.9505598912310943E-3</v>
      </c>
      <c r="G84" s="241">
        <f t="shared" si="22"/>
        <v>0.10195913979145481</v>
      </c>
      <c r="H84" s="242">
        <f t="shared" si="23"/>
        <v>0.89804086020854523</v>
      </c>
      <c r="I84" s="157"/>
    </row>
    <row r="85" spans="1:9" ht="15.75" x14ac:dyDescent="0.25">
      <c r="A85" s="164"/>
      <c r="B85" s="165">
        <f>DATE(23,12,1)</f>
        <v>8736</v>
      </c>
      <c r="C85" s="226">
        <v>121790851.01000001</v>
      </c>
      <c r="D85" s="226">
        <v>12581806.52</v>
      </c>
      <c r="E85" s="226">
        <v>11765807.74</v>
      </c>
      <c r="F85" s="166">
        <f t="shared" si="21"/>
        <v>6.9353400806122581E-2</v>
      </c>
      <c r="G85" s="241">
        <f t="shared" si="22"/>
        <v>0.10330666397073564</v>
      </c>
      <c r="H85" s="242">
        <f t="shared" si="23"/>
        <v>0.89669333602926438</v>
      </c>
      <c r="I85" s="157"/>
    </row>
    <row r="86" spans="1:9" ht="15.75" x14ac:dyDescent="0.25">
      <c r="A86" s="164"/>
      <c r="B86" s="165">
        <f>DATE(24,1,1)</f>
        <v>8767</v>
      </c>
      <c r="C86" s="226">
        <v>99986536.260000005</v>
      </c>
      <c r="D86" s="226">
        <v>9437829.5099999998</v>
      </c>
      <c r="E86" s="226">
        <v>10527686.77</v>
      </c>
      <c r="F86" s="166">
        <f>(+D86-E86)/E86</f>
        <v>-0.10352295654404238</v>
      </c>
      <c r="G86" s="241">
        <f>D86/C86</f>
        <v>9.4391003659316075E-2</v>
      </c>
      <c r="H86" s="242">
        <f t="shared" si="23"/>
        <v>0.90560899634068392</v>
      </c>
      <c r="I86" s="157"/>
    </row>
    <row r="87" spans="1:9" ht="15.75" thickBot="1" x14ac:dyDescent="0.25">
      <c r="A87" s="167"/>
      <c r="B87" s="165"/>
      <c r="C87" s="226"/>
      <c r="D87" s="226"/>
      <c r="E87" s="226"/>
      <c r="F87" s="166"/>
      <c r="G87" s="241"/>
      <c r="H87" s="242"/>
      <c r="I87" s="157"/>
    </row>
    <row r="88" spans="1:9" ht="17.25" thickTop="1" thickBot="1" x14ac:dyDescent="0.3">
      <c r="A88" s="174" t="s">
        <v>14</v>
      </c>
      <c r="B88" s="175"/>
      <c r="C88" s="228">
        <f>SUM(C80:C87)</f>
        <v>779665608.71999991</v>
      </c>
      <c r="D88" s="230">
        <f>SUM(D80:D87)</f>
        <v>79226981.060000002</v>
      </c>
      <c r="E88" s="271">
        <f>SUM(E80:E87)</f>
        <v>81006532.679999992</v>
      </c>
      <c r="F88" s="176">
        <f>(+D88-E88)/E88</f>
        <v>-2.1968001358973734E-2</v>
      </c>
      <c r="G88" s="249">
        <f>D88/C88</f>
        <v>0.1016166163723308</v>
      </c>
      <c r="H88" s="270">
        <f>1-G88</f>
        <v>0.89838338362766923</v>
      </c>
      <c r="I88" s="157"/>
    </row>
    <row r="89" spans="1:9" ht="15.75" thickTop="1" x14ac:dyDescent="0.2">
      <c r="A89" s="167"/>
      <c r="B89" s="179"/>
      <c r="C89" s="229"/>
      <c r="D89" s="229"/>
      <c r="E89" s="229"/>
      <c r="F89" s="180"/>
      <c r="G89" s="247"/>
      <c r="H89" s="248"/>
      <c r="I89" s="157"/>
    </row>
    <row r="90" spans="1:9" ht="15.75" x14ac:dyDescent="0.25">
      <c r="A90" s="164" t="s">
        <v>16</v>
      </c>
      <c r="B90" s="165">
        <f>DATE(23,7,1)</f>
        <v>8583</v>
      </c>
      <c r="C90" s="226">
        <v>160295640.59</v>
      </c>
      <c r="D90" s="226">
        <v>15534932.51</v>
      </c>
      <c r="E90" s="226">
        <v>15914314.48</v>
      </c>
      <c r="F90" s="166">
        <f t="shared" ref="F90:F95" si="24">(+D90-E90)/E90</f>
        <v>-2.383903940548501E-2</v>
      </c>
      <c r="G90" s="241">
        <f t="shared" ref="G90:G95" si="25">D90/C90</f>
        <v>9.691425451634611E-2</v>
      </c>
      <c r="H90" s="242">
        <f t="shared" ref="H90:H96" si="26">1-G90</f>
        <v>0.90308574548365383</v>
      </c>
      <c r="I90" s="157"/>
    </row>
    <row r="91" spans="1:9" ht="15.75" x14ac:dyDescent="0.25">
      <c r="A91" s="164"/>
      <c r="B91" s="165">
        <f>DATE(23,8,1)</f>
        <v>8614</v>
      </c>
      <c r="C91" s="226">
        <v>149700012.46000001</v>
      </c>
      <c r="D91" s="226">
        <v>14573354.48</v>
      </c>
      <c r="E91" s="226">
        <v>14340389.18</v>
      </c>
      <c r="F91" s="166">
        <f t="shared" si="24"/>
        <v>1.6245395928648064E-2</v>
      </c>
      <c r="G91" s="241">
        <f t="shared" si="25"/>
        <v>9.7350389225211428E-2</v>
      </c>
      <c r="H91" s="242">
        <f t="shared" si="26"/>
        <v>0.90264961077478856</v>
      </c>
      <c r="I91" s="157"/>
    </row>
    <row r="92" spans="1:9" ht="15.75" x14ac:dyDescent="0.25">
      <c r="A92" s="164"/>
      <c r="B92" s="165">
        <f>DATE(23,9,1)</f>
        <v>8645</v>
      </c>
      <c r="C92" s="226">
        <v>152315348.52000001</v>
      </c>
      <c r="D92" s="226">
        <v>14733622.32</v>
      </c>
      <c r="E92" s="226">
        <v>15068846.289999999</v>
      </c>
      <c r="F92" s="166">
        <f t="shared" si="24"/>
        <v>-2.2246160293138063E-2</v>
      </c>
      <c r="G92" s="241">
        <f t="shared" si="25"/>
        <v>9.6731041639348508E-2</v>
      </c>
      <c r="H92" s="242">
        <f t="shared" si="26"/>
        <v>0.90326895836065146</v>
      </c>
      <c r="I92" s="157"/>
    </row>
    <row r="93" spans="1:9" ht="15.75" x14ac:dyDescent="0.25">
      <c r="A93" s="164"/>
      <c r="B93" s="165">
        <f>DATE(23,10,1)</f>
        <v>8675</v>
      </c>
      <c r="C93" s="226">
        <v>141638869.83000001</v>
      </c>
      <c r="D93" s="226">
        <v>13951699.710000001</v>
      </c>
      <c r="E93" s="226">
        <v>14552868.960000001</v>
      </c>
      <c r="F93" s="166">
        <f t="shared" si="24"/>
        <v>-4.1309328878887941E-2</v>
      </c>
      <c r="G93" s="241">
        <f t="shared" si="25"/>
        <v>9.8501913540720312E-2</v>
      </c>
      <c r="H93" s="242">
        <f t="shared" si="26"/>
        <v>0.90149808645927965</v>
      </c>
      <c r="I93" s="157"/>
    </row>
    <row r="94" spans="1:9" ht="15.75" x14ac:dyDescent="0.25">
      <c r="A94" s="164"/>
      <c r="B94" s="165">
        <f>DATE(23,11,1)</f>
        <v>8706</v>
      </c>
      <c r="C94" s="226">
        <v>135854742.69</v>
      </c>
      <c r="D94" s="226">
        <v>12735247.210000001</v>
      </c>
      <c r="E94" s="226">
        <v>13319735.5</v>
      </c>
      <c r="F94" s="166">
        <f t="shared" si="24"/>
        <v>-4.3881373620369493E-2</v>
      </c>
      <c r="G94" s="241">
        <f t="shared" si="25"/>
        <v>9.374164609814109E-2</v>
      </c>
      <c r="H94" s="242">
        <f t="shared" si="26"/>
        <v>0.90625835390185894</v>
      </c>
      <c r="I94" s="157"/>
    </row>
    <row r="95" spans="1:9" ht="15.75" x14ac:dyDescent="0.25">
      <c r="A95" s="164"/>
      <c r="B95" s="165">
        <f>DATE(23,12,1)</f>
        <v>8736</v>
      </c>
      <c r="C95" s="226">
        <v>163571833.31</v>
      </c>
      <c r="D95" s="226">
        <v>15817366.869999999</v>
      </c>
      <c r="E95" s="226">
        <v>14436386.73</v>
      </c>
      <c r="F95" s="166">
        <f t="shared" si="24"/>
        <v>9.5659680349945764E-2</v>
      </c>
      <c r="G95" s="241">
        <f t="shared" si="25"/>
        <v>9.6699820194733985E-2</v>
      </c>
      <c r="H95" s="242">
        <f t="shared" si="26"/>
        <v>0.903300179805266</v>
      </c>
      <c r="I95" s="157"/>
    </row>
    <row r="96" spans="1:9" ht="15.75" x14ac:dyDescent="0.25">
      <c r="A96" s="164"/>
      <c r="B96" s="165">
        <f>DATE(24,1,1)</f>
        <v>8767</v>
      </c>
      <c r="C96" s="226">
        <v>125201005.5</v>
      </c>
      <c r="D96" s="226">
        <v>12314089.77</v>
      </c>
      <c r="E96" s="226">
        <v>13555175.18</v>
      </c>
      <c r="F96" s="166">
        <f>(+D96-E96)/E96</f>
        <v>-9.1558050229491775E-2</v>
      </c>
      <c r="G96" s="241">
        <f>D96/C96</f>
        <v>9.835455970040112E-2</v>
      </c>
      <c r="H96" s="242">
        <f t="shared" si="26"/>
        <v>0.90164544029959892</v>
      </c>
      <c r="I96" s="157"/>
    </row>
    <row r="97" spans="1:9" ht="15.75" customHeight="1" thickBot="1" x14ac:dyDescent="0.3">
      <c r="A97" s="164"/>
      <c r="B97" s="165"/>
      <c r="C97" s="226"/>
      <c r="D97" s="226"/>
      <c r="E97" s="226"/>
      <c r="F97" s="166"/>
      <c r="G97" s="241"/>
      <c r="H97" s="242"/>
      <c r="I97" s="157"/>
    </row>
    <row r="98" spans="1:9" ht="17.25" thickTop="1" thickBot="1" x14ac:dyDescent="0.3">
      <c r="A98" s="174" t="s">
        <v>14</v>
      </c>
      <c r="B98" s="181"/>
      <c r="C98" s="228">
        <f>SUM(C90:C97)</f>
        <v>1028577452.9000001</v>
      </c>
      <c r="D98" s="228">
        <f>SUM(D90:D97)</f>
        <v>99660312.870000005</v>
      </c>
      <c r="E98" s="228">
        <f>SUM(E90:E97)</f>
        <v>101187716.31999999</v>
      </c>
      <c r="F98" s="176">
        <f>(+D98-E98)/E98</f>
        <v>-1.5094751670940647E-2</v>
      </c>
      <c r="G98" s="245">
        <f>D98/C98</f>
        <v>9.6891403354229591E-2</v>
      </c>
      <c r="H98" s="246">
        <f>1-G98</f>
        <v>0.90310859664577037</v>
      </c>
      <c r="I98" s="157"/>
    </row>
    <row r="99" spans="1:9" ht="15.75" thickTop="1" x14ac:dyDescent="0.2">
      <c r="A99" s="171"/>
      <c r="B99" s="172"/>
      <c r="C99" s="227"/>
      <c r="D99" s="227"/>
      <c r="E99" s="227"/>
      <c r="F99" s="173"/>
      <c r="G99" s="243"/>
      <c r="H99" s="244"/>
      <c r="I99" s="157"/>
    </row>
    <row r="100" spans="1:9" ht="15.75" x14ac:dyDescent="0.25">
      <c r="A100" s="164" t="s">
        <v>53</v>
      </c>
      <c r="B100" s="165">
        <f>DATE(23,7,1)</f>
        <v>8583</v>
      </c>
      <c r="C100" s="226">
        <v>214046132.72999999</v>
      </c>
      <c r="D100" s="226">
        <v>19538214.289999999</v>
      </c>
      <c r="E100" s="226">
        <v>19656587.449999999</v>
      </c>
      <c r="F100" s="166">
        <f t="shared" ref="F100:F105" si="27">(+D100-E100)/E100</f>
        <v>-6.022060558634767E-3</v>
      </c>
      <c r="G100" s="241">
        <f t="shared" ref="G100:G105" si="28">D100/C100</f>
        <v>9.1280389142305629E-2</v>
      </c>
      <c r="H100" s="242">
        <f t="shared" ref="H100:H106" si="29">1-G100</f>
        <v>0.90871961085769437</v>
      </c>
      <c r="I100" s="157"/>
    </row>
    <row r="101" spans="1:9" ht="15.75" x14ac:dyDescent="0.25">
      <c r="A101" s="164"/>
      <c r="B101" s="165">
        <f>DATE(23,8,1)</f>
        <v>8614</v>
      </c>
      <c r="C101" s="226">
        <v>203623905.31</v>
      </c>
      <c r="D101" s="226">
        <v>18436883.300000001</v>
      </c>
      <c r="E101" s="226">
        <v>17776767.91</v>
      </c>
      <c r="F101" s="166">
        <f t="shared" si="27"/>
        <v>3.7133600063972518E-2</v>
      </c>
      <c r="G101" s="241">
        <f t="shared" si="28"/>
        <v>9.0543805610306019E-2</v>
      </c>
      <c r="H101" s="242">
        <f t="shared" si="29"/>
        <v>0.90945619438969394</v>
      </c>
      <c r="I101" s="157"/>
    </row>
    <row r="102" spans="1:9" ht="15.75" x14ac:dyDescent="0.25">
      <c r="A102" s="164"/>
      <c r="B102" s="165">
        <f>DATE(23,9,1)</f>
        <v>8645</v>
      </c>
      <c r="C102" s="226">
        <v>197195020.69</v>
      </c>
      <c r="D102" s="226">
        <v>17898589.149999999</v>
      </c>
      <c r="E102" s="226">
        <v>17845168.100000001</v>
      </c>
      <c r="F102" s="166">
        <f t="shared" si="27"/>
        <v>2.9935862582318299E-3</v>
      </c>
      <c r="G102" s="241">
        <f t="shared" si="28"/>
        <v>9.0765928507583554E-2</v>
      </c>
      <c r="H102" s="242">
        <f t="shared" si="29"/>
        <v>0.90923407149241642</v>
      </c>
      <c r="I102" s="157"/>
    </row>
    <row r="103" spans="1:9" ht="15.75" x14ac:dyDescent="0.25">
      <c r="A103" s="164"/>
      <c r="B103" s="165">
        <f>DATE(23,10,1)</f>
        <v>8675</v>
      </c>
      <c r="C103" s="226">
        <v>192922839.52000001</v>
      </c>
      <c r="D103" s="226">
        <v>17533849.43</v>
      </c>
      <c r="E103" s="226">
        <v>17788599.370000001</v>
      </c>
      <c r="F103" s="166">
        <f t="shared" si="27"/>
        <v>-1.4320966743993926E-2</v>
      </c>
      <c r="G103" s="241">
        <f t="shared" si="28"/>
        <v>9.0885296285421371E-2</v>
      </c>
      <c r="H103" s="242">
        <f t="shared" si="29"/>
        <v>0.90911470371457859</v>
      </c>
      <c r="I103" s="157"/>
    </row>
    <row r="104" spans="1:9" ht="15.75" x14ac:dyDescent="0.25">
      <c r="A104" s="164"/>
      <c r="B104" s="165">
        <f>DATE(23,11,1)</f>
        <v>8706</v>
      </c>
      <c r="C104" s="226">
        <v>193570145.53</v>
      </c>
      <c r="D104" s="226">
        <v>17317167.579999998</v>
      </c>
      <c r="E104" s="226">
        <v>17618885.149999999</v>
      </c>
      <c r="F104" s="166">
        <f t="shared" si="27"/>
        <v>-1.7124668640001908E-2</v>
      </c>
      <c r="G104" s="241">
        <f t="shared" si="28"/>
        <v>8.9461975309183914E-2</v>
      </c>
      <c r="H104" s="242">
        <f t="shared" si="29"/>
        <v>0.91053802469081613</v>
      </c>
      <c r="I104" s="157"/>
    </row>
    <row r="105" spans="1:9" ht="15.75" x14ac:dyDescent="0.25">
      <c r="A105" s="164"/>
      <c r="B105" s="165">
        <f>DATE(23,12,1)</f>
        <v>8736</v>
      </c>
      <c r="C105" s="226">
        <v>208744378.69</v>
      </c>
      <c r="D105" s="226">
        <v>19257637.91</v>
      </c>
      <c r="E105" s="226">
        <v>18411025.469999999</v>
      </c>
      <c r="F105" s="166">
        <f t="shared" si="27"/>
        <v>4.5983991569590793E-2</v>
      </c>
      <c r="G105" s="241">
        <f t="shared" si="28"/>
        <v>9.225464192546684E-2</v>
      </c>
      <c r="H105" s="242">
        <f t="shared" si="29"/>
        <v>0.90774535807453316</v>
      </c>
      <c r="I105" s="157"/>
    </row>
    <row r="106" spans="1:9" ht="15.75" x14ac:dyDescent="0.25">
      <c r="A106" s="164"/>
      <c r="B106" s="165">
        <f>DATE(24,1,1)</f>
        <v>8767</v>
      </c>
      <c r="C106" s="226">
        <v>179293140.63999999</v>
      </c>
      <c r="D106" s="226">
        <v>16044556.939999999</v>
      </c>
      <c r="E106" s="226">
        <v>17516119.75</v>
      </c>
      <c r="F106" s="166">
        <f>(+D106-E106)/E106</f>
        <v>-8.4011917650882728E-2</v>
      </c>
      <c r="G106" s="241">
        <f>D106/C106</f>
        <v>8.948784589710336E-2</v>
      </c>
      <c r="H106" s="242">
        <f t="shared" si="29"/>
        <v>0.91051215410289665</v>
      </c>
      <c r="I106" s="157"/>
    </row>
    <row r="107" spans="1:9" ht="15.75" thickBot="1" x14ac:dyDescent="0.25">
      <c r="A107" s="167"/>
      <c r="B107" s="168"/>
      <c r="C107" s="226"/>
      <c r="D107" s="226"/>
      <c r="E107" s="226"/>
      <c r="F107" s="166"/>
      <c r="G107" s="241"/>
      <c r="H107" s="242"/>
      <c r="I107" s="157"/>
    </row>
    <row r="108" spans="1:9" ht="17.25" thickTop="1" thickBot="1" x14ac:dyDescent="0.3">
      <c r="A108" s="174" t="s">
        <v>14</v>
      </c>
      <c r="B108" s="175"/>
      <c r="C108" s="228">
        <f>SUM(C100:C107)</f>
        <v>1389395563.1100001</v>
      </c>
      <c r="D108" s="228">
        <f>SUM(D100:D107)</f>
        <v>126026898.59999999</v>
      </c>
      <c r="E108" s="228">
        <f>SUM(E100:E107)</f>
        <v>126613153.19999999</v>
      </c>
      <c r="F108" s="176">
        <f>(+D108-E108)/E108</f>
        <v>-4.6302819666289938E-3</v>
      </c>
      <c r="G108" s="249">
        <f>D108/C108</f>
        <v>9.0706276848835948E-2</v>
      </c>
      <c r="H108" s="270">
        <f>1-G108</f>
        <v>0.90929372315116408</v>
      </c>
      <c r="I108" s="157"/>
    </row>
    <row r="109" spans="1:9" ht="15.75" thickTop="1" x14ac:dyDescent="0.2">
      <c r="A109" s="167"/>
      <c r="B109" s="168"/>
      <c r="C109" s="226"/>
      <c r="D109" s="226"/>
      <c r="E109" s="226"/>
      <c r="F109" s="166"/>
      <c r="G109" s="241"/>
      <c r="H109" s="242"/>
      <c r="I109" s="157"/>
    </row>
    <row r="110" spans="1:9" ht="15.75" x14ac:dyDescent="0.25">
      <c r="A110" s="164" t="s">
        <v>54</v>
      </c>
      <c r="B110" s="165">
        <f>DATE(23,7,1)</f>
        <v>8583</v>
      </c>
      <c r="C110" s="226">
        <v>28158647.050000001</v>
      </c>
      <c r="D110" s="226">
        <v>3124210.48</v>
      </c>
      <c r="E110" s="226">
        <v>3220140.18</v>
      </c>
      <c r="F110" s="166">
        <f t="shared" ref="F110:F115" si="30">(+D110-E110)/E110</f>
        <v>-2.9790535392158046E-2</v>
      </c>
      <c r="G110" s="241">
        <f t="shared" ref="G110:G115" si="31">D110/C110</f>
        <v>0.11095030505025631</v>
      </c>
      <c r="H110" s="242">
        <f t="shared" ref="H110:H116" si="32">1-G110</f>
        <v>0.88904969494974373</v>
      </c>
      <c r="I110" s="157"/>
    </row>
    <row r="111" spans="1:9" ht="15.75" x14ac:dyDescent="0.25">
      <c r="A111" s="164"/>
      <c r="B111" s="165">
        <f>DATE(23,8,1)</f>
        <v>8614</v>
      </c>
      <c r="C111" s="226">
        <v>24636212.309999999</v>
      </c>
      <c r="D111" s="226">
        <v>2824739.23</v>
      </c>
      <c r="E111" s="226">
        <v>2910388.06</v>
      </c>
      <c r="F111" s="166">
        <f t="shared" si="30"/>
        <v>-2.94286632003294E-2</v>
      </c>
      <c r="G111" s="241">
        <f t="shared" si="31"/>
        <v>0.11465801619404863</v>
      </c>
      <c r="H111" s="242">
        <f t="shared" si="32"/>
        <v>0.88534198380595142</v>
      </c>
      <c r="I111" s="157"/>
    </row>
    <row r="112" spans="1:9" ht="15.75" x14ac:dyDescent="0.25">
      <c r="A112" s="164"/>
      <c r="B112" s="165">
        <f>DATE(23,9,1)</f>
        <v>8645</v>
      </c>
      <c r="C112" s="226">
        <v>25252043.170000002</v>
      </c>
      <c r="D112" s="226">
        <v>2831375.91</v>
      </c>
      <c r="E112" s="226">
        <v>3079109.35</v>
      </c>
      <c r="F112" s="166">
        <f t="shared" si="30"/>
        <v>-8.045620075168812E-2</v>
      </c>
      <c r="G112" s="241">
        <f t="shared" si="31"/>
        <v>0.11212462654759511</v>
      </c>
      <c r="H112" s="242">
        <f t="shared" si="32"/>
        <v>0.88787537345240486</v>
      </c>
      <c r="I112" s="157"/>
    </row>
    <row r="113" spans="1:9" ht="15.75" x14ac:dyDescent="0.25">
      <c r="A113" s="164"/>
      <c r="B113" s="165">
        <f>DATE(23,10,1)</f>
        <v>8675</v>
      </c>
      <c r="C113" s="226">
        <v>25583626.219999999</v>
      </c>
      <c r="D113" s="226">
        <v>3046238.53</v>
      </c>
      <c r="E113" s="226">
        <v>3026739.97</v>
      </c>
      <c r="F113" s="166">
        <f t="shared" si="30"/>
        <v>6.4420994843503486E-3</v>
      </c>
      <c r="G113" s="241">
        <f t="shared" si="31"/>
        <v>0.11906984974704653</v>
      </c>
      <c r="H113" s="242">
        <f t="shared" si="32"/>
        <v>0.88093015025295351</v>
      </c>
      <c r="I113" s="157"/>
    </row>
    <row r="114" spans="1:9" ht="15.75" x14ac:dyDescent="0.25">
      <c r="A114" s="164"/>
      <c r="B114" s="165">
        <f>DATE(23,11,1)</f>
        <v>8706</v>
      </c>
      <c r="C114" s="226">
        <v>26619923.899999999</v>
      </c>
      <c r="D114" s="226">
        <v>2721817.54</v>
      </c>
      <c r="E114" s="226">
        <v>2771028.1</v>
      </c>
      <c r="F114" s="166">
        <f t="shared" si="30"/>
        <v>-1.7758953797689766E-2</v>
      </c>
      <c r="G114" s="241">
        <f t="shared" si="31"/>
        <v>0.10224738245776879</v>
      </c>
      <c r="H114" s="242">
        <f t="shared" si="32"/>
        <v>0.89775261754223123</v>
      </c>
      <c r="I114" s="157"/>
    </row>
    <row r="115" spans="1:9" ht="15.75" x14ac:dyDescent="0.25">
      <c r="A115" s="164"/>
      <c r="B115" s="165">
        <f>DATE(23,12,1)</f>
        <v>8736</v>
      </c>
      <c r="C115" s="226">
        <v>28602763.739999998</v>
      </c>
      <c r="D115" s="226">
        <v>3202742.31</v>
      </c>
      <c r="E115" s="226">
        <v>3065877.72</v>
      </c>
      <c r="F115" s="166">
        <f t="shared" si="30"/>
        <v>4.4641242247587046E-2</v>
      </c>
      <c r="G115" s="241">
        <f t="shared" si="31"/>
        <v>0.11197317640746279</v>
      </c>
      <c r="H115" s="242">
        <f t="shared" si="32"/>
        <v>0.88802682359253726</v>
      </c>
      <c r="I115" s="157"/>
    </row>
    <row r="116" spans="1:9" ht="15.75" x14ac:dyDescent="0.25">
      <c r="A116" s="164"/>
      <c r="B116" s="165">
        <f>DATE(24,1,1)</f>
        <v>8767</v>
      </c>
      <c r="C116" s="226">
        <v>19789387.68</v>
      </c>
      <c r="D116" s="226">
        <v>2214416.4300000002</v>
      </c>
      <c r="E116" s="226">
        <v>2868849.61</v>
      </c>
      <c r="F116" s="166">
        <f>(+D116-E116)/E116</f>
        <v>-0.2281169349968121</v>
      </c>
      <c r="G116" s="241">
        <f>D116/C116</f>
        <v>0.11189918888890049</v>
      </c>
      <c r="H116" s="242">
        <f t="shared" si="32"/>
        <v>0.88810081111109951</v>
      </c>
      <c r="I116" s="157"/>
    </row>
    <row r="117" spans="1:9" ht="15.75" thickBot="1" x14ac:dyDescent="0.25">
      <c r="A117" s="167"/>
      <c r="B117" s="168"/>
      <c r="C117" s="226"/>
      <c r="D117" s="226"/>
      <c r="E117" s="226"/>
      <c r="F117" s="166"/>
      <c r="G117" s="241"/>
      <c r="H117" s="242"/>
      <c r="I117" s="157"/>
    </row>
    <row r="118" spans="1:9" ht="17.25" thickTop="1" thickBot="1" x14ac:dyDescent="0.3">
      <c r="A118" s="182" t="s">
        <v>14</v>
      </c>
      <c r="B118" s="183"/>
      <c r="C118" s="230">
        <f>SUM(C110:C117)</f>
        <v>178642604.07000002</v>
      </c>
      <c r="D118" s="230">
        <f>SUM(D110:D117)</f>
        <v>19965540.43</v>
      </c>
      <c r="E118" s="230">
        <f>SUM(E110:E117)</f>
        <v>20942132.989999998</v>
      </c>
      <c r="F118" s="176">
        <f>(+D118-E118)/E118</f>
        <v>-4.6632907950032013E-2</v>
      </c>
      <c r="G118" s="249">
        <f>D118/C118</f>
        <v>0.11176247980675777</v>
      </c>
      <c r="H118" s="246">
        <f>1-G118</f>
        <v>0.8882375201932422</v>
      </c>
      <c r="I118" s="157"/>
    </row>
    <row r="119" spans="1:9" ht="15.75" thickTop="1" x14ac:dyDescent="0.2">
      <c r="A119" s="167"/>
      <c r="B119" s="168"/>
      <c r="C119" s="226"/>
      <c r="D119" s="226"/>
      <c r="E119" s="226"/>
      <c r="F119" s="166"/>
      <c r="G119" s="241"/>
      <c r="H119" s="242"/>
      <c r="I119" s="157"/>
    </row>
    <row r="120" spans="1:9" ht="15.75" x14ac:dyDescent="0.25">
      <c r="A120" s="164" t="s">
        <v>37</v>
      </c>
      <c r="B120" s="165">
        <f>DATE(23,7,1)</f>
        <v>8583</v>
      </c>
      <c r="C120" s="226">
        <v>221709382.90000001</v>
      </c>
      <c r="D120" s="226">
        <v>20800777.710000001</v>
      </c>
      <c r="E120" s="226">
        <v>21735779.219999999</v>
      </c>
      <c r="F120" s="166">
        <f t="shared" ref="F120:F125" si="33">(+D120-E120)/E120</f>
        <v>-4.3016700737356771E-2</v>
      </c>
      <c r="G120" s="241">
        <f t="shared" ref="G120:G125" si="34">D120/C120</f>
        <v>9.3820015363905468E-2</v>
      </c>
      <c r="H120" s="242">
        <f t="shared" ref="H120:H126" si="35">1-G120</f>
        <v>0.9061799846360945</v>
      </c>
      <c r="I120" s="157"/>
    </row>
    <row r="121" spans="1:9" ht="15.75" x14ac:dyDescent="0.25">
      <c r="A121" s="164"/>
      <c r="B121" s="165">
        <f>DATE(23,8,1)</f>
        <v>8614</v>
      </c>
      <c r="C121" s="226">
        <v>209669300.15000001</v>
      </c>
      <c r="D121" s="226">
        <v>20038616.34</v>
      </c>
      <c r="E121" s="226">
        <v>20453352.670000002</v>
      </c>
      <c r="F121" s="166">
        <f t="shared" si="33"/>
        <v>-2.0277180797274245E-2</v>
      </c>
      <c r="G121" s="241">
        <f t="shared" si="34"/>
        <v>9.5572486413910501E-2</v>
      </c>
      <c r="H121" s="242">
        <f t="shared" si="35"/>
        <v>0.90442751358608953</v>
      </c>
      <c r="I121" s="157"/>
    </row>
    <row r="122" spans="1:9" ht="15.75" x14ac:dyDescent="0.25">
      <c r="A122" s="164"/>
      <c r="B122" s="165">
        <f>DATE(23,9,1)</f>
        <v>8645</v>
      </c>
      <c r="C122" s="226">
        <v>204140702.06999999</v>
      </c>
      <c r="D122" s="226">
        <v>19545369.489999998</v>
      </c>
      <c r="E122" s="226">
        <v>19785542.02</v>
      </c>
      <c r="F122" s="166">
        <f t="shared" si="33"/>
        <v>-1.2138789513940301E-2</v>
      </c>
      <c r="G122" s="241">
        <f t="shared" si="34"/>
        <v>9.574459817081396E-2</v>
      </c>
      <c r="H122" s="242">
        <f t="shared" si="35"/>
        <v>0.90425540182918607</v>
      </c>
      <c r="I122" s="157"/>
    </row>
    <row r="123" spans="1:9" ht="15.75" x14ac:dyDescent="0.25">
      <c r="A123" s="164"/>
      <c r="B123" s="165">
        <f>DATE(23,10,1)</f>
        <v>8675</v>
      </c>
      <c r="C123" s="226">
        <v>199447600.25999999</v>
      </c>
      <c r="D123" s="226">
        <v>18492281.440000001</v>
      </c>
      <c r="E123" s="226">
        <v>19416414.079999998</v>
      </c>
      <c r="F123" s="166">
        <f t="shared" si="33"/>
        <v>-4.7595433234600491E-2</v>
      </c>
      <c r="G123" s="241">
        <f t="shared" si="34"/>
        <v>9.2717492794565856E-2</v>
      </c>
      <c r="H123" s="242">
        <f t="shared" si="35"/>
        <v>0.90728250720543413</v>
      </c>
      <c r="I123" s="157"/>
    </row>
    <row r="124" spans="1:9" ht="15.75" x14ac:dyDescent="0.25">
      <c r="A124" s="164"/>
      <c r="B124" s="165">
        <f>DATE(23,11,1)</f>
        <v>8706</v>
      </c>
      <c r="C124" s="226">
        <v>202111138.21000001</v>
      </c>
      <c r="D124" s="226">
        <v>18402679.75</v>
      </c>
      <c r="E124" s="226">
        <v>19493781.030000001</v>
      </c>
      <c r="F124" s="166">
        <f t="shared" si="33"/>
        <v>-5.5971762395445414E-2</v>
      </c>
      <c r="G124" s="241">
        <f t="shared" si="34"/>
        <v>9.105227902323236E-2</v>
      </c>
      <c r="H124" s="242">
        <f t="shared" si="35"/>
        <v>0.90894772097676768</v>
      </c>
      <c r="I124" s="157"/>
    </row>
    <row r="125" spans="1:9" ht="15.75" x14ac:dyDescent="0.25">
      <c r="A125" s="164"/>
      <c r="B125" s="165">
        <f>DATE(23,12,1)</f>
        <v>8736</v>
      </c>
      <c r="C125" s="226">
        <v>234556705.40000001</v>
      </c>
      <c r="D125" s="226">
        <v>21581873.52</v>
      </c>
      <c r="E125" s="226">
        <v>20690373.02</v>
      </c>
      <c r="F125" s="166">
        <f t="shared" si="33"/>
        <v>4.3087695864073891E-2</v>
      </c>
      <c r="G125" s="241">
        <f t="shared" si="34"/>
        <v>9.2011326144760888E-2</v>
      </c>
      <c r="H125" s="242">
        <f t="shared" si="35"/>
        <v>0.90798867385523907</v>
      </c>
      <c r="I125" s="157"/>
    </row>
    <row r="126" spans="1:9" ht="15.75" x14ac:dyDescent="0.25">
      <c r="A126" s="164"/>
      <c r="B126" s="165">
        <f>DATE(24,1,1)</f>
        <v>8767</v>
      </c>
      <c r="C126" s="226">
        <v>190006271.88</v>
      </c>
      <c r="D126" s="226">
        <v>17525611.690000001</v>
      </c>
      <c r="E126" s="226">
        <v>20127849.170000002</v>
      </c>
      <c r="F126" s="166">
        <f>(+D126-E126)/E126</f>
        <v>-0.12928542230327136</v>
      </c>
      <c r="G126" s="241">
        <f>D126/C126</f>
        <v>9.2237016792100654E-2</v>
      </c>
      <c r="H126" s="242">
        <f t="shared" si="35"/>
        <v>0.90776298320789939</v>
      </c>
      <c r="I126" s="157"/>
    </row>
    <row r="127" spans="1:9" ht="15.75" thickBot="1" x14ac:dyDescent="0.25">
      <c r="A127" s="167"/>
      <c r="B127" s="165"/>
      <c r="C127" s="226"/>
      <c r="D127" s="226"/>
      <c r="E127" s="226"/>
      <c r="F127" s="166"/>
      <c r="G127" s="241"/>
      <c r="H127" s="242"/>
      <c r="I127" s="157"/>
    </row>
    <row r="128" spans="1:9" ht="17.25" thickTop="1" thickBot="1" x14ac:dyDescent="0.3">
      <c r="A128" s="174" t="s">
        <v>14</v>
      </c>
      <c r="B128" s="175"/>
      <c r="C128" s="228">
        <f>SUM(C120:C127)</f>
        <v>1461641100.8699999</v>
      </c>
      <c r="D128" s="228">
        <f>SUM(D120:D127)</f>
        <v>136387209.94</v>
      </c>
      <c r="E128" s="228">
        <f>SUM(E120:E127)</f>
        <v>141703091.20999998</v>
      </c>
      <c r="F128" s="176">
        <f>(+D128-E128)/E128</f>
        <v>-3.7514222340583915E-2</v>
      </c>
      <c r="G128" s="245">
        <f>D128/C128</f>
        <v>9.3311011751666964E-2</v>
      </c>
      <c r="H128" s="246">
        <f>1-G128</f>
        <v>0.90668898824833299</v>
      </c>
      <c r="I128" s="157"/>
    </row>
    <row r="129" spans="1:9" ht="15.75" thickTop="1" x14ac:dyDescent="0.2">
      <c r="A129" s="167"/>
      <c r="B129" s="168"/>
      <c r="C129" s="226"/>
      <c r="D129" s="226"/>
      <c r="E129" s="226"/>
      <c r="F129" s="166"/>
      <c r="G129" s="241"/>
      <c r="H129" s="242"/>
      <c r="I129" s="157"/>
    </row>
    <row r="130" spans="1:9" ht="15.75" x14ac:dyDescent="0.25">
      <c r="A130" s="164" t="s">
        <v>57</v>
      </c>
      <c r="B130" s="165">
        <f>DATE(23,7,1)</f>
        <v>8583</v>
      </c>
      <c r="C130" s="226">
        <v>33435275.829999998</v>
      </c>
      <c r="D130" s="226">
        <v>3743935.17</v>
      </c>
      <c r="E130" s="226">
        <v>3941098.7</v>
      </c>
      <c r="F130" s="166">
        <f t="shared" ref="F130:F135" si="36">(+D130-E130)/E130</f>
        <v>-5.0027554498952347E-2</v>
      </c>
      <c r="G130" s="241">
        <f t="shared" ref="G130:G135" si="37">D130/C130</f>
        <v>0.11197560292416467</v>
      </c>
      <c r="H130" s="242">
        <f t="shared" ref="H130:H136" si="38">1-G130</f>
        <v>0.88802439707583536</v>
      </c>
      <c r="I130" s="157"/>
    </row>
    <row r="131" spans="1:9" ht="15.75" x14ac:dyDescent="0.25">
      <c r="A131" s="164"/>
      <c r="B131" s="165">
        <f>DATE(23,8,1)</f>
        <v>8614</v>
      </c>
      <c r="C131" s="226">
        <v>32794629.890000001</v>
      </c>
      <c r="D131" s="226">
        <v>3650833.47</v>
      </c>
      <c r="E131" s="226">
        <v>3508347.49</v>
      </c>
      <c r="F131" s="166">
        <f t="shared" si="36"/>
        <v>4.0613417116216154E-2</v>
      </c>
      <c r="G131" s="241">
        <f t="shared" si="37"/>
        <v>0.11132412478035746</v>
      </c>
      <c r="H131" s="242">
        <f t="shared" si="38"/>
        <v>0.88867587521964253</v>
      </c>
      <c r="I131" s="157"/>
    </row>
    <row r="132" spans="1:9" ht="15.75" x14ac:dyDescent="0.25">
      <c r="A132" s="164"/>
      <c r="B132" s="165">
        <f>DATE(23,9,1)</f>
        <v>8645</v>
      </c>
      <c r="C132" s="226">
        <v>29987636.98</v>
      </c>
      <c r="D132" s="226">
        <v>3571965.85</v>
      </c>
      <c r="E132" s="226">
        <v>3766686.61</v>
      </c>
      <c r="F132" s="166">
        <f t="shared" si="36"/>
        <v>-5.16955032794724E-2</v>
      </c>
      <c r="G132" s="241">
        <f t="shared" si="37"/>
        <v>0.1191146155458095</v>
      </c>
      <c r="H132" s="242">
        <f t="shared" si="38"/>
        <v>0.88088538445419051</v>
      </c>
      <c r="I132" s="157"/>
    </row>
    <row r="133" spans="1:9" ht="15.75" x14ac:dyDescent="0.25">
      <c r="A133" s="164"/>
      <c r="B133" s="165">
        <f>DATE(23,10,1)</f>
        <v>8675</v>
      </c>
      <c r="C133" s="226">
        <v>30636225.07</v>
      </c>
      <c r="D133" s="226">
        <v>3454191.96</v>
      </c>
      <c r="E133" s="226">
        <v>3644045.37</v>
      </c>
      <c r="F133" s="166">
        <f t="shared" si="36"/>
        <v>-5.209962849611835E-2</v>
      </c>
      <c r="G133" s="241">
        <f t="shared" si="37"/>
        <v>0.11274861547424975</v>
      </c>
      <c r="H133" s="242">
        <f t="shared" si="38"/>
        <v>0.88725138452575025</v>
      </c>
      <c r="I133" s="157"/>
    </row>
    <row r="134" spans="1:9" ht="15.75" x14ac:dyDescent="0.25">
      <c r="A134" s="164"/>
      <c r="B134" s="165">
        <f>DATE(23,11,1)</f>
        <v>8706</v>
      </c>
      <c r="C134" s="226">
        <v>32172056.850000001</v>
      </c>
      <c r="D134" s="226">
        <v>3511199.02</v>
      </c>
      <c r="E134" s="226">
        <v>3367619.94</v>
      </c>
      <c r="F134" s="166">
        <f t="shared" si="36"/>
        <v>4.2635179313019529E-2</v>
      </c>
      <c r="G134" s="241">
        <f t="shared" si="37"/>
        <v>0.10913815788560624</v>
      </c>
      <c r="H134" s="242">
        <f t="shared" si="38"/>
        <v>0.89086184211439379</v>
      </c>
      <c r="I134" s="157"/>
    </row>
    <row r="135" spans="1:9" ht="15.75" x14ac:dyDescent="0.25">
      <c r="A135" s="164"/>
      <c r="B135" s="165">
        <f>DATE(23,12,1)</f>
        <v>8736</v>
      </c>
      <c r="C135" s="226">
        <v>38178845.460000001</v>
      </c>
      <c r="D135" s="226">
        <v>4306408.66</v>
      </c>
      <c r="E135" s="226">
        <v>3754875.29</v>
      </c>
      <c r="F135" s="166">
        <f t="shared" si="36"/>
        <v>0.14688460398907152</v>
      </c>
      <c r="G135" s="241">
        <f t="shared" si="37"/>
        <v>0.1127956754090908</v>
      </c>
      <c r="H135" s="242">
        <f t="shared" si="38"/>
        <v>0.88720432459090914</v>
      </c>
      <c r="I135" s="157"/>
    </row>
    <row r="136" spans="1:9" ht="15.75" x14ac:dyDescent="0.25">
      <c r="A136" s="164"/>
      <c r="B136" s="165">
        <f>DATE(24,1,1)</f>
        <v>8767</v>
      </c>
      <c r="C136" s="226">
        <v>28892759.120000001</v>
      </c>
      <c r="D136" s="226">
        <v>3188752.13</v>
      </c>
      <c r="E136" s="226">
        <v>3530111.77</v>
      </c>
      <c r="F136" s="166">
        <f>(+D136-E136)/E136</f>
        <v>-9.6699385810098626E-2</v>
      </c>
      <c r="G136" s="241">
        <f>D136/C136</f>
        <v>0.11036509586212201</v>
      </c>
      <c r="H136" s="242">
        <f t="shared" si="38"/>
        <v>0.88963490413787794</v>
      </c>
      <c r="I136" s="157"/>
    </row>
    <row r="137" spans="1:9" ht="15.75" thickBot="1" x14ac:dyDescent="0.25">
      <c r="A137" s="167"/>
      <c r="B137" s="168"/>
      <c r="C137" s="226"/>
      <c r="D137" s="226"/>
      <c r="E137" s="226"/>
      <c r="F137" s="166"/>
      <c r="G137" s="241"/>
      <c r="H137" s="242"/>
      <c r="I137" s="157"/>
    </row>
    <row r="138" spans="1:9" ht="17.25" thickTop="1" thickBot="1" x14ac:dyDescent="0.3">
      <c r="A138" s="169" t="s">
        <v>14</v>
      </c>
      <c r="B138" s="155"/>
      <c r="C138" s="223">
        <f>SUM(C130:C137)</f>
        <v>226097429.20000002</v>
      </c>
      <c r="D138" s="223">
        <f>SUM(D130:D137)</f>
        <v>25427286.259999998</v>
      </c>
      <c r="E138" s="223">
        <f>SUM(E130:E137)</f>
        <v>25512785.170000002</v>
      </c>
      <c r="F138" s="176">
        <f>(+D138-E138)/E138</f>
        <v>-3.351218200219881E-3</v>
      </c>
      <c r="G138" s="245">
        <f>D138/C138</f>
        <v>0.11246163368583757</v>
      </c>
      <c r="H138" s="246">
        <f>1-G138</f>
        <v>0.88753836631416239</v>
      </c>
      <c r="I138" s="157"/>
    </row>
    <row r="139" spans="1:9" ht="16.5" thickTop="1" thickBot="1" x14ac:dyDescent="0.25">
      <c r="A139" s="171"/>
      <c r="B139" s="172"/>
      <c r="C139" s="227"/>
      <c r="D139" s="227"/>
      <c r="E139" s="227"/>
      <c r="F139" s="173"/>
      <c r="G139" s="243"/>
      <c r="H139" s="244"/>
      <c r="I139" s="157"/>
    </row>
    <row r="140" spans="1:9" ht="17.25" thickTop="1" thickBot="1" x14ac:dyDescent="0.3">
      <c r="A140" s="184" t="s">
        <v>38</v>
      </c>
      <c r="B140" s="155"/>
      <c r="C140" s="223">
        <f>C138+C128+C98+C78+C58+C38+C18+C48+C118+C28+C88+C108+C68</f>
        <v>9687959831.6599998</v>
      </c>
      <c r="D140" s="223">
        <f>D138+D128+D98+D78+D58+D38+D18+D48+D118+D28+D88+D108+D68</f>
        <v>932918073.37999988</v>
      </c>
      <c r="E140" s="223">
        <f>E138+E128+E98+E78+E58+E38+E18+E48+E118+E28+E88+E108+E68</f>
        <v>941792835.56999993</v>
      </c>
      <c r="F140" s="170">
        <f>(+D140-E140)/E140</f>
        <v>-9.4232636465415437E-3</v>
      </c>
      <c r="G140" s="236">
        <f>D140/C140</f>
        <v>9.6296649613600585E-2</v>
      </c>
      <c r="H140" s="237">
        <f>1-G140</f>
        <v>0.90370335038639937</v>
      </c>
      <c r="I140" s="157"/>
    </row>
    <row r="141" spans="1:9" ht="17.25" thickTop="1" thickBot="1" x14ac:dyDescent="0.3">
      <c r="A141" s="184"/>
      <c r="B141" s="155"/>
      <c r="C141" s="223"/>
      <c r="D141" s="223"/>
      <c r="E141" s="223"/>
      <c r="F141" s="170"/>
      <c r="G141" s="236"/>
      <c r="H141" s="237"/>
      <c r="I141" s="157"/>
    </row>
    <row r="142" spans="1:9" ht="17.25" thickTop="1" thickBot="1" x14ac:dyDescent="0.3">
      <c r="A142" s="184" t="s">
        <v>39</v>
      </c>
      <c r="B142" s="155"/>
      <c r="C142" s="223">
        <f>+C16+C26+C36+C46+C56+C66+C76+C96+C86+C106+C116+C126+C136</f>
        <v>1246226342.2399998</v>
      </c>
      <c r="D142" s="223">
        <f>+D16+D26+D36+D46+D56+D66+D76+D96+D86+D106+D116+D126+D136</f>
        <v>115519199.61</v>
      </c>
      <c r="E142" s="223">
        <f>+E16+E26+E36+E46+E56+E66+E76+E96+E86+E106+E116+E126+E136</f>
        <v>130500191.22</v>
      </c>
      <c r="F142" s="170">
        <f>(+D142-E142)/E142</f>
        <v>-0.11479670236455612</v>
      </c>
      <c r="G142" s="236">
        <f>D142/C142</f>
        <v>9.2695199655596083E-2</v>
      </c>
      <c r="H142" s="246">
        <f>1-G142</f>
        <v>0.90730480034440397</v>
      </c>
      <c r="I142" s="157"/>
    </row>
    <row r="143" spans="1:9" ht="16.5" thickTop="1" x14ac:dyDescent="0.25">
      <c r="A143" s="185"/>
      <c r="B143" s="186"/>
      <c r="C143" s="231"/>
      <c r="D143" s="231"/>
      <c r="E143" s="231"/>
      <c r="F143" s="187"/>
      <c r="G143" s="250"/>
      <c r="H143" s="250"/>
      <c r="I143" s="151"/>
    </row>
    <row r="144" spans="1:9" ht="16.5" customHeight="1" x14ac:dyDescent="0.3">
      <c r="A144" s="188" t="s">
        <v>49</v>
      </c>
      <c r="B144" s="189"/>
      <c r="C144" s="232"/>
      <c r="D144" s="232"/>
      <c r="E144" s="232"/>
      <c r="F144" s="190"/>
      <c r="G144" s="251"/>
      <c r="H144" s="251"/>
      <c r="I144" s="151"/>
    </row>
    <row r="145" spans="1:9" ht="15.75" x14ac:dyDescent="0.25">
      <c r="A145" s="191"/>
      <c r="B145" s="189"/>
      <c r="C145" s="232"/>
      <c r="D145" s="232"/>
      <c r="E145" s="232"/>
      <c r="F145" s="190"/>
      <c r="G145" s="257"/>
      <c r="H145" s="257"/>
      <c r="I145" s="151"/>
    </row>
    <row r="146" spans="1:9" ht="15.75" x14ac:dyDescent="0.25">
      <c r="A146" s="72"/>
      <c r="I146" s="151"/>
    </row>
  </sheetData>
  <phoneticPr fontId="0" type="noConversion"/>
  <printOptions horizontalCentered="1"/>
  <pageMargins left="0.75" right="0.25" top="0.31940000000000002" bottom="0.2" header="0.5" footer="0.5"/>
  <pageSetup scale="54" orientation="landscape" r:id="rId1"/>
  <headerFooter alignWithMargins="0"/>
  <rowBreaks count="2" manualBreakCount="2">
    <brk id="58" max="8" man="1"/>
    <brk id="1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2024-02-07T20:50:52Z</cp:lastPrinted>
  <dcterms:created xsi:type="dcterms:W3CDTF">2003-09-09T14:41:43Z</dcterms:created>
  <dcterms:modified xsi:type="dcterms:W3CDTF">2024-02-08T21:05:03Z</dcterms:modified>
</cp:coreProperties>
</file>