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STATS'!$A$1:$M$208</definedName>
    <definedName name="_xlnm.Print_Area" localSheetId="4">'SLOT STATS'!$A$1:$I$209</definedName>
    <definedName name="_xlnm.Print_Area" localSheetId="2">'TABLE STATS'!$A$1:$H$208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<sst xmlns="http://schemas.openxmlformats.org/spreadsheetml/2006/main" count="241" uniqueCount="79">
  <si>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</si>
  <si>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</si>
  <si>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</si>
  <si>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</si>
  <si>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</si>
  <si>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</si>
  <si>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</si>
  <si>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</si>
  <si>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</si>
  <si>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</si>
  <si>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</si>
  <si>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</si>
  <si>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</si>
  <si>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</si>
  <si>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</si>
  <si>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</si>
  <si>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</si>
  <si>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</si>
  <si>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</si>
  <si>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</si>
  <si>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</si>
  <si>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</si>
  <si>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</si>
  <si>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</si>
  <si>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</si>
  <si>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</si>
  <si>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</si>
  <si>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</si>
  <si>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</si>
  <si>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</si>
  <si>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</si>
  <si>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</si>
  <si>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</si>
  <si>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</si>
  <si>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</si>
  <si>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</si>
  <si>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</si>
  <si>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</si>
  <si>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</si>
  <si>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</si>
  <si>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</si>
  <si>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</si>
  <si>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</si>
  <si>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</si>
  <si>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</si>
  <si>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</si>
  <si>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</si>
  <si>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</si>
  <si>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</si>
  <si>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</si>
  <si>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</si>
  <si>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</si>
  <si>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</si>
  <si>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</si>
  <si>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</si>
  <si>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</si>
  <si>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</si>
  <si>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</si>
  <si>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</si>
  <si>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</si>
  <si>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</si>
  <si>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</si>
  <si>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</si>
  <si>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</si>
  <si>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</si>
  <si>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</si>
  <si>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</si>
  <si>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</si>
  <si>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</si>
  <si>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</si>
  <si>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</si>
  <si>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</si>
  <si>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JUNE 30, 2023</t>
  </si>
  <si>
    <t>(as reported on the tax remittal database dtd 7/7/23)</t>
  </si>
  <si>
    <t>FOR THE MONTH ENDED:   JUNE 30, 2023</t>
  </si>
  <si>
    <t>THRU MONTH ENDED:   JUNE 30, 2023</t>
  </si>
  <si>
    <t>(as reported on the tax remittal database as of 7/7/23)</t>
  </si>
  <si>
    <t>THRU MONTH ENDED:    JUNE 30, 2023</t>
  </si>
  <si>
    <t>THRU MONTH ENDED:     JUNE 30,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</si>
</sst>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2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3" fontId="0" fillId="0" borderId="14" xfId="53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 aca="true" t="shared" si="0" ref="E9:E20">(+C9-D9)/D9</f>
        <v>-0.06383079255851513</v>
      </c>
      <c r="F9" s="21">
        <f>+C9-101378</f>
        <v>116565</v>
      </c>
      <c r="G9" s="21">
        <f>+D9-107437</f>
        <v>125366</v>
      </c>
      <c r="H9" s="23">
        <f aca="true" t="shared" si="1" ref="H9:H20">(+F9-G9)/G9</f>
        <v>-0.0702024472344974</v>
      </c>
      <c r="I9" s="24">
        <f aca="true" t="shared" si="2" ref="I9:I20">K9/C9</f>
        <v>73.39293026158217</v>
      </c>
      <c r="J9" s="24">
        <f aca="true" t="shared" si="3" ref="J9:J20">K9/F9</f>
        <v>137.22365547119634</v>
      </c>
      <c r="K9" s="21">
        <v>15995475.4</v>
      </c>
      <c r="L9" s="21">
        <v>15939478.61</v>
      </c>
      <c r="M9" s="25">
        <f aca="true" t="shared" si="4" ref="M9:M20">(+K9-L9)/L9</f>
        <v>0.0035130879353149035</v>
      </c>
      <c r="N9" s="10"/>
      <c r="R9" s="2"/>
    </row>
    <row r="10" spans="1:18" ht="15">
      <c r="A10" s="19"/>
      <c r="B10" s="20">
        <f>DATE(2022,8,1)</f>
        <v>44774</v>
      </c>
      <c r="C10" s="21">
        <v>199444</v>
      </c>
      <c r="D10" s="22">
        <v>224849</v>
      </c>
      <c r="E10" s="23">
        <f t="shared" si="0"/>
        <v>-0.11298693790054659</v>
      </c>
      <c r="F10" s="21">
        <f>+C10-93160</f>
        <v>106284</v>
      </c>
      <c r="G10" s="21">
        <f>+D10-102898</f>
        <v>121951</v>
      </c>
      <c r="H10" s="23">
        <f t="shared" si="1"/>
        <v>-0.12846963124533625</v>
      </c>
      <c r="I10" s="24">
        <f t="shared" si="2"/>
        <v>76.13284024588356</v>
      </c>
      <c r="J10" s="24">
        <f t="shared" si="3"/>
        <v>142.86476035903803</v>
      </c>
      <c r="K10" s="21">
        <v>15184238.19</v>
      </c>
      <c r="L10" s="21">
        <v>15076597.12</v>
      </c>
      <c r="M10" s="25">
        <f t="shared" si="4"/>
        <v>0.007139613080010478</v>
      </c>
      <c r="N10" s="10"/>
      <c r="R10" s="2"/>
    </row>
    <row r="11" spans="1:18" ht="15">
      <c r="A11" s="19"/>
      <c r="B11" s="20">
        <f>DATE(2022,9,1)</f>
        <v>44805</v>
      </c>
      <c r="C11" s="21">
        <v>190853</v>
      </c>
      <c r="D11" s="22">
        <v>206050</v>
      </c>
      <c r="E11" s="23">
        <f t="shared" si="0"/>
        <v>-0.07375394321766561</v>
      </c>
      <c r="F11" s="21">
        <f>+C11-90801</f>
        <v>100052</v>
      </c>
      <c r="G11" s="21">
        <f>+D11-93968</f>
        <v>112082</v>
      </c>
      <c r="H11" s="23">
        <f t="shared" si="1"/>
        <v>-0.10733213183205154</v>
      </c>
      <c r="I11" s="24">
        <f t="shared" si="2"/>
        <v>72.70080192608971</v>
      </c>
      <c r="J11" s="24">
        <f t="shared" si="3"/>
        <v>138.67954813496982</v>
      </c>
      <c r="K11" s="21">
        <v>13875166.15</v>
      </c>
      <c r="L11" s="21">
        <v>13876432.72</v>
      </c>
      <c r="M11" s="25">
        <f t="shared" si="4"/>
        <v>-9.127489936046748E-05</v>
      </c>
      <c r="N11" s="10"/>
      <c r="R11" s="2"/>
    </row>
    <row r="12" spans="1:18" ht="15">
      <c r="A12" s="19"/>
      <c r="B12" s="20">
        <f>DATE(2022,10,1)</f>
        <v>44835</v>
      </c>
      <c r="C12" s="21">
        <v>191998</v>
      </c>
      <c r="D12" s="22">
        <v>219538</v>
      </c>
      <c r="E12" s="23">
        <f t="shared" si="0"/>
        <v>-0.12544525321356667</v>
      </c>
      <c r="F12" s="21">
        <f>+C12-90818</f>
        <v>101180</v>
      </c>
      <c r="G12" s="21">
        <f>+D12-100658</f>
        <v>118880</v>
      </c>
      <c r="H12" s="23">
        <f t="shared" si="1"/>
        <v>-0.14888963660834456</v>
      </c>
      <c r="I12" s="24">
        <f t="shared" si="2"/>
        <v>76.28116969968437</v>
      </c>
      <c r="J12" s="24">
        <f t="shared" si="3"/>
        <v>144.75026704882387</v>
      </c>
      <c r="K12" s="21">
        <v>14645832.02</v>
      </c>
      <c r="L12" s="21">
        <v>15248970.91</v>
      </c>
      <c r="M12" s="25">
        <f t="shared" si="4"/>
        <v>-0.03955276021967312</v>
      </c>
      <c r="N12" s="10"/>
      <c r="R12" s="2"/>
    </row>
    <row r="13" spans="1:18" ht="15">
      <c r="A13" s="19"/>
      <c r="B13" s="20">
        <f>DATE(2022,11,1)</f>
        <v>44866</v>
      </c>
      <c r="C13" s="21">
        <v>181329</v>
      </c>
      <c r="D13" s="22">
        <v>201331</v>
      </c>
      <c r="E13" s="23">
        <f t="shared" si="0"/>
        <v>-0.09934883351297118</v>
      </c>
      <c r="F13" s="21">
        <f>+C13-85776</f>
        <v>95553</v>
      </c>
      <c r="G13" s="21">
        <f>+D13-92874</f>
        <v>108457</v>
      </c>
      <c r="H13" s="23">
        <f t="shared" si="1"/>
        <v>-0.11897802815862507</v>
      </c>
      <c r="I13" s="24">
        <f t="shared" si="2"/>
        <v>74.71362490280099</v>
      </c>
      <c r="J13" s="24">
        <f t="shared" si="3"/>
        <v>141.78253838184045</v>
      </c>
      <c r="K13" s="21">
        <v>13547746.89</v>
      </c>
      <c r="L13" s="21">
        <v>13533758.14</v>
      </c>
      <c r="M13" s="25">
        <f t="shared" si="4"/>
        <v>0.0010336190328874902</v>
      </c>
      <c r="N13" s="10"/>
      <c r="R13" s="2"/>
    </row>
    <row r="14" spans="1:18" ht="15">
      <c r="A14" s="19"/>
      <c r="B14" s="20">
        <f>DATE(2022,12,1)</f>
        <v>44896</v>
      </c>
      <c r="C14" s="21">
        <v>198171</v>
      </c>
      <c r="D14" s="22">
        <v>212681</v>
      </c>
      <c r="E14" s="23">
        <f t="shared" si="0"/>
        <v>-0.06822424193980657</v>
      </c>
      <c r="F14" s="21">
        <f>+C14-94881</f>
        <v>103290</v>
      </c>
      <c r="G14" s="21">
        <f>+D14-99427</f>
        <v>113254</v>
      </c>
      <c r="H14" s="23">
        <f t="shared" si="1"/>
        <v>-0.08797923252158864</v>
      </c>
      <c r="I14" s="24">
        <f t="shared" si="2"/>
        <v>66.7055760933739</v>
      </c>
      <c r="J14" s="24">
        <f t="shared" si="3"/>
        <v>127.98054719721173</v>
      </c>
      <c r="K14" s="21">
        <v>13219110.72</v>
      </c>
      <c r="L14" s="21">
        <v>14610455.7</v>
      </c>
      <c r="M14" s="25">
        <f t="shared" si="4"/>
        <v>-0.09522940341963453</v>
      </c>
      <c r="N14" s="10"/>
      <c r="R14" s="2"/>
    </row>
    <row r="15" spans="1:18" ht="15">
      <c r="A15" s="19"/>
      <c r="B15" s="20">
        <f>DATE(2023,1,1)</f>
        <v>44927</v>
      </c>
      <c r="C15" s="21">
        <v>197003</v>
      </c>
      <c r="D15" s="22">
        <v>183563</v>
      </c>
      <c r="E15" s="23">
        <f t="shared" si="0"/>
        <v>0.07321736951346404</v>
      </c>
      <c r="F15" s="21">
        <f>+C15-95273</f>
        <v>101730</v>
      </c>
      <c r="G15" s="21">
        <f>+D15-87679</f>
        <v>95884</v>
      </c>
      <c r="H15" s="23">
        <f t="shared" si="1"/>
        <v>0.06096950481832214</v>
      </c>
      <c r="I15" s="24">
        <f t="shared" si="2"/>
        <v>73.52713583041883</v>
      </c>
      <c r="J15" s="24">
        <f t="shared" si="3"/>
        <v>142.387362036764</v>
      </c>
      <c r="K15" s="21">
        <v>14485066.34</v>
      </c>
      <c r="L15" s="21">
        <v>12724384.04</v>
      </c>
      <c r="M15" s="25">
        <f t="shared" si="4"/>
        <v>0.13837072933865968</v>
      </c>
      <c r="N15" s="10"/>
      <c r="R15" s="2"/>
    </row>
    <row r="16" spans="1:18" ht="15">
      <c r="A16" s="19"/>
      <c r="B16" s="20">
        <f>DATE(2023,2,1)</f>
        <v>44958</v>
      </c>
      <c r="C16" s="21">
        <v>191288</v>
      </c>
      <c r="D16" s="22">
        <v>198133</v>
      </c>
      <c r="E16" s="23">
        <f t="shared" si="0"/>
        <v>-0.034547500921098456</v>
      </c>
      <c r="F16" s="21">
        <f>+C16-92919</f>
        <v>98369</v>
      </c>
      <c r="G16" s="21">
        <f>+D16-96112</f>
        <v>102021</v>
      </c>
      <c r="H16" s="23">
        <f t="shared" si="1"/>
        <v>-0.03579655169033826</v>
      </c>
      <c r="I16" s="24">
        <f t="shared" si="2"/>
        <v>72.948813935009</v>
      </c>
      <c r="J16" s="24">
        <f t="shared" si="3"/>
        <v>141.8559985361242</v>
      </c>
      <c r="K16" s="21">
        <v>13954232.72</v>
      </c>
      <c r="L16" s="21">
        <v>13962827.57</v>
      </c>
      <c r="M16" s="25">
        <f t="shared" si="4"/>
        <v>-0.0006155522552227312</v>
      </c>
      <c r="N16" s="10"/>
      <c r="R16" s="2"/>
    </row>
    <row r="17" spans="1:18" ht="15">
      <c r="A17" s="19"/>
      <c r="B17" s="20">
        <f>DATE(2023,3,1)</f>
        <v>44986</v>
      </c>
      <c r="C17" s="21">
        <v>217797</v>
      </c>
      <c r="D17" s="22">
        <v>229277</v>
      </c>
      <c r="E17" s="23">
        <f t="shared" si="0"/>
        <v>-0.050070438814185464</v>
      </c>
      <c r="F17" s="21">
        <f>+C17-105615</f>
        <v>112182</v>
      </c>
      <c r="G17" s="21">
        <f>+D17-111679</f>
        <v>117598</v>
      </c>
      <c r="H17" s="23">
        <f t="shared" si="1"/>
        <v>-0.046055205020493546</v>
      </c>
      <c r="I17" s="24">
        <f t="shared" si="2"/>
        <v>71.9981888180278</v>
      </c>
      <c r="J17" s="24">
        <f t="shared" si="3"/>
        <v>139.78168984329037</v>
      </c>
      <c r="K17" s="21">
        <v>15680989.53</v>
      </c>
      <c r="L17" s="21">
        <v>15824267.74</v>
      </c>
      <c r="M17" s="25">
        <f t="shared" si="4"/>
        <v>-0.009054334289215009</v>
      </c>
      <c r="N17" s="10"/>
      <c r="R17" s="2"/>
    </row>
    <row r="18" spans="1:18" ht="15">
      <c r="A18" s="19"/>
      <c r="B18" s="20">
        <f>DATE(2023,4,1)</f>
        <v>45017</v>
      </c>
      <c r="C18" s="21">
        <v>198066</v>
      </c>
      <c r="D18" s="22">
        <v>223384</v>
      </c>
      <c r="E18" s="23">
        <f t="shared" si="0"/>
        <v>-0.11333846649715289</v>
      </c>
      <c r="F18" s="21">
        <f>+C18-94196</f>
        <v>103870</v>
      </c>
      <c r="G18" s="21">
        <f>+D18-106932</f>
        <v>116452</v>
      </c>
      <c r="H18" s="23">
        <f t="shared" si="1"/>
        <v>-0.10804451619551403</v>
      </c>
      <c r="I18" s="24">
        <f t="shared" si="2"/>
        <v>74.83226232669918</v>
      </c>
      <c r="J18" s="24">
        <f t="shared" si="3"/>
        <v>142.69497323577548</v>
      </c>
      <c r="K18" s="21">
        <v>14821726.87</v>
      </c>
      <c r="L18" s="21">
        <v>15759269.2</v>
      </c>
      <c r="M18" s="25">
        <f t="shared" si="4"/>
        <v>-0.05949148517622886</v>
      </c>
      <c r="N18" s="10"/>
      <c r="R18" s="2"/>
    </row>
    <row r="19" spans="1:18" ht="15">
      <c r="A19" s="19"/>
      <c r="B19" s="20">
        <f>DATE(2023,5,1)</f>
        <v>45047</v>
      </c>
      <c r="C19" s="21">
        <v>189140</v>
      </c>
      <c r="D19" s="22">
        <v>216589</v>
      </c>
      <c r="E19" s="23">
        <f t="shared" si="0"/>
        <v>-0.12673312125731223</v>
      </c>
      <c r="F19" s="21">
        <f>+C19-89554</f>
        <v>99586</v>
      </c>
      <c r="G19" s="21">
        <f>+D19-102739</f>
        <v>113850</v>
      </c>
      <c r="H19" s="23">
        <f t="shared" si="1"/>
        <v>-0.12528765920070267</v>
      </c>
      <c r="I19" s="24">
        <f t="shared" si="2"/>
        <v>75.84055620175532</v>
      </c>
      <c r="J19" s="24">
        <f t="shared" si="3"/>
        <v>144.04115839575846</v>
      </c>
      <c r="K19" s="21">
        <v>14344482.8</v>
      </c>
      <c r="L19" s="21">
        <v>15517430.6</v>
      </c>
      <c r="M19" s="25">
        <f t="shared" si="4"/>
        <v>-0.07558904758368946</v>
      </c>
      <c r="N19" s="10"/>
      <c r="R19" s="2"/>
    </row>
    <row r="20" spans="1:18" ht="15">
      <c r="A20" s="19"/>
      <c r="B20" s="20">
        <f>DATE(2023,6,1)</f>
        <v>45078</v>
      </c>
      <c r="C20" s="21">
        <v>185282</v>
      </c>
      <c r="D20" s="22">
        <v>196155</v>
      </c>
      <c r="E20" s="23">
        <f t="shared" si="0"/>
        <v>-0.05543065432948434</v>
      </c>
      <c r="F20" s="21">
        <f>+C20-87523</f>
        <v>97759</v>
      </c>
      <c r="G20" s="21">
        <f>+D20-89130</f>
        <v>107025</v>
      </c>
      <c r="H20" s="23">
        <f t="shared" si="1"/>
        <v>-0.08657790235926185</v>
      </c>
      <c r="I20" s="24">
        <f t="shared" si="2"/>
        <v>72.83703133601753</v>
      </c>
      <c r="J20" s="24">
        <f t="shared" si="3"/>
        <v>138.04755408709173</v>
      </c>
      <c r="K20" s="21">
        <v>13495390.84</v>
      </c>
      <c r="L20" s="21">
        <v>14995725.32</v>
      </c>
      <c r="M20" s="25">
        <f t="shared" si="4"/>
        <v>-0.10005081101338821</v>
      </c>
      <c r="N20" s="10"/>
      <c r="R20" s="2"/>
    </row>
    <row r="21" spans="1:18" ht="15.75" customHeight="1" thickBot="1">
      <c r="A21" s="19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6.5" thickBot="1" thickTop="1">
      <c r="A22" s="26" t="s">
        <v>14</v>
      </c>
      <c r="B22" s="27"/>
      <c r="C22" s="28">
        <f>SUM(C9:C21)</f>
        <v>2358314</v>
      </c>
      <c r="D22" s="28">
        <f>SUM(D9:D21)</f>
        <v>2544353</v>
      </c>
      <c r="E22" s="279">
        <f>(+C22-D22)/D22</f>
        <v>-0.07311839198413113</v>
      </c>
      <c r="F22" s="28">
        <f>SUM(F9:F21)</f>
        <v>1236420</v>
      </c>
      <c r="G22" s="28">
        <f>SUM(G9:G21)</f>
        <v>1352820</v>
      </c>
      <c r="H22" s="30">
        <f>(+F22-G22)/G22</f>
        <v>-0.08604248902292988</v>
      </c>
      <c r="I22" s="31">
        <f>K22/C22</f>
        <v>73.46327014553619</v>
      </c>
      <c r="J22" s="31">
        <f>K22/F22</f>
        <v>140.12185056048918</v>
      </c>
      <c r="K22" s="28">
        <f>SUM(K9:K21)</f>
        <v>173249458.47000003</v>
      </c>
      <c r="L22" s="28">
        <f>SUM(L9:L21)</f>
        <v>177069597.67</v>
      </c>
      <c r="M22" s="32">
        <f>(+K22-L22)/L22</f>
        <v>-0.02157422420487707</v>
      </c>
      <c r="N22" s="10"/>
      <c r="R22" s="2"/>
    </row>
    <row r="23" spans="1:18" ht="15.75" customHeight="1" thickTop="1">
      <c r="A23" s="15"/>
      <c r="B23" s="16"/>
      <c r="C23" s="16"/>
      <c r="D23" s="16"/>
      <c r="E23" s="17"/>
      <c r="F23" s="16"/>
      <c r="G23" s="16"/>
      <c r="H23" s="17"/>
      <c r="I23" s="16"/>
      <c r="J23" s="16"/>
      <c r="K23" s="195"/>
      <c r="L23" s="195"/>
      <c r="M23" s="18"/>
      <c r="N23" s="10"/>
      <c r="R23" s="2"/>
    </row>
    <row r="24" spans="1:18" ht="15">
      <c r="A24" s="19" t="s">
        <v>15</v>
      </c>
      <c r="B24" s="20">
        <f>DATE(2022,7,1)</f>
        <v>44743</v>
      </c>
      <c r="C24" s="21">
        <v>114715</v>
      </c>
      <c r="D24" s="21">
        <v>116107</v>
      </c>
      <c r="E24" s="23">
        <f aca="true" t="shared" si="5" ref="E24:E35">(+C24-D24)/D24</f>
        <v>-0.011988941235239909</v>
      </c>
      <c r="F24" s="21">
        <f>+C24-55568</f>
        <v>59147</v>
      </c>
      <c r="G24" s="21">
        <f>+D24-56210</f>
        <v>59897</v>
      </c>
      <c r="H24" s="23">
        <f aca="true" t="shared" si="6" ref="H24:H35">(+F24-G24)/G24</f>
        <v>-0.012521495233484147</v>
      </c>
      <c r="I24" s="24">
        <f aca="true" t="shared" si="7" ref="I24:I35">K24/C24</f>
        <v>73.18793714858563</v>
      </c>
      <c r="J24" s="24">
        <f aca="true" t="shared" si="8" ref="J24:J35">K24/F24</f>
        <v>141.9472536223308</v>
      </c>
      <c r="K24" s="21">
        <v>8395754.21</v>
      </c>
      <c r="L24" s="21">
        <v>8058935.65</v>
      </c>
      <c r="M24" s="25">
        <f aca="true" t="shared" si="9" ref="M24:M35">(+K24-L24)/L24</f>
        <v>0.041794422319279906</v>
      </c>
      <c r="N24" s="10"/>
      <c r="R24" s="2"/>
    </row>
    <row r="25" spans="1:18" ht="15">
      <c r="A25" s="19"/>
      <c r="B25" s="20">
        <f>DATE(2022,8,1)</f>
        <v>44774</v>
      </c>
      <c r="C25" s="21">
        <v>103784</v>
      </c>
      <c r="D25" s="21">
        <v>103353</v>
      </c>
      <c r="E25" s="23">
        <f t="shared" si="5"/>
        <v>0.004170174063645951</v>
      </c>
      <c r="F25" s="21">
        <f>+C25-49858</f>
        <v>53926</v>
      </c>
      <c r="G25" s="21">
        <f>+D25-50446</f>
        <v>52907</v>
      </c>
      <c r="H25" s="23">
        <f t="shared" si="6"/>
        <v>0.019260211314192827</v>
      </c>
      <c r="I25" s="24">
        <f t="shared" si="7"/>
        <v>72.90103994835428</v>
      </c>
      <c r="J25" s="24">
        <f t="shared" si="8"/>
        <v>140.30266531914106</v>
      </c>
      <c r="K25" s="21">
        <v>7565961.53</v>
      </c>
      <c r="L25" s="21">
        <v>7190146.61</v>
      </c>
      <c r="M25" s="25">
        <f t="shared" si="9"/>
        <v>0.05226804686810133</v>
      </c>
      <c r="N25" s="10"/>
      <c r="R25" s="2"/>
    </row>
    <row r="26" spans="1:18" ht="15">
      <c r="A26" s="19"/>
      <c r="B26" s="20">
        <f>DATE(2022,9,1)</f>
        <v>44805</v>
      </c>
      <c r="C26" s="21">
        <v>107511</v>
      </c>
      <c r="D26" s="21">
        <v>103596</v>
      </c>
      <c r="E26" s="23">
        <f t="shared" si="5"/>
        <v>0.037791034402872695</v>
      </c>
      <c r="F26" s="21">
        <f>+C26-51983</f>
        <v>55528</v>
      </c>
      <c r="G26" s="21">
        <f>+D26-49808</f>
        <v>53788</v>
      </c>
      <c r="H26" s="23">
        <f t="shared" si="6"/>
        <v>0.0323492228749907</v>
      </c>
      <c r="I26" s="24">
        <f t="shared" si="7"/>
        <v>72.49414980792663</v>
      </c>
      <c r="J26" s="24">
        <f t="shared" si="8"/>
        <v>140.36015235556837</v>
      </c>
      <c r="K26" s="21">
        <v>7793918.54</v>
      </c>
      <c r="L26" s="21">
        <v>7629702.11</v>
      </c>
      <c r="M26" s="25">
        <f t="shared" si="9"/>
        <v>0.021523308201609418</v>
      </c>
      <c r="N26" s="10"/>
      <c r="R26" s="2"/>
    </row>
    <row r="27" spans="1:18" ht="15">
      <c r="A27" s="19"/>
      <c r="B27" s="20">
        <f>DATE(2022,10,1)</f>
        <v>44835</v>
      </c>
      <c r="C27" s="21">
        <v>104490</v>
      </c>
      <c r="D27" s="21">
        <v>110079</v>
      </c>
      <c r="E27" s="23">
        <f t="shared" si="5"/>
        <v>-0.05077262693156733</v>
      </c>
      <c r="F27" s="21">
        <f>+C27-49825</f>
        <v>54665</v>
      </c>
      <c r="G27" s="21">
        <f>+D27-53226</f>
        <v>56853</v>
      </c>
      <c r="H27" s="23">
        <f t="shared" si="6"/>
        <v>-0.03848521625947619</v>
      </c>
      <c r="I27" s="24">
        <f t="shared" si="7"/>
        <v>73.32391941812614</v>
      </c>
      <c r="J27" s="24">
        <f t="shared" si="8"/>
        <v>140.1557914570566</v>
      </c>
      <c r="K27" s="21">
        <v>7661616.34</v>
      </c>
      <c r="L27" s="21">
        <v>7839043.76</v>
      </c>
      <c r="M27" s="25">
        <f t="shared" si="9"/>
        <v>-0.02263380910122639</v>
      </c>
      <c r="N27" s="10"/>
      <c r="R27" s="2"/>
    </row>
    <row r="28" spans="1:18" ht="15">
      <c r="A28" s="19"/>
      <c r="B28" s="20">
        <f>DATE(2022,11,1)</f>
        <v>44866</v>
      </c>
      <c r="C28" s="21">
        <v>93678</v>
      </c>
      <c r="D28" s="21">
        <v>95314</v>
      </c>
      <c r="E28" s="23">
        <f t="shared" si="5"/>
        <v>-0.017164320036930567</v>
      </c>
      <c r="F28" s="21">
        <f>+C28-44918</f>
        <v>48760</v>
      </c>
      <c r="G28" s="21">
        <f>+D28-46228</f>
        <v>49086</v>
      </c>
      <c r="H28" s="23">
        <f t="shared" si="6"/>
        <v>-0.006641404881228863</v>
      </c>
      <c r="I28" s="24">
        <f t="shared" si="7"/>
        <v>75.06646234975128</v>
      </c>
      <c r="J28" s="24">
        <f t="shared" si="8"/>
        <v>144.21813084495489</v>
      </c>
      <c r="K28" s="21">
        <v>7032076.06</v>
      </c>
      <c r="L28" s="21">
        <v>6796062.14</v>
      </c>
      <c r="M28" s="25">
        <f t="shared" si="9"/>
        <v>0.03472804031777142</v>
      </c>
      <c r="N28" s="10"/>
      <c r="R28" s="2"/>
    </row>
    <row r="29" spans="1:18" ht="15">
      <c r="A29" s="19"/>
      <c r="B29" s="20">
        <f>DATE(2022,12,1)</f>
        <v>44896</v>
      </c>
      <c r="C29" s="21">
        <v>102036</v>
      </c>
      <c r="D29" s="21">
        <v>104553</v>
      </c>
      <c r="E29" s="23">
        <f t="shared" si="5"/>
        <v>-0.024073914665289374</v>
      </c>
      <c r="F29" s="21">
        <f>+C29-49071</f>
        <v>52965</v>
      </c>
      <c r="G29" s="21">
        <f>+D29-51073</f>
        <v>53480</v>
      </c>
      <c r="H29" s="23">
        <f t="shared" si="6"/>
        <v>-0.009629768137621541</v>
      </c>
      <c r="I29" s="24">
        <f t="shared" si="7"/>
        <v>72.51331412442667</v>
      </c>
      <c r="J29" s="24">
        <f t="shared" si="8"/>
        <v>139.6954313225715</v>
      </c>
      <c r="K29" s="21">
        <v>7398968.52</v>
      </c>
      <c r="L29" s="21">
        <v>7388208.9</v>
      </c>
      <c r="M29" s="25">
        <f t="shared" si="9"/>
        <v>0.0014563231962755113</v>
      </c>
      <c r="N29" s="10"/>
      <c r="R29" s="2"/>
    </row>
    <row r="30" spans="1:18" ht="15">
      <c r="A30" s="19"/>
      <c r="B30" s="20">
        <f>DATE(2023,1,1)</f>
        <v>44927</v>
      </c>
      <c r="C30" s="21">
        <v>98251</v>
      </c>
      <c r="D30" s="21">
        <v>85873</v>
      </c>
      <c r="E30" s="23">
        <f t="shared" si="5"/>
        <v>0.14414309503569225</v>
      </c>
      <c r="F30" s="21">
        <f>+C30-47583</f>
        <v>50668</v>
      </c>
      <c r="G30" s="21">
        <f>+D30-42515</f>
        <v>43358</v>
      </c>
      <c r="H30" s="23">
        <f t="shared" si="6"/>
        <v>0.16859633746944047</v>
      </c>
      <c r="I30" s="24">
        <f t="shared" si="7"/>
        <v>73.31076548839197</v>
      </c>
      <c r="J30" s="24">
        <f t="shared" si="8"/>
        <v>142.15789097655323</v>
      </c>
      <c r="K30" s="21">
        <v>7202856.02</v>
      </c>
      <c r="L30" s="21">
        <v>6662490.69</v>
      </c>
      <c r="M30" s="25">
        <f t="shared" si="9"/>
        <v>0.08110560376632948</v>
      </c>
      <c r="N30" s="10"/>
      <c r="R30" s="2"/>
    </row>
    <row r="31" spans="1:18" ht="15">
      <c r="A31" s="19"/>
      <c r="B31" s="20">
        <f>DATE(2023,2,1)</f>
        <v>44958</v>
      </c>
      <c r="C31" s="21">
        <v>104260</v>
      </c>
      <c r="D31" s="21">
        <v>95434</v>
      </c>
      <c r="E31" s="23">
        <f t="shared" si="5"/>
        <v>0.09248276295659828</v>
      </c>
      <c r="F31" s="21">
        <f>+C31-49646</f>
        <v>54614</v>
      </c>
      <c r="G31" s="21">
        <f>+D31-47101</f>
        <v>48333</v>
      </c>
      <c r="H31" s="23">
        <f t="shared" si="6"/>
        <v>0.12995262036289906</v>
      </c>
      <c r="I31" s="24">
        <f t="shared" si="7"/>
        <v>73.3793858622674</v>
      </c>
      <c r="J31" s="24">
        <f t="shared" si="8"/>
        <v>140.08376551799904</v>
      </c>
      <c r="K31" s="21">
        <v>7650534.77</v>
      </c>
      <c r="L31" s="21">
        <v>6600177.21</v>
      </c>
      <c r="M31" s="25">
        <f t="shared" si="9"/>
        <v>0.1591408119176848</v>
      </c>
      <c r="N31" s="10"/>
      <c r="R31" s="2"/>
    </row>
    <row r="32" spans="1:18" ht="15">
      <c r="A32" s="19"/>
      <c r="B32" s="20">
        <f>DATE(2023,3,1)</f>
        <v>44986</v>
      </c>
      <c r="C32" s="21">
        <v>109210</v>
      </c>
      <c r="D32" s="21">
        <v>109835</v>
      </c>
      <c r="E32" s="23">
        <f t="shared" si="5"/>
        <v>-0.005690353712386762</v>
      </c>
      <c r="F32" s="21">
        <f>+C32-53257</f>
        <v>55953</v>
      </c>
      <c r="G32" s="21">
        <f>+D32-53778</f>
        <v>56057</v>
      </c>
      <c r="H32" s="23">
        <f t="shared" si="6"/>
        <v>-0.0018552544731255686</v>
      </c>
      <c r="I32" s="24">
        <f t="shared" si="7"/>
        <v>78.60600833257028</v>
      </c>
      <c r="J32" s="24">
        <f t="shared" si="8"/>
        <v>153.42452004360803</v>
      </c>
      <c r="K32" s="21">
        <v>8584562.17</v>
      </c>
      <c r="L32" s="21">
        <v>7942173.29</v>
      </c>
      <c r="M32" s="25">
        <f t="shared" si="9"/>
        <v>0.08088326161415195</v>
      </c>
      <c r="N32" s="10"/>
      <c r="R32" s="2"/>
    </row>
    <row r="33" spans="1:18" ht="15">
      <c r="A33" s="19"/>
      <c r="B33" s="20">
        <f>DATE(2023,4,1)</f>
        <v>45017</v>
      </c>
      <c r="C33" s="21">
        <v>104455</v>
      </c>
      <c r="D33" s="21">
        <v>109068</v>
      </c>
      <c r="E33" s="23">
        <f t="shared" si="5"/>
        <v>-0.042294715223530274</v>
      </c>
      <c r="F33" s="21">
        <f>+C33-51429</f>
        <v>53026</v>
      </c>
      <c r="G33" s="21">
        <f>+D33-53446</f>
        <v>55622</v>
      </c>
      <c r="H33" s="23">
        <f t="shared" si="6"/>
        <v>-0.04667218007263313</v>
      </c>
      <c r="I33" s="24">
        <f t="shared" si="7"/>
        <v>78.0374573739888</v>
      </c>
      <c r="J33" s="24">
        <f t="shared" si="8"/>
        <v>153.7246371591295</v>
      </c>
      <c r="K33" s="21">
        <v>8151402.61</v>
      </c>
      <c r="L33" s="21">
        <v>8319224.76</v>
      </c>
      <c r="M33" s="25">
        <f t="shared" si="9"/>
        <v>-0.020172811150254277</v>
      </c>
      <c r="N33" s="10"/>
      <c r="R33" s="2"/>
    </row>
    <row r="34" spans="1:18" ht="15">
      <c r="A34" s="19"/>
      <c r="B34" s="20">
        <f>DATE(2023,5,1)</f>
        <v>45047</v>
      </c>
      <c r="C34" s="21">
        <v>100250</v>
      </c>
      <c r="D34" s="21">
        <v>101711</v>
      </c>
      <c r="E34" s="23">
        <f t="shared" si="5"/>
        <v>-0.014364228057928837</v>
      </c>
      <c r="F34" s="21">
        <f>+C34-48454</f>
        <v>51796</v>
      </c>
      <c r="G34" s="21">
        <f>+D34-48823</f>
        <v>52888</v>
      </c>
      <c r="H34" s="23">
        <f t="shared" si="6"/>
        <v>-0.02064740583875359</v>
      </c>
      <c r="I34" s="24">
        <f t="shared" si="7"/>
        <v>76.42807092269327</v>
      </c>
      <c r="J34" s="24">
        <f t="shared" si="8"/>
        <v>147.92482257317167</v>
      </c>
      <c r="K34" s="21">
        <v>7661914.11</v>
      </c>
      <c r="L34" s="21">
        <v>7186533.29</v>
      </c>
      <c r="M34" s="25">
        <f t="shared" si="9"/>
        <v>0.06614883711197563</v>
      </c>
      <c r="N34" s="10"/>
      <c r="R34" s="2"/>
    </row>
    <row r="35" spans="1:18" ht="15">
      <c r="A35" s="19"/>
      <c r="B35" s="20">
        <f>DATE(2023,6,1)</f>
        <v>45078</v>
      </c>
      <c r="C35" s="21">
        <v>99370</v>
      </c>
      <c r="D35" s="21">
        <v>94591</v>
      </c>
      <c r="E35" s="23">
        <f t="shared" si="5"/>
        <v>0.05052277700838346</v>
      </c>
      <c r="F35" s="21">
        <f>+C35-47814</f>
        <v>51556</v>
      </c>
      <c r="G35" s="21">
        <f>+D35-45780</f>
        <v>48811</v>
      </c>
      <c r="H35" s="23">
        <f t="shared" si="6"/>
        <v>0.0562373235541169</v>
      </c>
      <c r="I35" s="24">
        <f t="shared" si="7"/>
        <v>72.54949542115327</v>
      </c>
      <c r="J35" s="24">
        <f t="shared" si="8"/>
        <v>139.8332562650322</v>
      </c>
      <c r="K35" s="21">
        <v>7209243.36</v>
      </c>
      <c r="L35" s="21">
        <v>6881563.75</v>
      </c>
      <c r="M35" s="25">
        <f t="shared" si="9"/>
        <v>0.047617027452517655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26" t="s">
        <v>14</v>
      </c>
      <c r="B37" s="27"/>
      <c r="C37" s="28">
        <f>SUM(C24:C36)</f>
        <v>1242010</v>
      </c>
      <c r="D37" s="28">
        <f>SUM(D24:D36)</f>
        <v>1229514</v>
      </c>
      <c r="E37" s="279">
        <f>(+C37-D37)/D37</f>
        <v>0.010163365362248824</v>
      </c>
      <c r="F37" s="28">
        <f>SUM(F24:F36)</f>
        <v>642604</v>
      </c>
      <c r="G37" s="28">
        <f>SUM(G24:G36)</f>
        <v>631080</v>
      </c>
      <c r="H37" s="30">
        <f>(+F37-G37)/G37</f>
        <v>0.018260759333206568</v>
      </c>
      <c r="I37" s="31">
        <f>K37/C37</f>
        <v>74.32211354175892</v>
      </c>
      <c r="J37" s="31">
        <f>K37/F37</f>
        <v>143.64804489234427</v>
      </c>
      <c r="K37" s="28">
        <f>SUM(K24:K36)</f>
        <v>92308808.24</v>
      </c>
      <c r="L37" s="28">
        <f>SUM(L24:L36)</f>
        <v>88494262.16000001</v>
      </c>
      <c r="M37" s="32">
        <f>(+K37-L37)/L37</f>
        <v>0.043105010278555476</v>
      </c>
      <c r="N37" s="10"/>
      <c r="R37" s="2"/>
    </row>
    <row r="38" spans="1:18" ht="15.75" customHeight="1" thickTop="1">
      <c r="A38" s="33"/>
      <c r="B38" s="34"/>
      <c r="C38" s="35"/>
      <c r="D38" s="35"/>
      <c r="E38" s="29"/>
      <c r="F38" s="35"/>
      <c r="G38" s="35"/>
      <c r="H38" s="29"/>
      <c r="I38" s="36"/>
      <c r="J38" s="36"/>
      <c r="K38" s="35"/>
      <c r="L38" s="35"/>
      <c r="M38" s="37"/>
      <c r="N38" s="10"/>
      <c r="R38" s="2"/>
    </row>
    <row r="39" spans="1:18" ht="15.75" customHeight="1">
      <c r="A39" s="19" t="s">
        <v>62</v>
      </c>
      <c r="B39" s="20">
        <f>DATE(2022,7,1)</f>
        <v>44743</v>
      </c>
      <c r="C39" s="21">
        <v>56544</v>
      </c>
      <c r="D39" s="21">
        <v>66837</v>
      </c>
      <c r="E39" s="23">
        <f aca="true" t="shared" si="10" ref="E39:E50">(+C39-D39)/D39</f>
        <v>-0.1540015261008124</v>
      </c>
      <c r="F39" s="21">
        <f>+C39-31773</f>
        <v>24771</v>
      </c>
      <c r="G39" s="21">
        <f>+D39-37212</f>
        <v>29625</v>
      </c>
      <c r="H39" s="23">
        <f aca="true" t="shared" si="11" ref="H39:H50">(+F39-G39)/G39</f>
        <v>-0.16384810126582278</v>
      </c>
      <c r="I39" s="24">
        <f aca="true" t="shared" si="12" ref="I39:I50">K39/C39</f>
        <v>66.96577355687606</v>
      </c>
      <c r="J39" s="24">
        <f aca="true" t="shared" si="13" ref="J39:J50">K39/F39</f>
        <v>152.8607121230471</v>
      </c>
      <c r="K39" s="21">
        <v>3786512.7</v>
      </c>
      <c r="L39" s="21">
        <v>4599517.95</v>
      </c>
      <c r="M39" s="25">
        <f aca="true" t="shared" si="14" ref="M39:M50">(+K39-L39)/L39</f>
        <v>-0.17675879490806204</v>
      </c>
      <c r="N39" s="10"/>
      <c r="R39" s="2"/>
    </row>
    <row r="40" spans="1:18" ht="15.75" customHeight="1">
      <c r="A40" s="19"/>
      <c r="B40" s="20">
        <f>DATE(2022,8,1)</f>
        <v>44774</v>
      </c>
      <c r="C40" s="21">
        <v>49669</v>
      </c>
      <c r="D40" s="21">
        <v>56112</v>
      </c>
      <c r="E40" s="23">
        <f t="shared" si="10"/>
        <v>-0.11482392358140861</v>
      </c>
      <c r="F40" s="21">
        <f>+C40-27651</f>
        <v>22018</v>
      </c>
      <c r="G40" s="21">
        <f>+D40-31048</f>
        <v>25064</v>
      </c>
      <c r="H40" s="23">
        <f t="shared" si="11"/>
        <v>-0.12152888605170763</v>
      </c>
      <c r="I40" s="24">
        <f t="shared" si="12"/>
        <v>70.40636030522056</v>
      </c>
      <c r="J40" s="24">
        <f t="shared" si="13"/>
        <v>158.8252116450177</v>
      </c>
      <c r="K40" s="21">
        <v>3497013.51</v>
      </c>
      <c r="L40" s="21">
        <v>3838097.49</v>
      </c>
      <c r="M40" s="25">
        <f t="shared" si="14"/>
        <v>-0.0888679823502869</v>
      </c>
      <c r="N40" s="10"/>
      <c r="R40" s="2"/>
    </row>
    <row r="41" spans="1:18" ht="15.75" customHeight="1">
      <c r="A41" s="19"/>
      <c r="B41" s="20">
        <f>DATE(2022,9,1)</f>
        <v>44805</v>
      </c>
      <c r="C41" s="21">
        <v>50523</v>
      </c>
      <c r="D41" s="21">
        <v>58084</v>
      </c>
      <c r="E41" s="23">
        <f t="shared" si="10"/>
        <v>-0.13017354176709592</v>
      </c>
      <c r="F41" s="21">
        <f>+C41-27954</f>
        <v>22569</v>
      </c>
      <c r="G41" s="21">
        <f>+D41-32339</f>
        <v>25745</v>
      </c>
      <c r="H41" s="23">
        <f t="shared" si="11"/>
        <v>-0.12336375995338901</v>
      </c>
      <c r="I41" s="24">
        <f t="shared" si="12"/>
        <v>71.1914227183659</v>
      </c>
      <c r="J41" s="24">
        <f t="shared" si="13"/>
        <v>159.36923434799948</v>
      </c>
      <c r="K41" s="21">
        <v>3596804.25</v>
      </c>
      <c r="L41" s="21">
        <v>4086616.29</v>
      </c>
      <c r="M41" s="25">
        <f t="shared" si="14"/>
        <v>-0.11985760473734128</v>
      </c>
      <c r="N41" s="10"/>
      <c r="R41" s="2"/>
    </row>
    <row r="42" spans="1:18" ht="15.75" customHeight="1">
      <c r="A42" s="19"/>
      <c r="B42" s="20">
        <f>DATE(2022,10,1)</f>
        <v>44835</v>
      </c>
      <c r="C42" s="21">
        <v>47473</v>
      </c>
      <c r="D42" s="21">
        <v>57860</v>
      </c>
      <c r="E42" s="23">
        <f t="shared" si="10"/>
        <v>-0.17951952989975803</v>
      </c>
      <c r="F42" s="21">
        <f>+C42-26103</f>
        <v>21370</v>
      </c>
      <c r="G42" s="21">
        <f>+D42-32287</f>
        <v>25573</v>
      </c>
      <c r="H42" s="23">
        <f t="shared" si="11"/>
        <v>-0.16435302858483558</v>
      </c>
      <c r="I42" s="24">
        <f t="shared" si="12"/>
        <v>70.76833652813178</v>
      </c>
      <c r="J42" s="24">
        <f t="shared" si="13"/>
        <v>157.21035283107162</v>
      </c>
      <c r="K42" s="21">
        <v>3359585.24</v>
      </c>
      <c r="L42" s="21">
        <v>4102964.61</v>
      </c>
      <c r="M42" s="25">
        <f t="shared" si="14"/>
        <v>-0.1811810338768678</v>
      </c>
      <c r="N42" s="10"/>
      <c r="R42" s="2"/>
    </row>
    <row r="43" spans="1:18" ht="15.75" customHeight="1">
      <c r="A43" s="19"/>
      <c r="B43" s="20">
        <f>DATE(2022,11,1)</f>
        <v>44866</v>
      </c>
      <c r="C43" s="21">
        <v>39425</v>
      </c>
      <c r="D43" s="21">
        <v>51753</v>
      </c>
      <c r="E43" s="23">
        <f t="shared" si="10"/>
        <v>-0.23820841303885765</v>
      </c>
      <c r="F43" s="21">
        <f>+C43-21931</f>
        <v>17494</v>
      </c>
      <c r="G43" s="21">
        <f>+D43-28958</f>
        <v>22795</v>
      </c>
      <c r="H43" s="23">
        <f t="shared" si="11"/>
        <v>-0.23255099802588286</v>
      </c>
      <c r="I43" s="24">
        <f t="shared" si="12"/>
        <v>78.5845882054534</v>
      </c>
      <c r="J43" s="24">
        <f t="shared" si="13"/>
        <v>177.10057105293245</v>
      </c>
      <c r="K43" s="21">
        <v>3098197.39</v>
      </c>
      <c r="L43" s="21">
        <v>3696376.98</v>
      </c>
      <c r="M43" s="25">
        <f t="shared" si="14"/>
        <v>-0.16182862117056032</v>
      </c>
      <c r="N43" s="10"/>
      <c r="R43" s="2"/>
    </row>
    <row r="44" spans="1:18" ht="15.75" customHeight="1">
      <c r="A44" s="19"/>
      <c r="B44" s="20">
        <f>DATE(2022,12,1)</f>
        <v>44896</v>
      </c>
      <c r="C44" s="21">
        <v>43315</v>
      </c>
      <c r="D44" s="21">
        <v>57109</v>
      </c>
      <c r="E44" s="23">
        <f t="shared" si="10"/>
        <v>-0.2415381113309636</v>
      </c>
      <c r="F44" s="21">
        <f>+C44-23779</f>
        <v>19536</v>
      </c>
      <c r="G44" s="21">
        <f>+D44-32118</f>
        <v>24991</v>
      </c>
      <c r="H44" s="23">
        <f t="shared" si="11"/>
        <v>-0.218278580288904</v>
      </c>
      <c r="I44" s="24">
        <f t="shared" si="12"/>
        <v>72.49898510908461</v>
      </c>
      <c r="J44" s="24">
        <f t="shared" si="13"/>
        <v>160.74393632268632</v>
      </c>
      <c r="K44" s="21">
        <v>3140293.54</v>
      </c>
      <c r="L44" s="21">
        <v>3934957.36</v>
      </c>
      <c r="M44" s="25">
        <f t="shared" si="14"/>
        <v>-0.2019497919032088</v>
      </c>
      <c r="N44" s="10"/>
      <c r="R44" s="2"/>
    </row>
    <row r="45" spans="1:18" ht="15.75" customHeight="1">
      <c r="A45" s="19"/>
      <c r="B45" s="20">
        <f>DATE(2023,1,1)</f>
        <v>44927</v>
      </c>
      <c r="C45" s="21">
        <v>50810</v>
      </c>
      <c r="D45" s="21">
        <v>47271</v>
      </c>
      <c r="E45" s="23">
        <f t="shared" si="10"/>
        <v>0.0748661970341224</v>
      </c>
      <c r="F45" s="21">
        <f>+C45-28221</f>
        <v>22589</v>
      </c>
      <c r="G45" s="21">
        <f>+D45-26698</f>
        <v>20573</v>
      </c>
      <c r="H45" s="23">
        <f t="shared" si="11"/>
        <v>0.09799251446070092</v>
      </c>
      <c r="I45" s="24">
        <f t="shared" si="12"/>
        <v>71.48021452469986</v>
      </c>
      <c r="J45" s="24">
        <f t="shared" si="13"/>
        <v>160.7822258621453</v>
      </c>
      <c r="K45" s="21">
        <v>3631909.7</v>
      </c>
      <c r="L45" s="21">
        <v>3435231.46</v>
      </c>
      <c r="M45" s="25">
        <f t="shared" si="14"/>
        <v>0.05725327166164233</v>
      </c>
      <c r="N45" s="10"/>
      <c r="R45" s="2"/>
    </row>
    <row r="46" spans="1:18" ht="15.75" customHeight="1">
      <c r="A46" s="19"/>
      <c r="B46" s="20">
        <f>DATE(2023,2,1)</f>
        <v>44958</v>
      </c>
      <c r="C46" s="21">
        <v>57307</v>
      </c>
      <c r="D46" s="21">
        <v>51279</v>
      </c>
      <c r="E46" s="23">
        <f t="shared" si="10"/>
        <v>0.117552994403167</v>
      </c>
      <c r="F46" s="21">
        <f>+C46-31374</f>
        <v>25933</v>
      </c>
      <c r="G46" s="21">
        <f>+D46-29313</f>
        <v>21966</v>
      </c>
      <c r="H46" s="23">
        <f t="shared" si="11"/>
        <v>0.18059728671583355</v>
      </c>
      <c r="I46" s="24">
        <f t="shared" si="12"/>
        <v>68.15713560298045</v>
      </c>
      <c r="J46" s="24">
        <f t="shared" si="13"/>
        <v>150.6143126518336</v>
      </c>
      <c r="K46" s="21">
        <v>3905880.97</v>
      </c>
      <c r="L46" s="21">
        <v>3789444.1</v>
      </c>
      <c r="M46" s="25">
        <f t="shared" si="14"/>
        <v>0.03072663613114127</v>
      </c>
      <c r="N46" s="10"/>
      <c r="R46" s="2"/>
    </row>
    <row r="47" spans="1:18" ht="15.75" customHeight="1">
      <c r="A47" s="19"/>
      <c r="B47" s="20">
        <f>DATE(2023,3,1)</f>
        <v>44986</v>
      </c>
      <c r="C47" s="21">
        <v>62514</v>
      </c>
      <c r="D47" s="21">
        <v>60768</v>
      </c>
      <c r="E47" s="23">
        <f t="shared" si="10"/>
        <v>0.028732227488151657</v>
      </c>
      <c r="F47" s="21">
        <f>+C47-33809</f>
        <v>28705</v>
      </c>
      <c r="G47" s="21">
        <f>+D47-33441</f>
        <v>27327</v>
      </c>
      <c r="H47" s="23">
        <f t="shared" si="11"/>
        <v>0.05042631829326307</v>
      </c>
      <c r="I47" s="24">
        <f t="shared" si="12"/>
        <v>72.11054147870877</v>
      </c>
      <c r="J47" s="24">
        <f t="shared" si="13"/>
        <v>157.04296777564883</v>
      </c>
      <c r="K47" s="21">
        <v>4507918.39</v>
      </c>
      <c r="L47" s="21">
        <v>4791438.06</v>
      </c>
      <c r="M47" s="25">
        <f t="shared" si="14"/>
        <v>-0.05917214549153536</v>
      </c>
      <c r="N47" s="10"/>
      <c r="R47" s="2"/>
    </row>
    <row r="48" spans="1:18" ht="15.75" customHeight="1">
      <c r="A48" s="19"/>
      <c r="B48" s="20">
        <f>DATE(2023,4,1)</f>
        <v>45017</v>
      </c>
      <c r="C48" s="21">
        <v>57888</v>
      </c>
      <c r="D48" s="21">
        <v>58182</v>
      </c>
      <c r="E48" s="23">
        <f t="shared" si="10"/>
        <v>-0.005053109209033722</v>
      </c>
      <c r="F48" s="21">
        <f>+C48-31142</f>
        <v>26746</v>
      </c>
      <c r="G48" s="21">
        <f>+D48-32789</f>
        <v>25393</v>
      </c>
      <c r="H48" s="23">
        <f t="shared" si="11"/>
        <v>0.05328240066159965</v>
      </c>
      <c r="I48" s="24">
        <f t="shared" si="12"/>
        <v>70.43068010641238</v>
      </c>
      <c r="J48" s="24">
        <f t="shared" si="13"/>
        <v>152.43741905331638</v>
      </c>
      <c r="K48" s="21">
        <v>4077091.21</v>
      </c>
      <c r="L48" s="21">
        <v>4393043.66</v>
      </c>
      <c r="M48" s="25">
        <f t="shared" si="14"/>
        <v>-0.07192108124871224</v>
      </c>
      <c r="N48" s="10"/>
      <c r="R48" s="2"/>
    </row>
    <row r="49" spans="1:18" ht="15.75" customHeight="1">
      <c r="A49" s="19"/>
      <c r="B49" s="20">
        <f>DATE(2023,5,1)</f>
        <v>45047</v>
      </c>
      <c r="C49" s="21">
        <v>55706</v>
      </c>
      <c r="D49" s="21">
        <v>53655</v>
      </c>
      <c r="E49" s="23">
        <f t="shared" si="10"/>
        <v>0.03822570123939987</v>
      </c>
      <c r="F49" s="21">
        <f>+C49-29309</f>
        <v>26397</v>
      </c>
      <c r="G49" s="21">
        <f>+D49-29997</f>
        <v>23658</v>
      </c>
      <c r="H49" s="23">
        <f t="shared" si="11"/>
        <v>0.11577479076845042</v>
      </c>
      <c r="I49" s="24">
        <f t="shared" si="12"/>
        <v>70.18342907406743</v>
      </c>
      <c r="J49" s="24">
        <f t="shared" si="13"/>
        <v>148.10918286168882</v>
      </c>
      <c r="K49" s="21">
        <v>3909638.1</v>
      </c>
      <c r="L49" s="21">
        <v>3987139.68</v>
      </c>
      <c r="M49" s="25">
        <f t="shared" si="14"/>
        <v>-0.019437889369353638</v>
      </c>
      <c r="N49" s="10"/>
      <c r="R49" s="2"/>
    </row>
    <row r="50" spans="1:18" ht="15.75" customHeight="1">
      <c r="A50" s="19"/>
      <c r="B50" s="20">
        <f>DATE(2023,6,1)</f>
        <v>45078</v>
      </c>
      <c r="C50" s="21">
        <v>54715</v>
      </c>
      <c r="D50" s="21">
        <v>47995</v>
      </c>
      <c r="E50" s="23">
        <f t="shared" si="10"/>
        <v>0.1400145848525888</v>
      </c>
      <c r="F50" s="21">
        <f>+C50-28325</f>
        <v>26390</v>
      </c>
      <c r="G50" s="21">
        <f>+D50-27029</f>
        <v>20966</v>
      </c>
      <c r="H50" s="23">
        <f t="shared" si="11"/>
        <v>0.25870456930268054</v>
      </c>
      <c r="I50" s="24">
        <f t="shared" si="12"/>
        <v>66.56131938225349</v>
      </c>
      <c r="J50" s="24">
        <f t="shared" si="13"/>
        <v>138.0031295945434</v>
      </c>
      <c r="K50" s="21">
        <v>3641902.59</v>
      </c>
      <c r="L50" s="21">
        <v>3628998.26</v>
      </c>
      <c r="M50" s="25">
        <f t="shared" si="14"/>
        <v>0.00355589313509345</v>
      </c>
      <c r="N50" s="10"/>
      <c r="R50" s="2"/>
    </row>
    <row r="51" spans="1:18" ht="15.75" customHeight="1" thickBot="1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customHeight="1" thickBot="1" thickTop="1">
      <c r="A52" s="39" t="s">
        <v>14</v>
      </c>
      <c r="B52" s="40"/>
      <c r="C52" s="41">
        <f>SUM(C39:C51)</f>
        <v>625889</v>
      </c>
      <c r="D52" s="41">
        <f>SUM(D39:D51)</f>
        <v>666905</v>
      </c>
      <c r="E52" s="280">
        <f>(+C52-D52)/D52</f>
        <v>-0.061502013030341654</v>
      </c>
      <c r="F52" s="41">
        <f>SUM(F39:F51)</f>
        <v>284518</v>
      </c>
      <c r="G52" s="41">
        <f>SUM(G39:G51)</f>
        <v>293676</v>
      </c>
      <c r="H52" s="42">
        <f>(+F52-G52)/G52</f>
        <v>-0.031184025933341505</v>
      </c>
      <c r="I52" s="43">
        <f>K52/C52</f>
        <v>70.54405428119044</v>
      </c>
      <c r="J52" s="43">
        <f>K52/F52</f>
        <v>155.18437353699943</v>
      </c>
      <c r="K52" s="41">
        <f>SUM(K39:K51)</f>
        <v>44152747.59</v>
      </c>
      <c r="L52" s="41">
        <f>SUM(L39:L51)</f>
        <v>48283825.900000006</v>
      </c>
      <c r="M52" s="44">
        <f>(+K52-L52)/L52</f>
        <v>-0.08555822230317507</v>
      </c>
      <c r="N52" s="10"/>
      <c r="R52" s="2"/>
    </row>
    <row r="53" spans="1:18" ht="15.75" customHeight="1" thickTop="1">
      <c r="A53" s="38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customHeight="1">
      <c r="A54" s="177" t="s">
        <v>58</v>
      </c>
      <c r="B54" s="20">
        <f>DATE(2022,7,1)</f>
        <v>44743</v>
      </c>
      <c r="C54" s="21">
        <v>327697</v>
      </c>
      <c r="D54" s="21">
        <v>337225</v>
      </c>
      <c r="E54" s="23">
        <f aca="true" t="shared" si="15" ref="E54:E65">(+C54-D54)/D54</f>
        <v>-0.028254132997257025</v>
      </c>
      <c r="F54" s="21">
        <f>+C54-165744</f>
        <v>161953</v>
      </c>
      <c r="G54" s="21">
        <f>+D54-176904</f>
        <v>160321</v>
      </c>
      <c r="H54" s="23">
        <f aca="true" t="shared" si="16" ref="H54:H65">(+F54-G54)/G54</f>
        <v>0.010179577223195964</v>
      </c>
      <c r="I54" s="24">
        <f aca="true" t="shared" si="17" ref="I54:I65">K54/C54</f>
        <v>65.31661333487948</v>
      </c>
      <c r="J54" s="24">
        <f aca="true" t="shared" si="18" ref="J54:J65">K54/F54</f>
        <v>132.16215963890758</v>
      </c>
      <c r="K54" s="21">
        <v>21404058.24</v>
      </c>
      <c r="L54" s="21">
        <v>19292691.57</v>
      </c>
      <c r="M54" s="25">
        <f aca="true" t="shared" si="19" ref="M54:M65">(+K54-L54)/L54</f>
        <v>0.10943867849331912</v>
      </c>
      <c r="N54" s="10"/>
      <c r="R54" s="2"/>
    </row>
    <row r="55" spans="1:18" ht="15.75" customHeight="1">
      <c r="A55" s="177"/>
      <c r="B55" s="20">
        <f>DATE(2022,8,1)</f>
        <v>44774</v>
      </c>
      <c r="C55" s="21">
        <v>302775</v>
      </c>
      <c r="D55" s="21">
        <v>302300</v>
      </c>
      <c r="E55" s="23">
        <f t="shared" si="15"/>
        <v>0.00157128680119087</v>
      </c>
      <c r="F55" s="21">
        <f>+C55-150422</f>
        <v>152353</v>
      </c>
      <c r="G55" s="21">
        <f>+D55-157033</f>
        <v>145267</v>
      </c>
      <c r="H55" s="23">
        <f t="shared" si="16"/>
        <v>0.04877914460958098</v>
      </c>
      <c r="I55" s="24">
        <f t="shared" si="17"/>
        <v>63.88017115019404</v>
      </c>
      <c r="J55" s="24">
        <f t="shared" si="18"/>
        <v>126.950692273864</v>
      </c>
      <c r="K55" s="21">
        <v>19341318.82</v>
      </c>
      <c r="L55" s="21">
        <v>17616276.93</v>
      </c>
      <c r="M55" s="25">
        <f t="shared" si="19"/>
        <v>0.0979231818876726</v>
      </c>
      <c r="N55" s="10"/>
      <c r="R55" s="2"/>
    </row>
    <row r="56" spans="1:18" ht="15.75" customHeight="1">
      <c r="A56" s="177"/>
      <c r="B56" s="20">
        <f>DATE(2022,9,1)</f>
        <v>44805</v>
      </c>
      <c r="C56" s="21">
        <v>299586</v>
      </c>
      <c r="D56" s="21">
        <v>336142</v>
      </c>
      <c r="E56" s="23">
        <f t="shared" si="15"/>
        <v>-0.10875165852526611</v>
      </c>
      <c r="F56" s="21">
        <f>+C56-150974</f>
        <v>148612</v>
      </c>
      <c r="G56" s="21">
        <f>+D56-171648</f>
        <v>164494</v>
      </c>
      <c r="H56" s="23">
        <f t="shared" si="16"/>
        <v>-0.09655063406568021</v>
      </c>
      <c r="I56" s="24">
        <f t="shared" si="17"/>
        <v>70.61192689244491</v>
      </c>
      <c r="J56" s="24">
        <f t="shared" si="18"/>
        <v>142.3461411595295</v>
      </c>
      <c r="K56" s="21">
        <v>21154344.73</v>
      </c>
      <c r="L56" s="21">
        <v>19389436.62</v>
      </c>
      <c r="M56" s="25">
        <f t="shared" si="19"/>
        <v>0.09102420790192094</v>
      </c>
      <c r="N56" s="10"/>
      <c r="R56" s="2"/>
    </row>
    <row r="57" spans="1:18" ht="15.75" customHeight="1">
      <c r="A57" s="177"/>
      <c r="B57" s="20">
        <f>DATE(2022,10,1)</f>
        <v>44835</v>
      </c>
      <c r="C57" s="21">
        <v>280901</v>
      </c>
      <c r="D57" s="21">
        <v>333807</v>
      </c>
      <c r="E57" s="23">
        <f t="shared" si="15"/>
        <v>-0.15849278175712314</v>
      </c>
      <c r="F57" s="21">
        <f>+C57-143073</f>
        <v>137828</v>
      </c>
      <c r="G57" s="21">
        <f>+D57-175822</f>
        <v>157985</v>
      </c>
      <c r="H57" s="23">
        <f t="shared" si="16"/>
        <v>-0.1275880621577998</v>
      </c>
      <c r="I57" s="24">
        <f t="shared" si="17"/>
        <v>68.5524437435253</v>
      </c>
      <c r="J57" s="24">
        <f t="shared" si="18"/>
        <v>139.71362858054968</v>
      </c>
      <c r="K57" s="21">
        <v>19256450</v>
      </c>
      <c r="L57" s="21">
        <v>19174424.98</v>
      </c>
      <c r="M57" s="25">
        <f t="shared" si="19"/>
        <v>0.004277834672255165</v>
      </c>
      <c r="N57" s="10"/>
      <c r="R57" s="2"/>
    </row>
    <row r="58" spans="1:18" ht="15.75" customHeight="1">
      <c r="A58" s="177"/>
      <c r="B58" s="20">
        <f>DATE(2022,11,1)</f>
        <v>44866</v>
      </c>
      <c r="C58" s="21">
        <v>277702</v>
      </c>
      <c r="D58" s="21">
        <v>303436</v>
      </c>
      <c r="E58" s="23">
        <f t="shared" si="15"/>
        <v>-0.08480865816844409</v>
      </c>
      <c r="F58" s="21">
        <f>+C58-138977</f>
        <v>138725</v>
      </c>
      <c r="G58" s="21">
        <f>+D58-164494</f>
        <v>138942</v>
      </c>
      <c r="H58" s="23">
        <f t="shared" si="16"/>
        <v>-0.0015618027666220438</v>
      </c>
      <c r="I58" s="24">
        <f t="shared" si="17"/>
        <v>64.54274801765922</v>
      </c>
      <c r="J58" s="24">
        <f t="shared" si="18"/>
        <v>129.2027407460804</v>
      </c>
      <c r="K58" s="21">
        <v>17923650.21</v>
      </c>
      <c r="L58" s="21">
        <v>18834359.64</v>
      </c>
      <c r="M58" s="25">
        <f t="shared" si="19"/>
        <v>-0.04835361793059611</v>
      </c>
      <c r="N58" s="10"/>
      <c r="R58" s="2"/>
    </row>
    <row r="59" spans="1:18" ht="15.75" customHeight="1">
      <c r="A59" s="177"/>
      <c r="B59" s="20">
        <f>DATE(2022,12,1)</f>
        <v>44896</v>
      </c>
      <c r="C59" s="21">
        <v>302510</v>
      </c>
      <c r="D59" s="21">
        <v>313897</v>
      </c>
      <c r="E59" s="23">
        <f t="shared" si="15"/>
        <v>-0.03627623073810836</v>
      </c>
      <c r="F59" s="21">
        <f>+C59-154252</f>
        <v>148258</v>
      </c>
      <c r="G59" s="21">
        <f>+D59-163677</f>
        <v>150220</v>
      </c>
      <c r="H59" s="23">
        <f t="shared" si="16"/>
        <v>-0.013060844095326854</v>
      </c>
      <c r="I59" s="24">
        <f t="shared" si="17"/>
        <v>66.8517256619616</v>
      </c>
      <c r="J59" s="24">
        <f t="shared" si="18"/>
        <v>136.40623460454074</v>
      </c>
      <c r="K59" s="21">
        <v>20223315.53</v>
      </c>
      <c r="L59" s="21">
        <v>20352135.72</v>
      </c>
      <c r="M59" s="25">
        <f t="shared" si="19"/>
        <v>-0.006329566182747411</v>
      </c>
      <c r="N59" s="10"/>
      <c r="R59" s="2"/>
    </row>
    <row r="60" spans="1:18" ht="15.75" customHeight="1">
      <c r="A60" s="177"/>
      <c r="B60" s="20">
        <f>DATE(2023,1,1)</f>
        <v>44927</v>
      </c>
      <c r="C60" s="21">
        <v>303832</v>
      </c>
      <c r="D60" s="21">
        <v>284315</v>
      </c>
      <c r="E60" s="23">
        <f t="shared" si="15"/>
        <v>0.06864569227793117</v>
      </c>
      <c r="F60" s="21">
        <f>+C60-157346</f>
        <v>146486</v>
      </c>
      <c r="G60" s="21">
        <f>+D60-147505</f>
        <v>136810</v>
      </c>
      <c r="H60" s="23">
        <f t="shared" si="16"/>
        <v>0.0707258241356626</v>
      </c>
      <c r="I60" s="24">
        <f t="shared" si="17"/>
        <v>62.243780576107845</v>
      </c>
      <c r="J60" s="24">
        <f t="shared" si="18"/>
        <v>129.10211446827682</v>
      </c>
      <c r="K60" s="21">
        <v>18911652.34</v>
      </c>
      <c r="L60" s="21">
        <v>18953051.14</v>
      </c>
      <c r="M60" s="25">
        <f t="shared" si="19"/>
        <v>-0.0021842815541519584</v>
      </c>
      <c r="N60" s="10"/>
      <c r="R60" s="2"/>
    </row>
    <row r="61" spans="1:18" ht="15.75" customHeight="1">
      <c r="A61" s="177"/>
      <c r="B61" s="20">
        <f>DATE(2023,2,1)</f>
        <v>44958</v>
      </c>
      <c r="C61" s="21">
        <v>310506</v>
      </c>
      <c r="D61" s="21">
        <v>279152</v>
      </c>
      <c r="E61" s="23">
        <f t="shared" si="15"/>
        <v>0.1123187367455723</v>
      </c>
      <c r="F61" s="21">
        <f>+C61-160719</f>
        <v>149787</v>
      </c>
      <c r="G61" s="21">
        <f>+D61-149732</f>
        <v>129420</v>
      </c>
      <c r="H61" s="23">
        <f t="shared" si="16"/>
        <v>0.15737134909596662</v>
      </c>
      <c r="I61" s="24">
        <f t="shared" si="17"/>
        <v>62.29821533239293</v>
      </c>
      <c r="J61" s="24">
        <f t="shared" si="18"/>
        <v>129.14318098366346</v>
      </c>
      <c r="K61" s="21">
        <v>19343969.65</v>
      </c>
      <c r="L61" s="21">
        <v>17585750.39</v>
      </c>
      <c r="M61" s="25">
        <f t="shared" si="19"/>
        <v>0.09997976890424849</v>
      </c>
      <c r="N61" s="10"/>
      <c r="R61" s="2"/>
    </row>
    <row r="62" spans="1:18" ht="15.75" customHeight="1">
      <c r="A62" s="177"/>
      <c r="B62" s="20">
        <f>DATE(2023,3,1)</f>
        <v>44986</v>
      </c>
      <c r="C62" s="21">
        <v>350533</v>
      </c>
      <c r="D62" s="21">
        <v>343142</v>
      </c>
      <c r="E62" s="23">
        <f t="shared" si="15"/>
        <v>0.021539187858087904</v>
      </c>
      <c r="F62" s="21">
        <f>+C62-179914</f>
        <v>170619</v>
      </c>
      <c r="G62" s="21">
        <f>+D62-180419</f>
        <v>162723</v>
      </c>
      <c r="H62" s="23">
        <f t="shared" si="16"/>
        <v>0.048524179126491034</v>
      </c>
      <c r="I62" s="24">
        <f t="shared" si="17"/>
        <v>64.126670356286</v>
      </c>
      <c r="J62" s="24">
        <f t="shared" si="18"/>
        <v>131.746840269841</v>
      </c>
      <c r="K62" s="21">
        <v>22478514.14</v>
      </c>
      <c r="L62" s="21">
        <v>22115889.43</v>
      </c>
      <c r="M62" s="25">
        <f t="shared" si="19"/>
        <v>0.01639656913405001</v>
      </c>
      <c r="N62" s="10"/>
      <c r="R62" s="2"/>
    </row>
    <row r="63" spans="1:18" ht="15.75" customHeight="1">
      <c r="A63" s="177"/>
      <c r="B63" s="20">
        <f>DATE(2023,4,1)</f>
        <v>45017</v>
      </c>
      <c r="C63" s="21">
        <v>316028</v>
      </c>
      <c r="D63" s="21">
        <v>329305</v>
      </c>
      <c r="E63" s="23">
        <f t="shared" si="15"/>
        <v>-0.0403182460029456</v>
      </c>
      <c r="F63" s="21">
        <f>+C63-163969</f>
        <v>152059</v>
      </c>
      <c r="G63" s="21">
        <f>+D63-168280</f>
        <v>161025</v>
      </c>
      <c r="H63" s="23">
        <f t="shared" si="16"/>
        <v>-0.05568079490762304</v>
      </c>
      <c r="I63" s="24">
        <f t="shared" si="17"/>
        <v>67.11381326971028</v>
      </c>
      <c r="J63" s="24">
        <f t="shared" si="18"/>
        <v>139.48430661782598</v>
      </c>
      <c r="K63" s="21">
        <v>21209844.18</v>
      </c>
      <c r="L63" s="21">
        <v>22199173.11</v>
      </c>
      <c r="M63" s="25">
        <f t="shared" si="19"/>
        <v>-0.0445660261802427</v>
      </c>
      <c r="N63" s="10"/>
      <c r="R63" s="2"/>
    </row>
    <row r="64" spans="1:18" ht="15.75" customHeight="1">
      <c r="A64" s="177"/>
      <c r="B64" s="20">
        <f>DATE(2023,5,1)</f>
        <v>45047</v>
      </c>
      <c r="C64" s="21">
        <v>316736</v>
      </c>
      <c r="D64" s="21">
        <v>324893</v>
      </c>
      <c r="E64" s="23">
        <f t="shared" si="15"/>
        <v>-0.025106727445651338</v>
      </c>
      <c r="F64" s="21">
        <f>+C64-158563</f>
        <v>158173</v>
      </c>
      <c r="G64" s="21">
        <f>+D64-166745</f>
        <v>158148</v>
      </c>
      <c r="H64" s="23">
        <f t="shared" si="16"/>
        <v>0.0001580797733768369</v>
      </c>
      <c r="I64" s="24">
        <f t="shared" si="17"/>
        <v>69.44525589134169</v>
      </c>
      <c r="J64" s="24">
        <f t="shared" si="18"/>
        <v>139.06173980388562</v>
      </c>
      <c r="K64" s="21">
        <v>21995812.57</v>
      </c>
      <c r="L64" s="21">
        <v>20755264.91</v>
      </c>
      <c r="M64" s="25">
        <f t="shared" si="19"/>
        <v>0.05977026385253688</v>
      </c>
      <c r="N64" s="10"/>
      <c r="R64" s="2"/>
    </row>
    <row r="65" spans="1:18" ht="15.75" customHeight="1">
      <c r="A65" s="177"/>
      <c r="B65" s="20">
        <f>DATE(2023,6,1)</f>
        <v>45078</v>
      </c>
      <c r="C65" s="21">
        <v>312941</v>
      </c>
      <c r="D65" s="21">
        <v>291932</v>
      </c>
      <c r="E65" s="23">
        <f t="shared" si="15"/>
        <v>0.07196538920022472</v>
      </c>
      <c r="F65" s="21">
        <f>+C65-155987</f>
        <v>156954</v>
      </c>
      <c r="G65" s="21">
        <f>+D65-145581</f>
        <v>146351</v>
      </c>
      <c r="H65" s="23">
        <f t="shared" si="16"/>
        <v>0.07244911206619702</v>
      </c>
      <c r="I65" s="24">
        <f t="shared" si="17"/>
        <v>65.0624335897182</v>
      </c>
      <c r="J65" s="24">
        <f t="shared" si="18"/>
        <v>129.72401487059904</v>
      </c>
      <c r="K65" s="21">
        <v>20360703.03</v>
      </c>
      <c r="L65" s="21">
        <v>18101590.46</v>
      </c>
      <c r="M65" s="25">
        <f t="shared" si="19"/>
        <v>0.12480188274019764</v>
      </c>
      <c r="N65" s="10"/>
      <c r="R65" s="2"/>
    </row>
    <row r="66" spans="1:18" ht="1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6.5" thickBot="1" thickTop="1">
      <c r="A67" s="39" t="s">
        <v>14</v>
      </c>
      <c r="B67" s="40"/>
      <c r="C67" s="41">
        <f>SUM(C54:C66)</f>
        <v>3701747</v>
      </c>
      <c r="D67" s="41">
        <f>SUM(D54:D66)</f>
        <v>3779546</v>
      </c>
      <c r="E67" s="280">
        <f>(+C67-D67)/D67</f>
        <v>-0.02058421831616813</v>
      </c>
      <c r="F67" s="41">
        <f>SUM(F54:F66)</f>
        <v>1821807</v>
      </c>
      <c r="G67" s="41">
        <f>SUM(G54:G66)</f>
        <v>1811706</v>
      </c>
      <c r="H67" s="42">
        <f>(+F67-G67)/G67</f>
        <v>0.005575407930425797</v>
      </c>
      <c r="I67" s="43">
        <f>K67/C67</f>
        <v>65.80774792010368</v>
      </c>
      <c r="J67" s="43">
        <f>K67/F67</f>
        <v>133.71538996172484</v>
      </c>
      <c r="K67" s="41">
        <f>SUM(K54:K66)</f>
        <v>243603633.44000003</v>
      </c>
      <c r="L67" s="41">
        <f>SUM(L54:L66)</f>
        <v>234370044.90000004</v>
      </c>
      <c r="M67" s="44">
        <f>(+K67-L67)/L67</f>
        <v>0.03939747736934444</v>
      </c>
      <c r="N67" s="10"/>
      <c r="R67" s="2"/>
    </row>
    <row r="68" spans="1:18" ht="15" thickTop="1">
      <c r="A68" s="38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">
      <c r="A69" s="19" t="s">
        <v>60</v>
      </c>
      <c r="B69" s="20">
        <f>DATE(2022,7,1)</f>
        <v>44743</v>
      </c>
      <c r="C69" s="21">
        <v>219130</v>
      </c>
      <c r="D69" s="21">
        <v>256229</v>
      </c>
      <c r="E69" s="23">
        <f aca="true" t="shared" si="20" ref="E69:E80">(+C69-D69)/D69</f>
        <v>-0.14478845095598078</v>
      </c>
      <c r="F69" s="21">
        <f>+C69-103416</f>
        <v>115714</v>
      </c>
      <c r="G69" s="21">
        <f>+D69-120621</f>
        <v>135608</v>
      </c>
      <c r="H69" s="23">
        <f aca="true" t="shared" si="21" ref="H69:H80">(+F69-G69)/G69</f>
        <v>-0.14670225945371954</v>
      </c>
      <c r="I69" s="24">
        <f aca="true" t="shared" si="22" ref="I69:I80">K69/C69</f>
        <v>68.78706274814037</v>
      </c>
      <c r="J69" s="24">
        <f aca="true" t="shared" si="23" ref="J69:J80">K69/F69</f>
        <v>130.2634863542873</v>
      </c>
      <c r="K69" s="21">
        <v>15073309.06</v>
      </c>
      <c r="L69" s="21">
        <v>16211316.17</v>
      </c>
      <c r="M69" s="25">
        <f aca="true" t="shared" si="24" ref="M69:M80">(+K69-L69)/L69</f>
        <v>-0.07019831690815759</v>
      </c>
      <c r="N69" s="10"/>
      <c r="R69" s="2"/>
    </row>
    <row r="70" spans="1:18" ht="15">
      <c r="A70" s="19"/>
      <c r="B70" s="20">
        <f>DATE(2022,8,1)</f>
        <v>44774</v>
      </c>
      <c r="C70" s="21">
        <v>204381</v>
      </c>
      <c r="D70" s="21">
        <v>232853</v>
      </c>
      <c r="E70" s="23">
        <f t="shared" si="20"/>
        <v>-0.12227456807513754</v>
      </c>
      <c r="F70" s="21">
        <f>+C70-97907</f>
        <v>106474</v>
      </c>
      <c r="G70" s="21">
        <f>+D70-112411</f>
        <v>120442</v>
      </c>
      <c r="H70" s="23">
        <f t="shared" si="21"/>
        <v>-0.11597283339698776</v>
      </c>
      <c r="I70" s="24">
        <f t="shared" si="22"/>
        <v>74.90397996878379</v>
      </c>
      <c r="J70" s="24">
        <f t="shared" si="23"/>
        <v>143.78111398087796</v>
      </c>
      <c r="K70" s="21">
        <v>15308950.33</v>
      </c>
      <c r="L70" s="21">
        <v>13388857.55</v>
      </c>
      <c r="M70" s="25">
        <f t="shared" si="24"/>
        <v>0.1434097549271483</v>
      </c>
      <c r="N70" s="10"/>
      <c r="R70" s="2"/>
    </row>
    <row r="71" spans="1:18" ht="15">
      <c r="A71" s="19"/>
      <c r="B71" s="20">
        <f>DATE(2022,9,1)</f>
        <v>44805</v>
      </c>
      <c r="C71" s="21">
        <v>195879</v>
      </c>
      <c r="D71" s="21">
        <v>224419</v>
      </c>
      <c r="E71" s="23">
        <f t="shared" si="20"/>
        <v>-0.12717283295977613</v>
      </c>
      <c r="F71" s="21">
        <f>+C71-93599</f>
        <v>102280</v>
      </c>
      <c r="G71" s="21">
        <f>+D71-105923</f>
        <v>118496</v>
      </c>
      <c r="H71" s="23">
        <f t="shared" si="21"/>
        <v>-0.1368485012152309</v>
      </c>
      <c r="I71" s="24">
        <f t="shared" si="22"/>
        <v>70.69372066428765</v>
      </c>
      <c r="J71" s="24">
        <f t="shared" si="23"/>
        <v>135.387322154869</v>
      </c>
      <c r="K71" s="21">
        <v>13847415.31</v>
      </c>
      <c r="L71" s="21">
        <v>14489840.68</v>
      </c>
      <c r="M71" s="25">
        <f t="shared" si="24"/>
        <v>-0.044336261811817185</v>
      </c>
      <c r="N71" s="10"/>
      <c r="R71" s="2"/>
    </row>
    <row r="72" spans="1:18" ht="15">
      <c r="A72" s="19"/>
      <c r="B72" s="20">
        <f>DATE(2022,10,1)</f>
        <v>44835</v>
      </c>
      <c r="C72" s="21">
        <v>197679</v>
      </c>
      <c r="D72" s="21">
        <v>231892</v>
      </c>
      <c r="E72" s="23">
        <f t="shared" si="20"/>
        <v>-0.14753850930605628</v>
      </c>
      <c r="F72" s="21">
        <f>+C72-94885</f>
        <v>102794</v>
      </c>
      <c r="G72" s="21">
        <f>+D72-109202</f>
        <v>122690</v>
      </c>
      <c r="H72" s="23">
        <f t="shared" si="21"/>
        <v>-0.16216480560762897</v>
      </c>
      <c r="I72" s="24">
        <f t="shared" si="22"/>
        <v>60.34940787842917</v>
      </c>
      <c r="J72" s="24">
        <f t="shared" si="23"/>
        <v>116.05551491332179</v>
      </c>
      <c r="K72" s="21">
        <v>11929810.6</v>
      </c>
      <c r="L72" s="21">
        <v>14909962.77</v>
      </c>
      <c r="M72" s="25">
        <f t="shared" si="24"/>
        <v>-0.19987656682793983</v>
      </c>
      <c r="N72" s="10"/>
      <c r="R72" s="2"/>
    </row>
    <row r="73" spans="1:18" ht="15">
      <c r="A73" s="19"/>
      <c r="B73" s="20">
        <f>DATE(2022,11,1)</f>
        <v>44866</v>
      </c>
      <c r="C73" s="21">
        <v>191977</v>
      </c>
      <c r="D73" s="21">
        <v>219677</v>
      </c>
      <c r="E73" s="23">
        <f t="shared" si="20"/>
        <v>-0.12609422015049368</v>
      </c>
      <c r="F73" s="21">
        <f>+C73-91569</f>
        <v>100408</v>
      </c>
      <c r="G73" s="21">
        <f>+D73-102367</f>
        <v>117310</v>
      </c>
      <c r="H73" s="23">
        <f t="shared" si="21"/>
        <v>-0.14407978859432274</v>
      </c>
      <c r="I73" s="24">
        <f t="shared" si="22"/>
        <v>73.44212129578023</v>
      </c>
      <c r="J73" s="24">
        <f t="shared" si="23"/>
        <v>140.41907138873395</v>
      </c>
      <c r="K73" s="21">
        <v>14099198.12</v>
      </c>
      <c r="L73" s="21">
        <v>15078789.92</v>
      </c>
      <c r="M73" s="25">
        <f t="shared" si="24"/>
        <v>-0.06496488147903057</v>
      </c>
      <c r="N73" s="10"/>
      <c r="R73" s="2"/>
    </row>
    <row r="74" spans="1:18" ht="15">
      <c r="A74" s="19"/>
      <c r="B74" s="20">
        <f>DATE(2022,12,1)</f>
        <v>44896</v>
      </c>
      <c r="C74" s="21">
        <v>193245</v>
      </c>
      <c r="D74" s="21">
        <v>233380</v>
      </c>
      <c r="E74" s="23">
        <f t="shared" si="20"/>
        <v>-0.17197274830748135</v>
      </c>
      <c r="F74" s="21">
        <f>+C74-93799</f>
        <v>99446</v>
      </c>
      <c r="G74" s="21">
        <f>+D74-110272</f>
        <v>123108</v>
      </c>
      <c r="H74" s="23">
        <f t="shared" si="21"/>
        <v>-0.19220521818240893</v>
      </c>
      <c r="I74" s="24">
        <f t="shared" si="22"/>
        <v>76.36663561799787</v>
      </c>
      <c r="J74" s="24">
        <f t="shared" si="23"/>
        <v>148.39682340164512</v>
      </c>
      <c r="K74" s="21">
        <v>14757470.5</v>
      </c>
      <c r="L74" s="21">
        <v>14821041.2</v>
      </c>
      <c r="M74" s="25">
        <f t="shared" si="24"/>
        <v>-0.004289219572508796</v>
      </c>
      <c r="N74" s="10"/>
      <c r="R74" s="2"/>
    </row>
    <row r="75" spans="1:18" ht="15">
      <c r="A75" s="19"/>
      <c r="B75" s="20">
        <f>DATE(2023,1,1)</f>
        <v>44927</v>
      </c>
      <c r="C75" s="21">
        <v>186881</v>
      </c>
      <c r="D75" s="21">
        <v>196225</v>
      </c>
      <c r="E75" s="23">
        <f t="shared" si="20"/>
        <v>-0.04761880494330488</v>
      </c>
      <c r="F75" s="21">
        <f>+C75-92185</f>
        <v>94696</v>
      </c>
      <c r="G75" s="21">
        <f>+D75-96553</f>
        <v>99672</v>
      </c>
      <c r="H75" s="23">
        <f t="shared" si="21"/>
        <v>-0.04992374989967092</v>
      </c>
      <c r="I75" s="24">
        <f t="shared" si="22"/>
        <v>75.54736998410753</v>
      </c>
      <c r="J75" s="24">
        <f t="shared" si="23"/>
        <v>149.09149330489146</v>
      </c>
      <c r="K75" s="21">
        <v>14118368.05</v>
      </c>
      <c r="L75" s="21">
        <v>13979337.13</v>
      </c>
      <c r="M75" s="25">
        <f t="shared" si="24"/>
        <v>0.009945458694292175</v>
      </c>
      <c r="N75" s="10"/>
      <c r="R75" s="2"/>
    </row>
    <row r="76" spans="1:18" ht="15">
      <c r="A76" s="19"/>
      <c r="B76" s="20">
        <f>DATE(2023,2,1)</f>
        <v>44958</v>
      </c>
      <c r="C76" s="21">
        <v>182698</v>
      </c>
      <c r="D76" s="21">
        <v>198005</v>
      </c>
      <c r="E76" s="23">
        <f t="shared" si="20"/>
        <v>-0.07730612863311533</v>
      </c>
      <c r="F76" s="21">
        <f>+C76-88434</f>
        <v>94264</v>
      </c>
      <c r="G76" s="21">
        <f>+D76-96853</f>
        <v>101152</v>
      </c>
      <c r="H76" s="23">
        <f t="shared" si="21"/>
        <v>-0.06809553938627017</v>
      </c>
      <c r="I76" s="24">
        <f t="shared" si="22"/>
        <v>74.94019704649202</v>
      </c>
      <c r="J76" s="24">
        <f t="shared" si="23"/>
        <v>145.2455244844267</v>
      </c>
      <c r="K76" s="21">
        <v>13691424.12</v>
      </c>
      <c r="L76" s="21">
        <v>12112080.02</v>
      </c>
      <c r="M76" s="25">
        <f t="shared" si="24"/>
        <v>0.13039412697010894</v>
      </c>
      <c r="N76" s="10"/>
      <c r="R76" s="2"/>
    </row>
    <row r="77" spans="1:18" ht="15">
      <c r="A77" s="19"/>
      <c r="B77" s="20">
        <f>DATE(2023,3,1)</f>
        <v>44986</v>
      </c>
      <c r="C77" s="21">
        <v>212491</v>
      </c>
      <c r="D77" s="21">
        <v>227322</v>
      </c>
      <c r="E77" s="23">
        <f t="shared" si="20"/>
        <v>-0.06524225547901215</v>
      </c>
      <c r="F77" s="21">
        <f>+C77-103370</f>
        <v>109121</v>
      </c>
      <c r="G77" s="21">
        <f>+D77-110886</f>
        <v>116436</v>
      </c>
      <c r="H77" s="23">
        <f t="shared" si="21"/>
        <v>-0.06282421244288708</v>
      </c>
      <c r="I77" s="24">
        <f t="shared" si="22"/>
        <v>76.91896983872259</v>
      </c>
      <c r="J77" s="24">
        <f t="shared" si="23"/>
        <v>149.7840820740279</v>
      </c>
      <c r="K77" s="21">
        <v>16344588.82</v>
      </c>
      <c r="L77" s="21">
        <v>16929937.09</v>
      </c>
      <c r="M77" s="25">
        <f t="shared" si="24"/>
        <v>-0.034574745723405374</v>
      </c>
      <c r="N77" s="10"/>
      <c r="R77" s="2"/>
    </row>
    <row r="78" spans="1:18" ht="15">
      <c r="A78" s="19"/>
      <c r="B78" s="20">
        <f>DATE(2023,4,1)</f>
        <v>45017</v>
      </c>
      <c r="C78" s="21">
        <v>192775</v>
      </c>
      <c r="D78" s="21">
        <v>220529</v>
      </c>
      <c r="E78" s="23">
        <f t="shared" si="20"/>
        <v>-0.12585192877127271</v>
      </c>
      <c r="F78" s="21">
        <f>+C78-92557</f>
        <v>100218</v>
      </c>
      <c r="G78" s="21">
        <f>+D78-106576</f>
        <v>113953</v>
      </c>
      <c r="H78" s="23">
        <f t="shared" si="21"/>
        <v>-0.12053214921941502</v>
      </c>
      <c r="I78" s="24">
        <f t="shared" si="22"/>
        <v>72.71869277655297</v>
      </c>
      <c r="J78" s="24">
        <f t="shared" si="23"/>
        <v>139.87852481590133</v>
      </c>
      <c r="K78" s="21">
        <v>14018346</v>
      </c>
      <c r="L78" s="21">
        <v>15730214.6</v>
      </c>
      <c r="M78" s="25">
        <f t="shared" si="24"/>
        <v>-0.10882677976942537</v>
      </c>
      <c r="N78" s="10"/>
      <c r="R78" s="2"/>
    </row>
    <row r="79" spans="1:18" ht="15">
      <c r="A79" s="19"/>
      <c r="B79" s="20">
        <f>DATE(2023,5,1)</f>
        <v>45047</v>
      </c>
      <c r="C79" s="21">
        <v>198597</v>
      </c>
      <c r="D79" s="21">
        <v>211160</v>
      </c>
      <c r="E79" s="23">
        <f t="shared" si="20"/>
        <v>-0.05949516953968555</v>
      </c>
      <c r="F79" s="21">
        <f>+C79-96539</f>
        <v>102058</v>
      </c>
      <c r="G79" s="21">
        <f>+D79-102141</f>
        <v>109019</v>
      </c>
      <c r="H79" s="23">
        <f t="shared" si="21"/>
        <v>-0.06385125528577587</v>
      </c>
      <c r="I79" s="24">
        <f t="shared" si="22"/>
        <v>71.22116104472877</v>
      </c>
      <c r="J79" s="24">
        <f t="shared" si="23"/>
        <v>138.59088871034118</v>
      </c>
      <c r="K79" s="21">
        <v>14144308.92</v>
      </c>
      <c r="L79" s="21">
        <v>14984746.79</v>
      </c>
      <c r="M79" s="25">
        <f t="shared" si="24"/>
        <v>-0.056086224330521316</v>
      </c>
      <c r="N79" s="10"/>
      <c r="R79" s="2"/>
    </row>
    <row r="80" spans="1:18" ht="15">
      <c r="A80" s="19"/>
      <c r="B80" s="20">
        <f>DATE(2023,6,1)</f>
        <v>45078</v>
      </c>
      <c r="C80" s="21">
        <v>179355</v>
      </c>
      <c r="D80" s="21">
        <v>191018</v>
      </c>
      <c r="E80" s="23">
        <f t="shared" si="20"/>
        <v>-0.06105707315540944</v>
      </c>
      <c r="F80" s="21">
        <f>+C80-83334</f>
        <v>96021</v>
      </c>
      <c r="G80" s="21">
        <f>+D80-89300</f>
        <v>101718</v>
      </c>
      <c r="H80" s="23">
        <f t="shared" si="21"/>
        <v>-0.05600778623252522</v>
      </c>
      <c r="I80" s="24">
        <f t="shared" si="22"/>
        <v>74.63972635276407</v>
      </c>
      <c r="J80" s="24">
        <f t="shared" si="23"/>
        <v>139.41750367107196</v>
      </c>
      <c r="K80" s="21">
        <v>13387008.12</v>
      </c>
      <c r="L80" s="21">
        <v>14170579.34</v>
      </c>
      <c r="M80" s="25">
        <f t="shared" si="24"/>
        <v>-0.05529563761646464</v>
      </c>
      <c r="N80" s="10"/>
      <c r="R80" s="2"/>
    </row>
    <row r="81" spans="1:18" ht="15" thickBot="1">
      <c r="A81" s="38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6.5" thickBot="1" thickTop="1">
      <c r="A82" s="39" t="s">
        <v>14</v>
      </c>
      <c r="B82" s="40"/>
      <c r="C82" s="41">
        <f>SUM(C69:C81)</f>
        <v>2355088</v>
      </c>
      <c r="D82" s="41">
        <f>SUM(D69:D81)</f>
        <v>2642709</v>
      </c>
      <c r="E82" s="281">
        <f>(+C82-D82)/D82</f>
        <v>-0.10883566824799855</v>
      </c>
      <c r="F82" s="47">
        <f>SUM(F69:F81)</f>
        <v>1223494</v>
      </c>
      <c r="G82" s="48">
        <f>SUM(G69:G81)</f>
        <v>1379604</v>
      </c>
      <c r="H82" s="49">
        <f>(+F82-G82)/G82</f>
        <v>-0.1131556591601648</v>
      </c>
      <c r="I82" s="50">
        <f>K82/C82</f>
        <v>72.48994430356743</v>
      </c>
      <c r="J82" s="51">
        <f>K82/F82</f>
        <v>139.53496948084745</v>
      </c>
      <c r="K82" s="48">
        <f>SUM(K69:K81)</f>
        <v>170720197.95</v>
      </c>
      <c r="L82" s="47">
        <f>SUM(L69:L81)</f>
        <v>176806703.26</v>
      </c>
      <c r="M82" s="44">
        <f>(+K82-L82)/L82</f>
        <v>-0.03442462982327994</v>
      </c>
      <c r="N82" s="10"/>
      <c r="R82" s="2"/>
    </row>
    <row r="83" spans="1:18" ht="15.75" customHeight="1" thickTop="1">
      <c r="A83" s="273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">
      <c r="A84" s="274" t="s">
        <v>61</v>
      </c>
      <c r="B84" s="20">
        <f>DATE(2022,7,1)</f>
        <v>44743</v>
      </c>
      <c r="C84" s="21">
        <v>95268</v>
      </c>
      <c r="D84" s="21">
        <v>104293</v>
      </c>
      <c r="E84" s="23">
        <f aca="true" t="shared" si="25" ref="E84:E95">(+C84-D84)/D84</f>
        <v>-0.08653505029100707</v>
      </c>
      <c r="F84" s="21">
        <f>+C84-47922</f>
        <v>47346</v>
      </c>
      <c r="G84" s="21">
        <f>+D84-51816</f>
        <v>52477</v>
      </c>
      <c r="H84" s="23">
        <f aca="true" t="shared" si="26" ref="H84:H95">(+F84-G84)/G84</f>
        <v>-0.09777616860719934</v>
      </c>
      <c r="I84" s="24">
        <f aca="true" t="shared" si="27" ref="I84:I95">K84/C84</f>
        <v>65.71094281395641</v>
      </c>
      <c r="J84" s="24">
        <f aca="true" t="shared" si="28" ref="J84:J95">K84/F84</f>
        <v>132.22130908630083</v>
      </c>
      <c r="K84" s="21">
        <v>6260150.1</v>
      </c>
      <c r="L84" s="21">
        <v>6473124.34</v>
      </c>
      <c r="M84" s="25">
        <f aca="true" t="shared" si="29" ref="M84:M95">(+K84-L84)/L84</f>
        <v>-0.03290130527602382</v>
      </c>
      <c r="N84" s="10"/>
      <c r="R84" s="2"/>
    </row>
    <row r="85" spans="1:18" ht="15">
      <c r="A85" s="274"/>
      <c r="B85" s="20">
        <f>DATE(2022,8,1)</f>
        <v>44774</v>
      </c>
      <c r="C85" s="21">
        <v>85207</v>
      </c>
      <c r="D85" s="21">
        <v>93122</v>
      </c>
      <c r="E85" s="23">
        <f t="shared" si="25"/>
        <v>-0.08499602671763923</v>
      </c>
      <c r="F85" s="21">
        <f>+C85-42477</f>
        <v>42730</v>
      </c>
      <c r="G85" s="21">
        <f>+D85-46288</f>
        <v>46834</v>
      </c>
      <c r="H85" s="23">
        <f t="shared" si="26"/>
        <v>-0.087628645855575</v>
      </c>
      <c r="I85" s="24">
        <f t="shared" si="27"/>
        <v>64.13961986691234</v>
      </c>
      <c r="J85" s="24">
        <f t="shared" si="28"/>
        <v>127.8994755441142</v>
      </c>
      <c r="K85" s="21">
        <v>5465144.59</v>
      </c>
      <c r="L85" s="21">
        <v>5866516.67</v>
      </c>
      <c r="M85" s="25">
        <f t="shared" si="29"/>
        <v>-0.06841744472533819</v>
      </c>
      <c r="N85" s="10"/>
      <c r="R85" s="2"/>
    </row>
    <row r="86" spans="1:18" ht="15">
      <c r="A86" s="274"/>
      <c r="B86" s="20">
        <f>DATE(2022,9,1)</f>
        <v>44805</v>
      </c>
      <c r="C86" s="21">
        <v>84321</v>
      </c>
      <c r="D86" s="21">
        <v>92204</v>
      </c>
      <c r="E86" s="23">
        <f t="shared" si="25"/>
        <v>-0.08549520628172314</v>
      </c>
      <c r="F86" s="21">
        <f>+C86-41917</f>
        <v>42404</v>
      </c>
      <c r="G86" s="21">
        <f>+D86-46055</f>
        <v>46149</v>
      </c>
      <c r="H86" s="23">
        <f t="shared" si="26"/>
        <v>-0.08115018743634748</v>
      </c>
      <c r="I86" s="24">
        <f t="shared" si="27"/>
        <v>63.81375695259781</v>
      </c>
      <c r="J86" s="24">
        <f t="shared" si="28"/>
        <v>126.89462786529572</v>
      </c>
      <c r="K86" s="21">
        <v>5380839.8</v>
      </c>
      <c r="L86" s="21">
        <v>5989167.16</v>
      </c>
      <c r="M86" s="25">
        <f t="shared" si="29"/>
        <v>-0.10157127756641214</v>
      </c>
      <c r="N86" s="10"/>
      <c r="R86" s="2"/>
    </row>
    <row r="87" spans="1:18" ht="15">
      <c r="A87" s="274"/>
      <c r="B87" s="20">
        <f>DATE(2022,10,1)</f>
        <v>44835</v>
      </c>
      <c r="C87" s="21">
        <v>85227</v>
      </c>
      <c r="D87" s="21">
        <v>93325</v>
      </c>
      <c r="E87" s="23">
        <f t="shared" si="25"/>
        <v>-0.08677203321725153</v>
      </c>
      <c r="F87" s="21">
        <f>+C87-43095</f>
        <v>42132</v>
      </c>
      <c r="G87" s="21">
        <f>+D87-46461</f>
        <v>46864</v>
      </c>
      <c r="H87" s="23">
        <f t="shared" si="26"/>
        <v>-0.10097302833731649</v>
      </c>
      <c r="I87" s="24">
        <f t="shared" si="27"/>
        <v>64.75007004822415</v>
      </c>
      <c r="J87" s="24">
        <f t="shared" si="28"/>
        <v>130.98011535175164</v>
      </c>
      <c r="K87" s="21">
        <v>5518454.22</v>
      </c>
      <c r="L87" s="21">
        <v>5764730.81</v>
      </c>
      <c r="M87" s="25">
        <f t="shared" si="29"/>
        <v>-0.04272126455111958</v>
      </c>
      <c r="N87" s="10"/>
      <c r="R87" s="2"/>
    </row>
    <row r="88" spans="1:18" ht="15">
      <c r="A88" s="274"/>
      <c r="B88" s="20">
        <f>DATE(2022,11,1)</f>
        <v>44866</v>
      </c>
      <c r="C88" s="21">
        <v>76718</v>
      </c>
      <c r="D88" s="21">
        <v>87600</v>
      </c>
      <c r="E88" s="23">
        <f t="shared" si="25"/>
        <v>-0.12422374429223744</v>
      </c>
      <c r="F88" s="21">
        <f>+C88-38746</f>
        <v>37972</v>
      </c>
      <c r="G88" s="21">
        <f>+D88-43575</f>
        <v>44025</v>
      </c>
      <c r="H88" s="23">
        <f t="shared" si="26"/>
        <v>-0.1374900624645088</v>
      </c>
      <c r="I88" s="24">
        <f t="shared" si="27"/>
        <v>66.23264462055842</v>
      </c>
      <c r="J88" s="24">
        <f t="shared" si="28"/>
        <v>133.81533840724745</v>
      </c>
      <c r="K88" s="21">
        <v>5081236.03</v>
      </c>
      <c r="L88" s="21">
        <v>5685591.55</v>
      </c>
      <c r="M88" s="25">
        <f t="shared" si="29"/>
        <v>-0.10629597899975765</v>
      </c>
      <c r="N88" s="10"/>
      <c r="R88" s="2"/>
    </row>
    <row r="89" spans="1:18" ht="15">
      <c r="A89" s="274"/>
      <c r="B89" s="20">
        <f>DATE(2022,12,1)</f>
        <v>44896</v>
      </c>
      <c r="C89" s="21">
        <v>89653</v>
      </c>
      <c r="D89" s="21">
        <v>97815</v>
      </c>
      <c r="E89" s="23">
        <f t="shared" si="25"/>
        <v>-0.08344323467770792</v>
      </c>
      <c r="F89" s="21">
        <f>+C89-45455</f>
        <v>44198</v>
      </c>
      <c r="G89" s="21">
        <f>+D89-49840</f>
        <v>47975</v>
      </c>
      <c r="H89" s="23">
        <f t="shared" si="26"/>
        <v>-0.0787285044293903</v>
      </c>
      <c r="I89" s="24">
        <f t="shared" si="27"/>
        <v>61.35331009559077</v>
      </c>
      <c r="J89" s="24">
        <f t="shared" si="28"/>
        <v>124.45152065704329</v>
      </c>
      <c r="K89" s="21">
        <v>5500508.31</v>
      </c>
      <c r="L89" s="21">
        <v>6306111.89</v>
      </c>
      <c r="M89" s="25">
        <f t="shared" si="29"/>
        <v>-0.12774964892035878</v>
      </c>
      <c r="N89" s="10"/>
      <c r="R89" s="2"/>
    </row>
    <row r="90" spans="1:18" ht="15">
      <c r="A90" s="274"/>
      <c r="B90" s="20">
        <f>DATE(2023,1,1)</f>
        <v>44927</v>
      </c>
      <c r="C90" s="21">
        <v>84414</v>
      </c>
      <c r="D90" s="21">
        <v>84178</v>
      </c>
      <c r="E90" s="23">
        <f t="shared" si="25"/>
        <v>0.002803582883888902</v>
      </c>
      <c r="F90" s="21">
        <f>+C90-42996</f>
        <v>41418</v>
      </c>
      <c r="G90" s="21">
        <f>+D90-43196</f>
        <v>40982</v>
      </c>
      <c r="H90" s="23">
        <f t="shared" si="26"/>
        <v>0.010638817041628033</v>
      </c>
      <c r="I90" s="24">
        <f t="shared" si="27"/>
        <v>62.73452744805365</v>
      </c>
      <c r="J90" s="24">
        <f t="shared" si="28"/>
        <v>127.8592013134386</v>
      </c>
      <c r="K90" s="21">
        <v>5295672.4</v>
      </c>
      <c r="L90" s="21">
        <v>5555053.69</v>
      </c>
      <c r="M90" s="25">
        <f t="shared" si="29"/>
        <v>-0.04669285023598035</v>
      </c>
      <c r="N90" s="10"/>
      <c r="R90" s="2"/>
    </row>
    <row r="91" spans="1:18" ht="15">
      <c r="A91" s="274"/>
      <c r="B91" s="20">
        <f>DATE(2023,2,1)</f>
        <v>44958</v>
      </c>
      <c r="C91" s="21">
        <v>89529</v>
      </c>
      <c r="D91" s="21">
        <v>86324</v>
      </c>
      <c r="E91" s="23">
        <f t="shared" si="25"/>
        <v>0.03712756591446179</v>
      </c>
      <c r="F91" s="21">
        <f>+C91-46008</f>
        <v>43521</v>
      </c>
      <c r="G91" s="21">
        <f>+D91-44518</f>
        <v>41806</v>
      </c>
      <c r="H91" s="23">
        <f t="shared" si="26"/>
        <v>0.04102281969095345</v>
      </c>
      <c r="I91" s="24">
        <f t="shared" si="27"/>
        <v>67.82320097398609</v>
      </c>
      <c r="J91" s="24">
        <f t="shared" si="28"/>
        <v>139.5221470094897</v>
      </c>
      <c r="K91" s="21">
        <v>6072143.36</v>
      </c>
      <c r="L91" s="21">
        <v>5448548.2</v>
      </c>
      <c r="M91" s="25">
        <f t="shared" si="29"/>
        <v>0.11445161850637572</v>
      </c>
      <c r="N91" s="10"/>
      <c r="R91" s="2"/>
    </row>
    <row r="92" spans="1:18" ht="15">
      <c r="A92" s="274"/>
      <c r="B92" s="20">
        <f>DATE(2023,3,1)</f>
        <v>44986</v>
      </c>
      <c r="C92" s="21">
        <v>97318</v>
      </c>
      <c r="D92" s="21">
        <v>100361</v>
      </c>
      <c r="E92" s="23">
        <f t="shared" si="25"/>
        <v>-0.03032054284034635</v>
      </c>
      <c r="F92" s="21">
        <f>+C92-49664</f>
        <v>47654</v>
      </c>
      <c r="G92" s="21">
        <f>+D92-50984</f>
        <v>49377</v>
      </c>
      <c r="H92" s="23">
        <f t="shared" si="26"/>
        <v>-0.03489478907183507</v>
      </c>
      <c r="I92" s="24">
        <f t="shared" si="27"/>
        <v>67.18391808298567</v>
      </c>
      <c r="J92" s="24">
        <f t="shared" si="28"/>
        <v>137.2015893733999</v>
      </c>
      <c r="K92" s="21">
        <v>6538204.54</v>
      </c>
      <c r="L92" s="21">
        <v>6763668.58</v>
      </c>
      <c r="M92" s="25">
        <f t="shared" si="29"/>
        <v>-0.033334578318442686</v>
      </c>
      <c r="N92" s="10"/>
      <c r="R92" s="2"/>
    </row>
    <row r="93" spans="1:18" ht="15">
      <c r="A93" s="274"/>
      <c r="B93" s="20">
        <f>DATE(2023,4,1)</f>
        <v>45017</v>
      </c>
      <c r="C93" s="21">
        <v>86401</v>
      </c>
      <c r="D93" s="21">
        <v>97194</v>
      </c>
      <c r="E93" s="23">
        <f t="shared" si="25"/>
        <v>-0.11104594933843653</v>
      </c>
      <c r="F93" s="21">
        <f>+C93-43603</f>
        <v>42798</v>
      </c>
      <c r="G93" s="21">
        <f>+D93-49512</f>
        <v>47682</v>
      </c>
      <c r="H93" s="23">
        <f t="shared" si="26"/>
        <v>-0.10242858940480684</v>
      </c>
      <c r="I93" s="24">
        <f t="shared" si="27"/>
        <v>66.9931800557864</v>
      </c>
      <c r="J93" s="24">
        <f t="shared" si="28"/>
        <v>135.24645427356418</v>
      </c>
      <c r="K93" s="21">
        <v>5788277.75</v>
      </c>
      <c r="L93" s="21">
        <v>6372481.04</v>
      </c>
      <c r="M93" s="25">
        <f t="shared" si="29"/>
        <v>-0.09167595577498965</v>
      </c>
      <c r="N93" s="10"/>
      <c r="R93" s="2"/>
    </row>
    <row r="94" spans="1:18" ht="15">
      <c r="A94" s="274"/>
      <c r="B94" s="20">
        <f>DATE(2023,5,1)</f>
        <v>45047</v>
      </c>
      <c r="C94" s="21">
        <v>85077</v>
      </c>
      <c r="D94" s="21">
        <v>92856</v>
      </c>
      <c r="E94" s="23">
        <f t="shared" si="25"/>
        <v>-0.08377487722925821</v>
      </c>
      <c r="F94" s="21">
        <f>+C94-42450</f>
        <v>42627</v>
      </c>
      <c r="G94" s="21">
        <f>+D94-46813</f>
        <v>46043</v>
      </c>
      <c r="H94" s="23">
        <f t="shared" si="26"/>
        <v>-0.07419151662576287</v>
      </c>
      <c r="I94" s="24">
        <f t="shared" si="27"/>
        <v>66.65468293428306</v>
      </c>
      <c r="J94" s="24">
        <f t="shared" si="28"/>
        <v>133.03259577263236</v>
      </c>
      <c r="K94" s="21">
        <v>5670780.46</v>
      </c>
      <c r="L94" s="21">
        <v>6009631.9</v>
      </c>
      <c r="M94" s="25">
        <f t="shared" si="29"/>
        <v>-0.05638472466175514</v>
      </c>
      <c r="N94" s="10"/>
      <c r="R94" s="2"/>
    </row>
    <row r="95" spans="1:18" ht="15">
      <c r="A95" s="274"/>
      <c r="B95" s="20">
        <f>DATE(2023,6,1)</f>
        <v>45078</v>
      </c>
      <c r="C95" s="21">
        <v>83449</v>
      </c>
      <c r="D95" s="21">
        <v>83835</v>
      </c>
      <c r="E95" s="23">
        <f t="shared" si="25"/>
        <v>-0.004604282221029403</v>
      </c>
      <c r="F95" s="21">
        <f>+C95-41628</f>
        <v>41821</v>
      </c>
      <c r="G95" s="21">
        <f>+D95-41625</f>
        <v>42210</v>
      </c>
      <c r="H95" s="23">
        <f t="shared" si="26"/>
        <v>-0.009215825633736081</v>
      </c>
      <c r="I95" s="24">
        <f t="shared" si="27"/>
        <v>68.47134681062686</v>
      </c>
      <c r="J95" s="24">
        <f t="shared" si="28"/>
        <v>136.6267047655484</v>
      </c>
      <c r="K95" s="21">
        <v>5713865.42</v>
      </c>
      <c r="L95" s="21">
        <v>5817687.36</v>
      </c>
      <c r="M95" s="25">
        <f t="shared" si="29"/>
        <v>-0.017845912572380034</v>
      </c>
      <c r="N95" s="10"/>
      <c r="R95" s="2"/>
    </row>
    <row r="96" spans="1:18" ht="15.75" customHeight="1" thickBot="1">
      <c r="A96" s="19"/>
      <c r="B96" s="20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customHeight="1" thickBot="1" thickTop="1">
      <c r="A97" s="39" t="s">
        <v>14</v>
      </c>
      <c r="B97" s="52"/>
      <c r="C97" s="47">
        <f>SUM(C84:C96)</f>
        <v>1042582</v>
      </c>
      <c r="D97" s="48">
        <f>SUM(D84:D96)</f>
        <v>1113107</v>
      </c>
      <c r="E97" s="281">
        <f>(+C97-D97)/D97</f>
        <v>-0.06335868878733132</v>
      </c>
      <c r="F97" s="48">
        <f>SUM(F84:F96)</f>
        <v>516621</v>
      </c>
      <c r="G97" s="47">
        <f>SUM(G84:G96)</f>
        <v>552424</v>
      </c>
      <c r="H97" s="46">
        <f>(+F97-G97)/G97</f>
        <v>-0.06481072509521672</v>
      </c>
      <c r="I97" s="51">
        <f>K97/C97</f>
        <v>65.49631298065762</v>
      </c>
      <c r="J97" s="50">
        <f>K97/F97</f>
        <v>132.17673493721702</v>
      </c>
      <c r="K97" s="47">
        <f>SUM(K84:K96)</f>
        <v>68285276.97999999</v>
      </c>
      <c r="L97" s="48">
        <f>SUM(L84:L96)</f>
        <v>72052313.19</v>
      </c>
      <c r="M97" s="44">
        <f>(+K97-L97)/L97</f>
        <v>-0.05228196074796983</v>
      </c>
      <c r="N97" s="10"/>
      <c r="R97" s="2"/>
    </row>
    <row r="98" spans="1:18" ht="15.75" customHeight="1" thickTop="1">
      <c r="A98" s="19"/>
      <c r="B98" s="45"/>
      <c r="C98" s="21"/>
      <c r="D98" s="21"/>
      <c r="E98" s="23"/>
      <c r="F98" s="21"/>
      <c r="G98" s="21"/>
      <c r="H98" s="23"/>
      <c r="I98" s="24"/>
      <c r="J98" s="24"/>
      <c r="K98" s="21"/>
      <c r="L98" s="21"/>
      <c r="M98" s="25"/>
      <c r="N98" s="10"/>
      <c r="R98" s="2"/>
    </row>
    <row r="99" spans="1:18" ht="15">
      <c r="A99" s="19" t="s">
        <v>67</v>
      </c>
      <c r="B99" s="20">
        <f>DATE(2022,7,1)</f>
        <v>44743</v>
      </c>
      <c r="C99" s="21">
        <v>220596</v>
      </c>
      <c r="D99" s="21">
        <v>224693</v>
      </c>
      <c r="E99" s="23">
        <f aca="true" t="shared" si="30" ref="E99:E110">(+C99-D99)/D99</f>
        <v>-0.018233767852136026</v>
      </c>
      <c r="F99" s="21">
        <f>+C99-105104</f>
        <v>115492</v>
      </c>
      <c r="G99" s="21">
        <f>+D99-121301</f>
        <v>103392</v>
      </c>
      <c r="H99" s="23">
        <f aca="true" t="shared" si="31" ref="H99:H110">(+F99-G99)/G99</f>
        <v>0.11703033116682142</v>
      </c>
      <c r="I99" s="24">
        <f aca="true" t="shared" si="32" ref="I99:I110">K99/C99</f>
        <v>48.08238961721881</v>
      </c>
      <c r="J99" s="24">
        <f aca="true" t="shared" si="33" ref="J99:J110">K99/F99</f>
        <v>91.83997869982336</v>
      </c>
      <c r="K99" s="21">
        <v>10606782.82</v>
      </c>
      <c r="L99" s="21">
        <v>9513693.57</v>
      </c>
      <c r="M99" s="25">
        <f aca="true" t="shared" si="34" ref="M99:M110">(+K99-L99)/L99</f>
        <v>0.11489641136297392</v>
      </c>
      <c r="N99" s="10"/>
      <c r="R99" s="2"/>
    </row>
    <row r="100" spans="1:18" ht="15">
      <c r="A100" s="19"/>
      <c r="B100" s="20">
        <f>DATE(2022,8,1)</f>
        <v>44774</v>
      </c>
      <c r="C100" s="21">
        <v>204208</v>
      </c>
      <c r="D100" s="21">
        <v>253687</v>
      </c>
      <c r="E100" s="23">
        <f t="shared" si="30"/>
        <v>-0.19503955661898323</v>
      </c>
      <c r="F100" s="21">
        <f>+C100-95602</f>
        <v>108606</v>
      </c>
      <c r="G100" s="21">
        <f>+D100-139919</f>
        <v>113768</v>
      </c>
      <c r="H100" s="23">
        <f t="shared" si="31"/>
        <v>-0.045373039870613883</v>
      </c>
      <c r="I100" s="24">
        <f t="shared" si="32"/>
        <v>50.441069742615376</v>
      </c>
      <c r="J100" s="24">
        <f t="shared" si="33"/>
        <v>94.8425498591238</v>
      </c>
      <c r="K100" s="21">
        <v>10300469.97</v>
      </c>
      <c r="L100" s="21">
        <v>9470339.94</v>
      </c>
      <c r="M100" s="25">
        <f t="shared" si="34"/>
        <v>0.08765577954533291</v>
      </c>
      <c r="N100" s="10"/>
      <c r="R100" s="2"/>
    </row>
    <row r="101" spans="1:18" ht="15">
      <c r="A101" s="19"/>
      <c r="B101" s="20">
        <f>DATE(2022,9,1)</f>
        <v>44805</v>
      </c>
      <c r="C101" s="21">
        <v>202639</v>
      </c>
      <c r="D101" s="21">
        <v>235488</v>
      </c>
      <c r="E101" s="23">
        <f t="shared" si="30"/>
        <v>-0.13949330751460795</v>
      </c>
      <c r="F101" s="21">
        <f>+C101-96056</f>
        <v>106583</v>
      </c>
      <c r="G101" s="21">
        <f>+D101-117319</f>
        <v>118169</v>
      </c>
      <c r="H101" s="23">
        <f t="shared" si="31"/>
        <v>-0.09804601883742775</v>
      </c>
      <c r="I101" s="24">
        <f t="shared" si="32"/>
        <v>48.50680421833902</v>
      </c>
      <c r="J101" s="24">
        <f t="shared" si="33"/>
        <v>92.22268373005076</v>
      </c>
      <c r="K101" s="21">
        <v>9829370.3</v>
      </c>
      <c r="L101" s="21">
        <v>10050706.73</v>
      </c>
      <c r="M101" s="25">
        <f t="shared" si="34"/>
        <v>-0.02202197675705136</v>
      </c>
      <c r="N101" s="10"/>
      <c r="R101" s="2"/>
    </row>
    <row r="102" spans="1:18" ht="15">
      <c r="A102" s="19"/>
      <c r="B102" s="20">
        <f>DATE(2022,10,1)</f>
        <v>44835</v>
      </c>
      <c r="C102" s="21">
        <v>197805</v>
      </c>
      <c r="D102" s="21">
        <v>221802</v>
      </c>
      <c r="E102" s="23">
        <f t="shared" si="30"/>
        <v>-0.10819108934996077</v>
      </c>
      <c r="F102" s="21">
        <f>+C102-92993</f>
        <v>104812</v>
      </c>
      <c r="G102" s="21">
        <f>+D102-108914</f>
        <v>112888</v>
      </c>
      <c r="H102" s="23">
        <f t="shared" si="31"/>
        <v>-0.07153993338530225</v>
      </c>
      <c r="I102" s="24">
        <f t="shared" si="32"/>
        <v>52.67072429918353</v>
      </c>
      <c r="J102" s="24">
        <f t="shared" si="33"/>
        <v>99.40209727893752</v>
      </c>
      <c r="K102" s="21">
        <v>10418532.62</v>
      </c>
      <c r="L102" s="21">
        <v>10399038.17</v>
      </c>
      <c r="M102" s="25">
        <f t="shared" si="34"/>
        <v>0.0018746397196846962</v>
      </c>
      <c r="N102" s="10"/>
      <c r="R102" s="2"/>
    </row>
    <row r="103" spans="1:18" ht="15">
      <c r="A103" s="19"/>
      <c r="B103" s="20">
        <f>DATE(2022,11,1)</f>
        <v>44866</v>
      </c>
      <c r="C103" s="21">
        <v>202426</v>
      </c>
      <c r="D103" s="21">
        <v>202081</v>
      </c>
      <c r="E103" s="23">
        <f t="shared" si="30"/>
        <v>0.001707236207263424</v>
      </c>
      <c r="F103" s="21">
        <f>+C103-94010</f>
        <v>108416</v>
      </c>
      <c r="G103" s="21">
        <f>+D103-97991</f>
        <v>104090</v>
      </c>
      <c r="H103" s="23">
        <f t="shared" si="31"/>
        <v>0.041560188298587764</v>
      </c>
      <c r="I103" s="24">
        <f t="shared" si="32"/>
        <v>52.0381070119451</v>
      </c>
      <c r="J103" s="24">
        <f t="shared" si="33"/>
        <v>97.16154303792798</v>
      </c>
      <c r="K103" s="21">
        <v>10533865.85</v>
      </c>
      <c r="L103" s="21">
        <v>9591289.68</v>
      </c>
      <c r="M103" s="25">
        <f t="shared" si="34"/>
        <v>0.09827418433263294</v>
      </c>
      <c r="N103" s="10"/>
      <c r="R103" s="2"/>
    </row>
    <row r="104" spans="1:18" ht="15">
      <c r="A104" s="19"/>
      <c r="B104" s="20">
        <f>DATE(2022,12,1)</f>
        <v>44896</v>
      </c>
      <c r="C104" s="21">
        <v>223223</v>
      </c>
      <c r="D104" s="21">
        <v>205858</v>
      </c>
      <c r="E104" s="23">
        <f t="shared" si="30"/>
        <v>0.08435426361861088</v>
      </c>
      <c r="F104" s="21">
        <f>+C104-104081</f>
        <v>119142</v>
      </c>
      <c r="G104" s="21">
        <f>+D104-97374</f>
        <v>108484</v>
      </c>
      <c r="H104" s="23">
        <f t="shared" si="31"/>
        <v>0.09824490247409756</v>
      </c>
      <c r="I104" s="24">
        <f t="shared" si="32"/>
        <v>47.76632080923561</v>
      </c>
      <c r="J104" s="24">
        <f t="shared" si="33"/>
        <v>89.49439685417401</v>
      </c>
      <c r="K104" s="21">
        <v>10662541.43</v>
      </c>
      <c r="L104" s="21">
        <v>10189799.08</v>
      </c>
      <c r="M104" s="25">
        <f t="shared" si="34"/>
        <v>0.04639368708730218</v>
      </c>
      <c r="N104" s="10"/>
      <c r="R104" s="2"/>
    </row>
    <row r="105" spans="1:18" ht="15">
      <c r="A105" s="19"/>
      <c r="B105" s="20">
        <f>DATE(2023,1,1)</f>
        <v>44927</v>
      </c>
      <c r="C105" s="21">
        <v>215124</v>
      </c>
      <c r="D105" s="21">
        <v>179199</v>
      </c>
      <c r="E105" s="23">
        <f t="shared" si="30"/>
        <v>0.2004754490817471</v>
      </c>
      <c r="F105" s="21">
        <f>+C105-101475</f>
        <v>113649</v>
      </c>
      <c r="G105" s="21">
        <f>+D105-85727</f>
        <v>93472</v>
      </c>
      <c r="H105" s="23">
        <f t="shared" si="31"/>
        <v>0.21586143444026018</v>
      </c>
      <c r="I105" s="24">
        <f t="shared" si="32"/>
        <v>50.618131635707776</v>
      </c>
      <c r="J105" s="24">
        <f t="shared" si="33"/>
        <v>95.81408503374423</v>
      </c>
      <c r="K105" s="21">
        <v>10889174.95</v>
      </c>
      <c r="L105" s="21">
        <v>9122057.77</v>
      </c>
      <c r="M105" s="25">
        <f t="shared" si="34"/>
        <v>0.19371913931652285</v>
      </c>
      <c r="N105" s="10"/>
      <c r="R105" s="2"/>
    </row>
    <row r="106" spans="1:18" ht="15">
      <c r="A106" s="19"/>
      <c r="B106" s="20">
        <f>DATE(2023,2,1)</f>
        <v>44958</v>
      </c>
      <c r="C106" s="21">
        <v>200796</v>
      </c>
      <c r="D106" s="21">
        <v>184738</v>
      </c>
      <c r="E106" s="23">
        <f t="shared" si="30"/>
        <v>0.08692310190648378</v>
      </c>
      <c r="F106" s="21">
        <f>+C106-95531</f>
        <v>105265</v>
      </c>
      <c r="G106" s="21">
        <f>+D106-91368</f>
        <v>93370</v>
      </c>
      <c r="H106" s="23">
        <f t="shared" si="31"/>
        <v>0.12739637999357395</v>
      </c>
      <c r="I106" s="24">
        <f t="shared" si="32"/>
        <v>51.483439012729335</v>
      </c>
      <c r="J106" s="24">
        <f t="shared" si="33"/>
        <v>98.20613328266755</v>
      </c>
      <c r="K106" s="21">
        <v>10337668.62</v>
      </c>
      <c r="L106" s="21">
        <v>9241774.34</v>
      </c>
      <c r="M106" s="25">
        <f t="shared" si="34"/>
        <v>0.11858050626239369</v>
      </c>
      <c r="N106" s="10"/>
      <c r="R106" s="2"/>
    </row>
    <row r="107" spans="1:18" ht="15">
      <c r="A107" s="19"/>
      <c r="B107" s="20">
        <f>DATE(2023,3,1)</f>
        <v>44986</v>
      </c>
      <c r="C107" s="21">
        <v>225404</v>
      </c>
      <c r="D107" s="21">
        <v>215256</v>
      </c>
      <c r="E107" s="23">
        <f t="shared" si="30"/>
        <v>0.047143865908499644</v>
      </c>
      <c r="F107" s="21">
        <f>+C107-108230</f>
        <v>117174</v>
      </c>
      <c r="G107" s="21">
        <f>+D107-103637</f>
        <v>111619</v>
      </c>
      <c r="H107" s="23">
        <f t="shared" si="31"/>
        <v>0.04976751269945081</v>
      </c>
      <c r="I107" s="24">
        <f t="shared" si="32"/>
        <v>51.3445762275736</v>
      </c>
      <c r="J107" s="24">
        <f t="shared" si="33"/>
        <v>98.76997337293255</v>
      </c>
      <c r="K107" s="21">
        <v>11573272.86</v>
      </c>
      <c r="L107" s="21">
        <v>11149265.04</v>
      </c>
      <c r="M107" s="25">
        <f t="shared" si="34"/>
        <v>0.038030113956282835</v>
      </c>
      <c r="N107" s="10"/>
      <c r="R107" s="2"/>
    </row>
    <row r="108" spans="1:18" ht="15">
      <c r="A108" s="19"/>
      <c r="B108" s="20">
        <f>DATE(2023,4,1)</f>
        <v>45017</v>
      </c>
      <c r="C108" s="21">
        <v>208441</v>
      </c>
      <c r="D108" s="21">
        <v>212913</v>
      </c>
      <c r="E108" s="23">
        <f t="shared" si="30"/>
        <v>-0.021003884215618586</v>
      </c>
      <c r="F108" s="21">
        <f>+C108-100216</f>
        <v>108225</v>
      </c>
      <c r="G108" s="21">
        <f>+D108-100552</f>
        <v>112361</v>
      </c>
      <c r="H108" s="23">
        <f t="shared" si="31"/>
        <v>-0.03680992515196554</v>
      </c>
      <c r="I108" s="24">
        <f t="shared" si="32"/>
        <v>53.69716989459847</v>
      </c>
      <c r="J108" s="24">
        <f t="shared" si="33"/>
        <v>103.42057556017555</v>
      </c>
      <c r="K108" s="21">
        <v>11192691.79</v>
      </c>
      <c r="L108" s="21">
        <v>11145700.16</v>
      </c>
      <c r="M108" s="25">
        <f t="shared" si="34"/>
        <v>0.004216121851962592</v>
      </c>
      <c r="N108" s="10"/>
      <c r="R108" s="2"/>
    </row>
    <row r="109" spans="1:18" ht="15">
      <c r="A109" s="19"/>
      <c r="B109" s="20">
        <f>DATE(2023,5,1)</f>
        <v>45047</v>
      </c>
      <c r="C109" s="21">
        <v>209950</v>
      </c>
      <c r="D109" s="21">
        <v>213808</v>
      </c>
      <c r="E109" s="23">
        <f t="shared" si="30"/>
        <v>-0.01804422659582429</v>
      </c>
      <c r="F109" s="21">
        <f>+C109-98229</f>
        <v>111721</v>
      </c>
      <c r="G109" s="21">
        <f>+D109-99001</f>
        <v>114807</v>
      </c>
      <c r="H109" s="23">
        <f t="shared" si="31"/>
        <v>-0.0268798940831134</v>
      </c>
      <c r="I109" s="24">
        <f t="shared" si="32"/>
        <v>51.263222814955945</v>
      </c>
      <c r="J109" s="24">
        <f t="shared" si="33"/>
        <v>96.33563636200894</v>
      </c>
      <c r="K109" s="21">
        <v>10762713.63</v>
      </c>
      <c r="L109" s="21">
        <v>10538183.63</v>
      </c>
      <c r="M109" s="25">
        <f t="shared" si="34"/>
        <v>0.021306328289897144</v>
      </c>
      <c r="N109" s="10"/>
      <c r="R109" s="2"/>
    </row>
    <row r="110" spans="1:18" ht="15">
      <c r="A110" s="19"/>
      <c r="B110" s="20">
        <f>DATE(2023,6,1)</f>
        <v>45078</v>
      </c>
      <c r="C110" s="21">
        <v>207218</v>
      </c>
      <c r="D110" s="21">
        <v>205857</v>
      </c>
      <c r="E110" s="23">
        <f t="shared" si="30"/>
        <v>0.00661138557348062</v>
      </c>
      <c r="F110" s="21">
        <f>+C110-98413</f>
        <v>108805</v>
      </c>
      <c r="G110" s="21">
        <f>+D110-94224</f>
        <v>111633</v>
      </c>
      <c r="H110" s="23">
        <f t="shared" si="31"/>
        <v>-0.025333010848046726</v>
      </c>
      <c r="I110" s="24">
        <f t="shared" si="32"/>
        <v>52.76985257072262</v>
      </c>
      <c r="J110" s="24">
        <f t="shared" si="33"/>
        <v>100.49963981434678</v>
      </c>
      <c r="K110" s="21">
        <v>10934863.31</v>
      </c>
      <c r="L110" s="21">
        <v>9429134.86</v>
      </c>
      <c r="M110" s="25">
        <f t="shared" si="34"/>
        <v>0.15968892929801634</v>
      </c>
      <c r="N110" s="10"/>
      <c r="R110" s="2"/>
    </row>
    <row r="111" spans="1:18" ht="15.75" customHeight="1" thickBot="1">
      <c r="A111" s="19"/>
      <c r="B111" s="45"/>
      <c r="C111" s="21"/>
      <c r="D111" s="21"/>
      <c r="E111" s="23"/>
      <c r="F111" s="21"/>
      <c r="G111" s="21"/>
      <c r="H111" s="23"/>
      <c r="I111" s="24"/>
      <c r="J111" s="24"/>
      <c r="K111" s="21"/>
      <c r="L111" s="21"/>
      <c r="M111" s="25"/>
      <c r="N111" s="10"/>
      <c r="R111" s="2"/>
    </row>
    <row r="112" spans="1:18" ht="17.25" customHeight="1" thickBot="1" thickTop="1">
      <c r="A112" s="39" t="s">
        <v>14</v>
      </c>
      <c r="B112" s="52"/>
      <c r="C112" s="47">
        <f>SUM(C99:C111)</f>
        <v>2517830</v>
      </c>
      <c r="D112" s="48">
        <f>SUM(D99:D111)</f>
        <v>2555380</v>
      </c>
      <c r="E112" s="281">
        <f>(+C112-D112)/D112</f>
        <v>-0.014694487708286047</v>
      </c>
      <c r="F112" s="48">
        <f>SUM(F99:F111)</f>
        <v>1327890</v>
      </c>
      <c r="G112" s="47">
        <f>SUM(G99:G111)</f>
        <v>1298053</v>
      </c>
      <c r="H112" s="53">
        <f>(+F112-G112)/G112</f>
        <v>0.022985964363550642</v>
      </c>
      <c r="I112" s="51">
        <f>K112/C112</f>
        <v>50.85408790506111</v>
      </c>
      <c r="J112" s="50">
        <f>K112/F112</f>
        <v>96.42511665122865</v>
      </c>
      <c r="K112" s="47">
        <f>SUM(K99:K111)</f>
        <v>128041948.15</v>
      </c>
      <c r="L112" s="48">
        <f>SUM(L99:L111)</f>
        <v>119840982.96999998</v>
      </c>
      <c r="M112" s="44">
        <f>(+K112-L112)/L112</f>
        <v>0.06843205868941332</v>
      </c>
      <c r="N112" s="10"/>
      <c r="R112" s="2"/>
    </row>
    <row r="113" spans="1:18" ht="15.75" customHeight="1" thickTop="1">
      <c r="A113" s="19"/>
      <c r="B113" s="45"/>
      <c r="C113" s="21"/>
      <c r="D113" s="21"/>
      <c r="E113" s="23"/>
      <c r="F113" s="21"/>
      <c r="G113" s="21"/>
      <c r="H113" s="23"/>
      <c r="I113" s="24"/>
      <c r="J113" s="24"/>
      <c r="K113" s="21"/>
      <c r="L113" s="21"/>
      <c r="M113" s="25"/>
      <c r="N113" s="10"/>
      <c r="R113" s="2"/>
    </row>
    <row r="114" spans="1:18" ht="15.75" customHeight="1">
      <c r="A114" s="19" t="s">
        <v>69</v>
      </c>
      <c r="B114" s="20">
        <f>DATE(2022,7,1)</f>
        <v>44743</v>
      </c>
      <c r="C114" s="21">
        <v>226300</v>
      </c>
      <c r="D114" s="21">
        <v>251090</v>
      </c>
      <c r="E114" s="23">
        <f aca="true" t="shared" si="35" ref="E114:E125">(+C114-D114)/D114</f>
        <v>-0.09872953920904855</v>
      </c>
      <c r="F114" s="21">
        <f>+C114-105791</f>
        <v>120509</v>
      </c>
      <c r="G114" s="21">
        <f>+D114-113536</f>
        <v>137554</v>
      </c>
      <c r="H114" s="23">
        <f aca="true" t="shared" si="36" ref="H114:H125">(+F114-G114)/G114</f>
        <v>-0.12391497157479972</v>
      </c>
      <c r="I114" s="24">
        <f aca="true" t="shared" si="37" ref="I114:I125">K114/C114</f>
        <v>58.190034202386215</v>
      </c>
      <c r="J114" s="24">
        <f aca="true" t="shared" si="38" ref="J114:J125">K114/F114</f>
        <v>109.27320565268984</v>
      </c>
      <c r="K114" s="21">
        <v>13168404.74</v>
      </c>
      <c r="L114" s="21">
        <v>14822103.82</v>
      </c>
      <c r="M114" s="25">
        <f aca="true" t="shared" si="39" ref="M114:M125">(+K114-L114)/L114</f>
        <v>-0.111569794685192</v>
      </c>
      <c r="N114" s="10"/>
      <c r="R114" s="2"/>
    </row>
    <row r="115" spans="1:18" ht="15.75" customHeight="1">
      <c r="A115" s="19"/>
      <c r="B115" s="20">
        <f>DATE(2022,8,1)</f>
        <v>44774</v>
      </c>
      <c r="C115" s="21">
        <v>232585</v>
      </c>
      <c r="D115" s="21">
        <v>215479</v>
      </c>
      <c r="E115" s="23">
        <f t="shared" si="35"/>
        <v>0.0793859262387518</v>
      </c>
      <c r="F115" s="21">
        <f>+C115-107552</f>
        <v>125033</v>
      </c>
      <c r="G115" s="21">
        <f>+D115-96518</f>
        <v>118961</v>
      </c>
      <c r="H115" s="23">
        <f t="shared" si="36"/>
        <v>0.05104193811417187</v>
      </c>
      <c r="I115" s="24">
        <f t="shared" si="37"/>
        <v>59.88228583098652</v>
      </c>
      <c r="J115" s="24">
        <f t="shared" si="38"/>
        <v>111.3923640158998</v>
      </c>
      <c r="K115" s="21">
        <v>13927721.45</v>
      </c>
      <c r="L115" s="21">
        <v>13122626.66</v>
      </c>
      <c r="M115" s="25">
        <f t="shared" si="39"/>
        <v>0.06135164939608204</v>
      </c>
      <c r="N115" s="10"/>
      <c r="R115" s="2"/>
    </row>
    <row r="116" spans="1:18" ht="15.75" customHeight="1">
      <c r="A116" s="19"/>
      <c r="B116" s="20">
        <f>DATE(2022,9,1)</f>
        <v>44805</v>
      </c>
      <c r="C116" s="21">
        <v>229799</v>
      </c>
      <c r="D116" s="21">
        <v>213931</v>
      </c>
      <c r="E116" s="23">
        <f t="shared" si="35"/>
        <v>0.07417344844833147</v>
      </c>
      <c r="F116" s="21">
        <f>+C116-107359</f>
        <v>122440</v>
      </c>
      <c r="G116" s="21">
        <f>+D116-98283</f>
        <v>115648</v>
      </c>
      <c r="H116" s="23">
        <f t="shared" si="36"/>
        <v>0.05872993912562258</v>
      </c>
      <c r="I116" s="24">
        <f t="shared" si="37"/>
        <v>58.84250370976375</v>
      </c>
      <c r="J116" s="24">
        <f t="shared" si="38"/>
        <v>110.43734490362627</v>
      </c>
      <c r="K116" s="21">
        <v>13521948.51</v>
      </c>
      <c r="L116" s="21">
        <v>12121290.84</v>
      </c>
      <c r="M116" s="25">
        <f t="shared" si="39"/>
        <v>0.1155535073358573</v>
      </c>
      <c r="N116" s="10"/>
      <c r="R116" s="2"/>
    </row>
    <row r="117" spans="1:18" ht="15.75" customHeight="1">
      <c r="A117" s="19"/>
      <c r="B117" s="20">
        <f>DATE(2022,10,1)</f>
        <v>44835</v>
      </c>
      <c r="C117" s="21">
        <v>212700</v>
      </c>
      <c r="D117" s="21">
        <v>212915</v>
      </c>
      <c r="E117" s="23">
        <f t="shared" si="35"/>
        <v>-0.001009792640255501</v>
      </c>
      <c r="F117" s="21">
        <f>+C117-99072</f>
        <v>113628</v>
      </c>
      <c r="G117" s="21">
        <f>+D117-99053</f>
        <v>113862</v>
      </c>
      <c r="H117" s="23">
        <f t="shared" si="36"/>
        <v>-0.0020551193550086945</v>
      </c>
      <c r="I117" s="24">
        <f t="shared" si="37"/>
        <v>60.88778180535966</v>
      </c>
      <c r="J117" s="24">
        <f t="shared" si="38"/>
        <v>113.97570308374696</v>
      </c>
      <c r="K117" s="21">
        <v>12950831.19</v>
      </c>
      <c r="L117" s="21">
        <v>12831260.62</v>
      </c>
      <c r="M117" s="25">
        <f t="shared" si="39"/>
        <v>0.009318692335936693</v>
      </c>
      <c r="N117" s="10"/>
      <c r="R117" s="2"/>
    </row>
    <row r="118" spans="1:18" ht="15.75" customHeight="1">
      <c r="A118" s="19"/>
      <c r="B118" s="20">
        <f>DATE(2022,11,1)</f>
        <v>44866</v>
      </c>
      <c r="C118" s="21">
        <v>191508</v>
      </c>
      <c r="D118" s="21">
        <v>184421</v>
      </c>
      <c r="E118" s="23">
        <f t="shared" si="35"/>
        <v>0.03842837854691169</v>
      </c>
      <c r="F118" s="21">
        <f>+C118-91306</f>
        <v>100202</v>
      </c>
      <c r="G118" s="21">
        <f>+D118-84660</f>
        <v>99761</v>
      </c>
      <c r="H118" s="23">
        <f t="shared" si="36"/>
        <v>0.004420565150710197</v>
      </c>
      <c r="I118" s="24">
        <f t="shared" si="37"/>
        <v>61.98403789920004</v>
      </c>
      <c r="J118" s="24">
        <f t="shared" si="38"/>
        <v>118.46509181453465</v>
      </c>
      <c r="K118" s="21">
        <v>11870439.13</v>
      </c>
      <c r="L118" s="21">
        <v>11874815.39</v>
      </c>
      <c r="M118" s="25">
        <f t="shared" si="39"/>
        <v>-0.0003685328871457745</v>
      </c>
      <c r="N118" s="10"/>
      <c r="R118" s="2"/>
    </row>
    <row r="119" spans="1:18" ht="15.75" customHeight="1">
      <c r="A119" s="19"/>
      <c r="B119" s="20">
        <f>DATE(2022,12,1)</f>
        <v>44896</v>
      </c>
      <c r="C119" s="21">
        <v>214147</v>
      </c>
      <c r="D119" s="21">
        <v>211464</v>
      </c>
      <c r="E119" s="23">
        <f t="shared" si="35"/>
        <v>0.012687738811334316</v>
      </c>
      <c r="F119" s="21">
        <f>+C119-102215</f>
        <v>111932</v>
      </c>
      <c r="G119" s="21">
        <f>+D119-97323</f>
        <v>114141</v>
      </c>
      <c r="H119" s="23">
        <f t="shared" si="36"/>
        <v>-0.01935325606048659</v>
      </c>
      <c r="I119" s="24">
        <f t="shared" si="37"/>
        <v>60.96684296301139</v>
      </c>
      <c r="J119" s="24">
        <f t="shared" si="38"/>
        <v>116.64105456884536</v>
      </c>
      <c r="K119" s="21">
        <v>13055866.52</v>
      </c>
      <c r="L119" s="21">
        <v>12543331.57</v>
      </c>
      <c r="M119" s="25">
        <f t="shared" si="39"/>
        <v>0.04086114977824821</v>
      </c>
      <c r="N119" s="10"/>
      <c r="R119" s="2"/>
    </row>
    <row r="120" spans="1:18" ht="15.75" customHeight="1">
      <c r="A120" s="19"/>
      <c r="B120" s="20">
        <f>DATE(2023,1,1)</f>
        <v>44927</v>
      </c>
      <c r="C120" s="21">
        <v>203689</v>
      </c>
      <c r="D120" s="21">
        <v>184238</v>
      </c>
      <c r="E120" s="23">
        <f t="shared" si="35"/>
        <v>0.1055753970407842</v>
      </c>
      <c r="F120" s="21">
        <f>+C120-97201</f>
        <v>106488</v>
      </c>
      <c r="G120" s="21">
        <f>+D120-86833</f>
        <v>97405</v>
      </c>
      <c r="H120" s="23">
        <f t="shared" si="36"/>
        <v>0.09324983317078178</v>
      </c>
      <c r="I120" s="24">
        <f t="shared" si="37"/>
        <v>58.669221852922846</v>
      </c>
      <c r="J120" s="24">
        <f t="shared" si="38"/>
        <v>112.22180086019083</v>
      </c>
      <c r="K120" s="21">
        <v>11950275.13</v>
      </c>
      <c r="L120" s="21">
        <v>10689277.77</v>
      </c>
      <c r="M120" s="25">
        <f t="shared" si="39"/>
        <v>0.11796843408252093</v>
      </c>
      <c r="N120" s="10"/>
      <c r="R120" s="2"/>
    </row>
    <row r="121" spans="1:18" ht="15.75" customHeight="1">
      <c r="A121" s="19"/>
      <c r="B121" s="20">
        <f>DATE(2023,2,1)</f>
        <v>44958</v>
      </c>
      <c r="C121" s="21">
        <v>207928</v>
      </c>
      <c r="D121" s="21">
        <v>186083</v>
      </c>
      <c r="E121" s="23">
        <f t="shared" si="35"/>
        <v>0.11739385113094694</v>
      </c>
      <c r="F121" s="21">
        <f>+C121-99235</f>
        <v>108693</v>
      </c>
      <c r="G121" s="21">
        <f>+D121-88690</f>
        <v>97393</v>
      </c>
      <c r="H121" s="23">
        <f t="shared" si="36"/>
        <v>0.11602476564024108</v>
      </c>
      <c r="I121" s="24">
        <f t="shared" si="37"/>
        <v>60.50291836597284</v>
      </c>
      <c r="J121" s="24">
        <f t="shared" si="38"/>
        <v>115.74113153560947</v>
      </c>
      <c r="K121" s="21">
        <v>12580250.81</v>
      </c>
      <c r="L121" s="21">
        <v>11335666.43</v>
      </c>
      <c r="M121" s="25">
        <f t="shared" si="39"/>
        <v>0.10979366653787473</v>
      </c>
      <c r="N121" s="10"/>
      <c r="R121" s="2"/>
    </row>
    <row r="122" spans="1:18" ht="15.75" customHeight="1">
      <c r="A122" s="19"/>
      <c r="B122" s="20">
        <f>DATE(2023,3,1)</f>
        <v>44986</v>
      </c>
      <c r="C122" s="21">
        <v>231900</v>
      </c>
      <c r="D122" s="21">
        <v>236729</v>
      </c>
      <c r="E122" s="23">
        <f t="shared" si="35"/>
        <v>-0.020398852696543304</v>
      </c>
      <c r="F122" s="21">
        <f>+C122-108329</f>
        <v>123571</v>
      </c>
      <c r="G122" s="21">
        <f>+D122-111747</f>
        <v>124982</v>
      </c>
      <c r="H122" s="23">
        <f t="shared" si="36"/>
        <v>-0.011289625706101678</v>
      </c>
      <c r="I122" s="24">
        <f t="shared" si="37"/>
        <v>61.79055666235446</v>
      </c>
      <c r="J122" s="24">
        <f t="shared" si="38"/>
        <v>115.95948960516625</v>
      </c>
      <c r="K122" s="21">
        <v>14329230.09</v>
      </c>
      <c r="L122" s="21">
        <v>14452685.08</v>
      </c>
      <c r="M122" s="25">
        <f t="shared" si="39"/>
        <v>-0.008542010658686561</v>
      </c>
      <c r="N122" s="10"/>
      <c r="R122" s="2"/>
    </row>
    <row r="123" spans="1:18" ht="15.75" customHeight="1">
      <c r="A123" s="19"/>
      <c r="B123" s="20">
        <f>DATE(2023,4,1)</f>
        <v>45017</v>
      </c>
      <c r="C123" s="21">
        <v>215525</v>
      </c>
      <c r="D123" s="21">
        <v>214208</v>
      </c>
      <c r="E123" s="23">
        <f t="shared" si="35"/>
        <v>0.006148229757992232</v>
      </c>
      <c r="F123" s="21">
        <f>+C123-99325</f>
        <v>116200</v>
      </c>
      <c r="G123" s="21">
        <f>+D123-101580</f>
        <v>112628</v>
      </c>
      <c r="H123" s="23">
        <f t="shared" si="36"/>
        <v>0.03171502645878467</v>
      </c>
      <c r="I123" s="24">
        <f t="shared" si="37"/>
        <v>63.722001299153234</v>
      </c>
      <c r="J123" s="24">
        <f t="shared" si="38"/>
        <v>118.19005447504303</v>
      </c>
      <c r="K123" s="21">
        <v>13733684.33</v>
      </c>
      <c r="L123" s="21">
        <v>12729189.96</v>
      </c>
      <c r="M123" s="25">
        <f t="shared" si="39"/>
        <v>0.07891267026075546</v>
      </c>
      <c r="N123" s="10"/>
      <c r="R123" s="2"/>
    </row>
    <row r="124" spans="1:18" ht="15.75" customHeight="1">
      <c r="A124" s="19"/>
      <c r="B124" s="20">
        <f>DATE(2023,5,1)</f>
        <v>45047</v>
      </c>
      <c r="C124" s="21">
        <v>207975</v>
      </c>
      <c r="D124" s="21">
        <v>210618</v>
      </c>
      <c r="E124" s="23">
        <f t="shared" si="35"/>
        <v>-0.0125487850041307</v>
      </c>
      <c r="F124" s="21">
        <f>+C124-97497</f>
        <v>110478</v>
      </c>
      <c r="G124" s="21">
        <f>+D124-98910</f>
        <v>111708</v>
      </c>
      <c r="H124" s="23">
        <f t="shared" si="36"/>
        <v>-0.011010849715329252</v>
      </c>
      <c r="I124" s="24">
        <f t="shared" si="37"/>
        <v>62.383634379132104</v>
      </c>
      <c r="J124" s="24">
        <f t="shared" si="38"/>
        <v>117.43728488929922</v>
      </c>
      <c r="K124" s="21">
        <v>12974236.36</v>
      </c>
      <c r="L124" s="21">
        <v>12572204.56</v>
      </c>
      <c r="M124" s="25">
        <f t="shared" si="39"/>
        <v>0.03197782839766321</v>
      </c>
      <c r="N124" s="10"/>
      <c r="R124" s="2"/>
    </row>
    <row r="125" spans="1:18" ht="15.75" customHeight="1">
      <c r="A125" s="19"/>
      <c r="B125" s="20">
        <f>DATE(2023,6,1)</f>
        <v>45078</v>
      </c>
      <c r="C125" s="21">
        <v>211611</v>
      </c>
      <c r="D125" s="21">
        <v>193030</v>
      </c>
      <c r="E125" s="23">
        <f t="shared" si="35"/>
        <v>0.09625964875926021</v>
      </c>
      <c r="F125" s="21">
        <f>+C125-96674</f>
        <v>114937</v>
      </c>
      <c r="G125" s="21">
        <f>+D125-90130</f>
        <v>102900</v>
      </c>
      <c r="H125" s="23">
        <f t="shared" si="36"/>
        <v>0.116977648202138</v>
      </c>
      <c r="I125" s="24">
        <f t="shared" si="37"/>
        <v>62.65909120981423</v>
      </c>
      <c r="J125" s="24">
        <f t="shared" si="38"/>
        <v>115.36191957333148</v>
      </c>
      <c r="K125" s="21">
        <v>13259352.95</v>
      </c>
      <c r="L125" s="21">
        <v>11399794.98</v>
      </c>
      <c r="M125" s="25">
        <f t="shared" si="39"/>
        <v>0.16312205379679545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6.5" thickBot="1" thickTop="1">
      <c r="A127" s="39" t="s">
        <v>14</v>
      </c>
      <c r="B127" s="40"/>
      <c r="C127" s="41">
        <f>SUM(C114:C126)</f>
        <v>2585667</v>
      </c>
      <c r="D127" s="41">
        <f>SUM(D114:D126)</f>
        <v>2514206</v>
      </c>
      <c r="E127" s="280">
        <f>(+C127-D127)/D127</f>
        <v>0.028422889771164337</v>
      </c>
      <c r="F127" s="41">
        <f>SUM(F114:F126)</f>
        <v>1374111</v>
      </c>
      <c r="G127" s="41">
        <f>SUM(G114:G126)</f>
        <v>1346943</v>
      </c>
      <c r="H127" s="42">
        <f>(+F127-G127)/G127</f>
        <v>0.020170118557355433</v>
      </c>
      <c r="I127" s="43">
        <f>K127/C127</f>
        <v>60.84396838804068</v>
      </c>
      <c r="J127" s="43">
        <f>K127/F127</f>
        <v>114.49019854291245</v>
      </c>
      <c r="K127" s="41">
        <f>SUM(K114:K126)</f>
        <v>157322241.20999998</v>
      </c>
      <c r="L127" s="41">
        <f>SUM(L114:L126)</f>
        <v>150494247.67999998</v>
      </c>
      <c r="M127" s="44">
        <f>(+K127-L127)/L127</f>
        <v>0.045370461896447695</v>
      </c>
      <c r="N127" s="10"/>
      <c r="R127" s="2"/>
    </row>
    <row r="128" spans="1:18" ht="15.75" customHeight="1" thickTop="1">
      <c r="A128" s="54"/>
      <c r="B128" s="55"/>
      <c r="C128" s="55"/>
      <c r="D128" s="55"/>
      <c r="E128" s="56"/>
      <c r="F128" s="55"/>
      <c r="G128" s="55"/>
      <c r="H128" s="56"/>
      <c r="I128" s="55"/>
      <c r="J128" s="55"/>
      <c r="K128" s="196"/>
      <c r="L128" s="196"/>
      <c r="M128" s="57"/>
      <c r="N128" s="10"/>
      <c r="R128" s="2"/>
    </row>
    <row r="129" spans="1:18" ht="15.75" customHeight="1">
      <c r="A129" s="19" t="s">
        <v>16</v>
      </c>
      <c r="B129" s="20">
        <f>DATE(2022,7,1)</f>
        <v>44743</v>
      </c>
      <c r="C129" s="21">
        <v>271337</v>
      </c>
      <c r="D129" s="21">
        <v>292626</v>
      </c>
      <c r="E129" s="23">
        <f aca="true" t="shared" si="40" ref="E129:E140">(+C129-D129)/D129</f>
        <v>-0.0727515668464183</v>
      </c>
      <c r="F129" s="21">
        <f>+C129-134570</f>
        <v>136767</v>
      </c>
      <c r="G129" s="21">
        <f>+D129-144119</f>
        <v>148507</v>
      </c>
      <c r="H129" s="23">
        <f aca="true" t="shared" si="41" ref="H129:H140">(+F129-G129)/G129</f>
        <v>-0.07905351262903432</v>
      </c>
      <c r="I129" s="24">
        <f aca="true" t="shared" si="42" ref="I129:I140">K129/C129</f>
        <v>67.09016455551584</v>
      </c>
      <c r="J129" s="24">
        <f aca="true" t="shared" si="43" ref="J129:J140">K129/F129</f>
        <v>133.1026050143675</v>
      </c>
      <c r="K129" s="21">
        <v>18204043.98</v>
      </c>
      <c r="L129" s="21">
        <v>18108904.36</v>
      </c>
      <c r="M129" s="25">
        <f aca="true" t="shared" si="44" ref="M129:M140">(+K129-L129)/L129</f>
        <v>0.005253747996491216</v>
      </c>
      <c r="N129" s="10"/>
      <c r="R129" s="2"/>
    </row>
    <row r="130" spans="1:18" ht="15.75" customHeight="1">
      <c r="A130" s="19"/>
      <c r="B130" s="20">
        <f>DATE(2022,8,1)</f>
        <v>44774</v>
      </c>
      <c r="C130" s="21">
        <v>244622</v>
      </c>
      <c r="D130" s="21">
        <v>252812</v>
      </c>
      <c r="E130" s="23">
        <f t="shared" si="40"/>
        <v>-0.032395614132240555</v>
      </c>
      <c r="F130" s="21">
        <f>+C130-120033</f>
        <v>124589</v>
      </c>
      <c r="G130" s="21">
        <f>+D130-122587</f>
        <v>130225</v>
      </c>
      <c r="H130" s="23">
        <f t="shared" si="41"/>
        <v>-0.04327894029564216</v>
      </c>
      <c r="I130" s="24">
        <f t="shared" si="42"/>
        <v>67.20574674395598</v>
      </c>
      <c r="J130" s="24">
        <f t="shared" si="43"/>
        <v>131.95389785615103</v>
      </c>
      <c r="K130" s="21">
        <v>16440004.18</v>
      </c>
      <c r="L130" s="21">
        <v>16282457.7</v>
      </c>
      <c r="M130" s="25">
        <f t="shared" si="44"/>
        <v>0.009675841503951855</v>
      </c>
      <c r="N130" s="10"/>
      <c r="R130" s="2"/>
    </row>
    <row r="131" spans="1:18" ht="15.75" customHeight="1">
      <c r="A131" s="19"/>
      <c r="B131" s="20">
        <f>DATE(2022,9,1)</f>
        <v>44805</v>
      </c>
      <c r="C131" s="21">
        <v>238237</v>
      </c>
      <c r="D131" s="21">
        <v>243584</v>
      </c>
      <c r="E131" s="23">
        <f t="shared" si="40"/>
        <v>-0.021951359695218078</v>
      </c>
      <c r="F131" s="21">
        <f>+C131-117564</f>
        <v>120673</v>
      </c>
      <c r="G131" s="21">
        <f>+D131-118454</f>
        <v>125130</v>
      </c>
      <c r="H131" s="23">
        <f t="shared" si="41"/>
        <v>-0.03561895628546312</v>
      </c>
      <c r="I131" s="24">
        <f t="shared" si="42"/>
        <v>71.1967485738991</v>
      </c>
      <c r="J131" s="24">
        <f t="shared" si="43"/>
        <v>140.5591954289692</v>
      </c>
      <c r="K131" s="21">
        <v>16961699.79</v>
      </c>
      <c r="L131" s="21">
        <v>14471118.95</v>
      </c>
      <c r="M131" s="25">
        <f t="shared" si="44"/>
        <v>0.17210699798718743</v>
      </c>
      <c r="N131" s="10"/>
      <c r="R131" s="2"/>
    </row>
    <row r="132" spans="1:18" ht="15.75" customHeight="1">
      <c r="A132" s="19"/>
      <c r="B132" s="20">
        <f>DATE(2022,10,1)</f>
        <v>44835</v>
      </c>
      <c r="C132" s="21">
        <v>243168</v>
      </c>
      <c r="D132" s="21">
        <v>265943</v>
      </c>
      <c r="E132" s="23">
        <f t="shared" si="40"/>
        <v>-0.08563865189157074</v>
      </c>
      <c r="F132" s="21">
        <f>+C132-122237</f>
        <v>120931</v>
      </c>
      <c r="G132" s="21">
        <f>+D132-130327</f>
        <v>135616</v>
      </c>
      <c r="H132" s="23">
        <f t="shared" si="41"/>
        <v>-0.10828368334119867</v>
      </c>
      <c r="I132" s="24">
        <f t="shared" si="42"/>
        <v>66.92405645479668</v>
      </c>
      <c r="J132" s="24">
        <f t="shared" si="43"/>
        <v>134.57086239260406</v>
      </c>
      <c r="K132" s="21">
        <v>16273788.96</v>
      </c>
      <c r="L132" s="21">
        <v>16493487.77</v>
      </c>
      <c r="M132" s="25">
        <f t="shared" si="44"/>
        <v>-0.013320336672490142</v>
      </c>
      <c r="N132" s="10"/>
      <c r="R132" s="2"/>
    </row>
    <row r="133" spans="1:18" ht="15.75" customHeight="1">
      <c r="A133" s="19"/>
      <c r="B133" s="20">
        <f>DATE(2022,11,1)</f>
        <v>44866</v>
      </c>
      <c r="C133" s="21">
        <v>218400</v>
      </c>
      <c r="D133" s="21">
        <v>251827</v>
      </c>
      <c r="E133" s="23">
        <f t="shared" si="40"/>
        <v>-0.13273795105369957</v>
      </c>
      <c r="F133" s="21">
        <f>+C133-108404</f>
        <v>109996</v>
      </c>
      <c r="G133" s="21">
        <f>+D133-125798</f>
        <v>126029</v>
      </c>
      <c r="H133" s="23">
        <f t="shared" si="41"/>
        <v>-0.12721675170000554</v>
      </c>
      <c r="I133" s="24">
        <f t="shared" si="42"/>
        <v>69.58973214285714</v>
      </c>
      <c r="J133" s="24">
        <f t="shared" si="43"/>
        <v>138.1722744463435</v>
      </c>
      <c r="K133" s="21">
        <v>15198397.5</v>
      </c>
      <c r="L133" s="21">
        <v>16061512.83</v>
      </c>
      <c r="M133" s="25">
        <f t="shared" si="44"/>
        <v>-0.05373810917660613</v>
      </c>
      <c r="N133" s="10"/>
      <c r="R133" s="2"/>
    </row>
    <row r="134" spans="1:18" ht="15.75" customHeight="1">
      <c r="A134" s="19"/>
      <c r="B134" s="20">
        <f>DATE(2022,12,1)</f>
        <v>44896</v>
      </c>
      <c r="C134" s="21">
        <v>250765</v>
      </c>
      <c r="D134" s="21">
        <v>268015</v>
      </c>
      <c r="E134" s="23">
        <f t="shared" si="40"/>
        <v>-0.06436206928716676</v>
      </c>
      <c r="F134" s="21">
        <f>+C134-124228</f>
        <v>126537</v>
      </c>
      <c r="G134" s="21">
        <f>+D134-132764</f>
        <v>135251</v>
      </c>
      <c r="H134" s="23">
        <f t="shared" si="41"/>
        <v>-0.06442835912488633</v>
      </c>
      <c r="I134" s="24">
        <f t="shared" si="42"/>
        <v>66.21905182142643</v>
      </c>
      <c r="J134" s="24">
        <f t="shared" si="43"/>
        <v>131.2297630732513</v>
      </c>
      <c r="K134" s="21">
        <v>16605420.53</v>
      </c>
      <c r="L134" s="21">
        <v>16759114.94</v>
      </c>
      <c r="M134" s="25">
        <f t="shared" si="44"/>
        <v>-0.009170795149400661</v>
      </c>
      <c r="N134" s="10"/>
      <c r="R134" s="2"/>
    </row>
    <row r="135" spans="1:18" ht="15.75" customHeight="1">
      <c r="A135" s="19"/>
      <c r="B135" s="20">
        <f>DATE(2023,1,1)</f>
        <v>44927</v>
      </c>
      <c r="C135" s="21">
        <v>242722</v>
      </c>
      <c r="D135" s="21">
        <v>234359</v>
      </c>
      <c r="E135" s="23">
        <f t="shared" si="40"/>
        <v>0.0356845693999377</v>
      </c>
      <c r="F135" s="21">
        <f>+C135-123375</f>
        <v>119347</v>
      </c>
      <c r="G135" s="21">
        <f>+D135-117571</f>
        <v>116788</v>
      </c>
      <c r="H135" s="23">
        <f t="shared" si="41"/>
        <v>0.021911497756618832</v>
      </c>
      <c r="I135" s="24">
        <f t="shared" si="42"/>
        <v>64.47232727152874</v>
      </c>
      <c r="J135" s="24">
        <f t="shared" si="43"/>
        <v>131.12061652157155</v>
      </c>
      <c r="K135" s="21">
        <v>15648852.22</v>
      </c>
      <c r="L135" s="21">
        <v>14903439.41</v>
      </c>
      <c r="M135" s="25">
        <f t="shared" si="44"/>
        <v>0.050016159994574066</v>
      </c>
      <c r="N135" s="10"/>
      <c r="R135" s="2"/>
    </row>
    <row r="136" spans="1:18" ht="15.75" customHeight="1">
      <c r="A136" s="19"/>
      <c r="B136" s="20">
        <f>DATE(2023,2,1)</f>
        <v>44958</v>
      </c>
      <c r="C136" s="21">
        <v>238918</v>
      </c>
      <c r="D136" s="21">
        <v>253600</v>
      </c>
      <c r="E136" s="23">
        <f t="shared" si="40"/>
        <v>-0.057894321766561514</v>
      </c>
      <c r="F136" s="21">
        <f>+C136-118809</f>
        <v>120109</v>
      </c>
      <c r="G136" s="21">
        <f>+D136-127165</f>
        <v>126435</v>
      </c>
      <c r="H136" s="23">
        <f t="shared" si="41"/>
        <v>-0.050033614110017006</v>
      </c>
      <c r="I136" s="24">
        <f t="shared" si="42"/>
        <v>66.36110535832378</v>
      </c>
      <c r="J136" s="24">
        <f t="shared" si="43"/>
        <v>132.00395116102874</v>
      </c>
      <c r="K136" s="21">
        <v>15854862.57</v>
      </c>
      <c r="L136" s="21">
        <v>15991789.53</v>
      </c>
      <c r="M136" s="25">
        <f t="shared" si="44"/>
        <v>-0.008562328796482043</v>
      </c>
      <c r="N136" s="10"/>
      <c r="R136" s="2"/>
    </row>
    <row r="137" spans="1:18" ht="15.75" customHeight="1">
      <c r="A137" s="19"/>
      <c r="B137" s="20">
        <f>DATE(2023,3,1)</f>
        <v>44986</v>
      </c>
      <c r="C137" s="21">
        <v>275849</v>
      </c>
      <c r="D137" s="21">
        <v>280533</v>
      </c>
      <c r="E137" s="23">
        <f t="shared" si="40"/>
        <v>-0.016696787900175737</v>
      </c>
      <c r="F137" s="21">
        <f>+C137-138730</f>
        <v>137119</v>
      </c>
      <c r="G137" s="21">
        <f>+D137-140714</f>
        <v>139819</v>
      </c>
      <c r="H137" s="23">
        <f t="shared" si="41"/>
        <v>-0.019310680236591594</v>
      </c>
      <c r="I137" s="24">
        <f t="shared" si="42"/>
        <v>66.30632835355576</v>
      </c>
      <c r="J137" s="24">
        <f t="shared" si="43"/>
        <v>133.39168437634464</v>
      </c>
      <c r="K137" s="21">
        <v>18290534.37</v>
      </c>
      <c r="L137" s="21">
        <v>18450271.82</v>
      </c>
      <c r="M137" s="25">
        <f t="shared" si="44"/>
        <v>-0.008657728816051624</v>
      </c>
      <c r="N137" s="10"/>
      <c r="R137" s="2"/>
    </row>
    <row r="138" spans="1:18" ht="15.75" customHeight="1">
      <c r="A138" s="19"/>
      <c r="B138" s="20">
        <f>DATE(2023,4,1)</f>
        <v>45017</v>
      </c>
      <c r="C138" s="21">
        <v>256341</v>
      </c>
      <c r="D138" s="21">
        <v>270998</v>
      </c>
      <c r="E138" s="23">
        <f t="shared" si="40"/>
        <v>-0.05408527000199263</v>
      </c>
      <c r="F138" s="21">
        <f>+C138-130653</f>
        <v>125688</v>
      </c>
      <c r="G138" s="21">
        <f>+D138-136091</f>
        <v>134907</v>
      </c>
      <c r="H138" s="23">
        <f t="shared" si="41"/>
        <v>-0.06833596477573439</v>
      </c>
      <c r="I138" s="24">
        <f t="shared" si="42"/>
        <v>69.74534853964056</v>
      </c>
      <c r="J138" s="24">
        <f t="shared" si="43"/>
        <v>142.2458181369741</v>
      </c>
      <c r="K138" s="21">
        <v>17878592.39</v>
      </c>
      <c r="L138" s="21">
        <v>17783758.21</v>
      </c>
      <c r="M138" s="25">
        <f t="shared" si="44"/>
        <v>0.005332628732360599</v>
      </c>
      <c r="N138" s="10"/>
      <c r="R138" s="2"/>
    </row>
    <row r="139" spans="1:18" ht="15.75" customHeight="1">
      <c r="A139" s="19"/>
      <c r="B139" s="20">
        <f>DATE(2023,5,1)</f>
        <v>45047</v>
      </c>
      <c r="C139" s="21">
        <v>243902</v>
      </c>
      <c r="D139" s="21">
        <v>252781</v>
      </c>
      <c r="E139" s="23">
        <f t="shared" si="40"/>
        <v>-0.03512526653506395</v>
      </c>
      <c r="F139" s="21">
        <f>+C139-122068</f>
        <v>121834</v>
      </c>
      <c r="G139" s="21">
        <f>+D139-123938</f>
        <v>128843</v>
      </c>
      <c r="H139" s="23">
        <f t="shared" si="41"/>
        <v>-0.05439954052606661</v>
      </c>
      <c r="I139" s="24">
        <f t="shared" si="42"/>
        <v>68.7485210043378</v>
      </c>
      <c r="J139" s="24">
        <f t="shared" si="43"/>
        <v>137.6290835891459</v>
      </c>
      <c r="K139" s="21">
        <v>16767901.77</v>
      </c>
      <c r="L139" s="21">
        <v>16797842.63</v>
      </c>
      <c r="M139" s="25">
        <f t="shared" si="44"/>
        <v>-0.0017824229372483057</v>
      </c>
      <c r="N139" s="10"/>
      <c r="R139" s="2"/>
    </row>
    <row r="140" spans="1:18" ht="15.75" customHeight="1">
      <c r="A140" s="19"/>
      <c r="B140" s="20">
        <f>DATE(2023,6,1)</f>
        <v>45078</v>
      </c>
      <c r="C140" s="21">
        <v>243800</v>
      </c>
      <c r="D140" s="21">
        <v>235437</v>
      </c>
      <c r="E140" s="23">
        <f t="shared" si="40"/>
        <v>0.03552117976358856</v>
      </c>
      <c r="F140" s="21">
        <f>+C140-120425</f>
        <v>123375</v>
      </c>
      <c r="G140" s="21">
        <f>+D140-115130</f>
        <v>120307</v>
      </c>
      <c r="H140" s="23">
        <f t="shared" si="41"/>
        <v>0.02550142551971207</v>
      </c>
      <c r="I140" s="24">
        <f t="shared" si="42"/>
        <v>67.68772977850698</v>
      </c>
      <c r="J140" s="24">
        <f t="shared" si="43"/>
        <v>133.7569890172239</v>
      </c>
      <c r="K140" s="21">
        <v>16502268.52</v>
      </c>
      <c r="L140" s="21">
        <v>16592804.98</v>
      </c>
      <c r="M140" s="25">
        <f t="shared" si="44"/>
        <v>-0.005456368595251271</v>
      </c>
      <c r="N140" s="10"/>
      <c r="R140" s="2"/>
    </row>
    <row r="141" spans="1:18" ht="15.75" customHeight="1" thickBot="1">
      <c r="A141" s="19"/>
      <c r="B141" s="45"/>
      <c r="C141" s="21"/>
      <c r="D141" s="21"/>
      <c r="E141" s="23"/>
      <c r="F141" s="21"/>
      <c r="G141" s="21"/>
      <c r="H141" s="23"/>
      <c r="I141" s="24"/>
      <c r="J141" s="24"/>
      <c r="K141" s="21"/>
      <c r="L141" s="21"/>
      <c r="M141" s="25"/>
      <c r="N141" s="10"/>
      <c r="R141" s="2"/>
    </row>
    <row r="142" spans="1:18" ht="16.5" thickBot="1" thickTop="1">
      <c r="A142" s="39" t="s">
        <v>14</v>
      </c>
      <c r="B142" s="40"/>
      <c r="C142" s="41">
        <f>SUM(C129:C141)</f>
        <v>2968061</v>
      </c>
      <c r="D142" s="41">
        <f>SUM(D129:D141)</f>
        <v>3102515</v>
      </c>
      <c r="E142" s="280">
        <f>(+C142-D142)/D142</f>
        <v>-0.0433370990954113</v>
      </c>
      <c r="F142" s="41">
        <f>SUM(F129:F141)</f>
        <v>1486965</v>
      </c>
      <c r="G142" s="41">
        <f>SUM(G129:G141)</f>
        <v>1567857</v>
      </c>
      <c r="H142" s="42">
        <f>(+F142-G142)/G142</f>
        <v>-0.05159399103362105</v>
      </c>
      <c r="I142" s="43">
        <f>K142/C142</f>
        <v>67.59509551185101</v>
      </c>
      <c r="J142" s="43">
        <f>K142/F142</f>
        <v>134.92339549350524</v>
      </c>
      <c r="K142" s="41">
        <f>SUM(K129:K141)</f>
        <v>200626366.78000003</v>
      </c>
      <c r="L142" s="41">
        <f>SUM(L129:L141)</f>
        <v>198696503.13</v>
      </c>
      <c r="M142" s="44">
        <f>(+K142-L142)/L142</f>
        <v>0.00971262009949614</v>
      </c>
      <c r="N142" s="10"/>
      <c r="R142" s="2"/>
    </row>
    <row r="143" spans="1:18" ht="15.75" customHeight="1" thickTop="1">
      <c r="A143" s="54"/>
      <c r="B143" s="55"/>
      <c r="C143" s="55"/>
      <c r="D143" s="55"/>
      <c r="E143" s="56"/>
      <c r="F143" s="55"/>
      <c r="G143" s="55"/>
      <c r="H143" s="56"/>
      <c r="I143" s="55"/>
      <c r="J143" s="55"/>
      <c r="K143" s="196"/>
      <c r="L143" s="196"/>
      <c r="M143" s="57"/>
      <c r="N143" s="10"/>
      <c r="R143" s="2"/>
    </row>
    <row r="144" spans="1:18" ht="15.75" customHeight="1">
      <c r="A144" s="19" t="s">
        <v>53</v>
      </c>
      <c r="B144" s="20">
        <f>DATE(2022,7,1)</f>
        <v>44743</v>
      </c>
      <c r="C144" s="21">
        <v>358906</v>
      </c>
      <c r="D144" s="21">
        <v>338901</v>
      </c>
      <c r="E144" s="23">
        <f aca="true" t="shared" si="45" ref="E144:E155">(+C144-D144)/D144</f>
        <v>0.05902903797864273</v>
      </c>
      <c r="F144" s="21">
        <f>+C144-172463</f>
        <v>186443</v>
      </c>
      <c r="G144" s="21">
        <f>+D144-160819</f>
        <v>178082</v>
      </c>
      <c r="H144" s="23">
        <f aca="true" t="shared" si="46" ref="H144:H155">(+F144-G144)/G144</f>
        <v>0.0469502813310722</v>
      </c>
      <c r="I144" s="24">
        <f aca="true" t="shared" si="47" ref="I144:I155">K144/C144</f>
        <v>62.40353460237499</v>
      </c>
      <c r="J144" s="24">
        <f aca="true" t="shared" si="48" ref="J144:J155">K144/F144</f>
        <v>120.12788353545051</v>
      </c>
      <c r="K144" s="21">
        <v>22397002.99</v>
      </c>
      <c r="L144" s="21">
        <v>20138878.38</v>
      </c>
      <c r="M144" s="25">
        <f aca="true" t="shared" si="49" ref="M144:M155">(+K144-L144)/L144</f>
        <v>0.11212762535189408</v>
      </c>
      <c r="N144" s="10"/>
      <c r="R144" s="2"/>
    </row>
    <row r="145" spans="1:18" ht="15.75" customHeight="1">
      <c r="A145" s="19"/>
      <c r="B145" s="20">
        <f>DATE(2022,8,1)</f>
        <v>44774</v>
      </c>
      <c r="C145" s="21">
        <v>332390</v>
      </c>
      <c r="D145" s="21">
        <v>315503</v>
      </c>
      <c r="E145" s="23">
        <f t="shared" si="45"/>
        <v>0.05352405523877744</v>
      </c>
      <c r="F145" s="21">
        <f>+C145-159690</f>
        <v>172700</v>
      </c>
      <c r="G145" s="21">
        <f>+D145-149989</f>
        <v>165514</v>
      </c>
      <c r="H145" s="23">
        <f t="shared" si="46"/>
        <v>0.04341626690189349</v>
      </c>
      <c r="I145" s="24">
        <f t="shared" si="47"/>
        <v>62.33564412286771</v>
      </c>
      <c r="J145" s="24">
        <f t="shared" si="48"/>
        <v>119.97536045165026</v>
      </c>
      <c r="K145" s="21">
        <v>20719744.75</v>
      </c>
      <c r="L145" s="21">
        <v>19194870.57</v>
      </c>
      <c r="M145" s="25">
        <f t="shared" si="49"/>
        <v>0.07944175369347123</v>
      </c>
      <c r="N145" s="10"/>
      <c r="R145" s="2"/>
    </row>
    <row r="146" spans="1:18" ht="15.75" customHeight="1">
      <c r="A146" s="19"/>
      <c r="B146" s="20">
        <f>DATE(2022,9,1)</f>
        <v>44805</v>
      </c>
      <c r="C146" s="21">
        <v>333101</v>
      </c>
      <c r="D146" s="21">
        <v>329297</v>
      </c>
      <c r="E146" s="23">
        <f t="shared" si="45"/>
        <v>0.011551881735940503</v>
      </c>
      <c r="F146" s="21">
        <f>+C146-160339</f>
        <v>172762</v>
      </c>
      <c r="G146" s="21">
        <f>+D146-155913</f>
        <v>173384</v>
      </c>
      <c r="H146" s="23">
        <f t="shared" si="46"/>
        <v>-0.0035874129100724405</v>
      </c>
      <c r="I146" s="24">
        <f t="shared" si="47"/>
        <v>60.98825344264953</v>
      </c>
      <c r="J146" s="24">
        <f t="shared" si="48"/>
        <v>117.59095292946365</v>
      </c>
      <c r="K146" s="21">
        <v>20315248.21</v>
      </c>
      <c r="L146" s="21">
        <v>19476285.94</v>
      </c>
      <c r="M146" s="25">
        <f t="shared" si="49"/>
        <v>0.04307609123138595</v>
      </c>
      <c r="N146" s="10"/>
      <c r="R146" s="2"/>
    </row>
    <row r="147" spans="1:18" ht="15.75" customHeight="1">
      <c r="A147" s="19"/>
      <c r="B147" s="20">
        <f>DATE(2022,10,1)</f>
        <v>44835</v>
      </c>
      <c r="C147" s="21">
        <v>337264</v>
      </c>
      <c r="D147" s="21">
        <v>343168</v>
      </c>
      <c r="E147" s="23">
        <f t="shared" si="45"/>
        <v>-0.017204401342782543</v>
      </c>
      <c r="F147" s="21">
        <f>+C147-160233</f>
        <v>177031</v>
      </c>
      <c r="G147" s="21">
        <f>+D147-164416</f>
        <v>178752</v>
      </c>
      <c r="H147" s="23">
        <f t="shared" si="46"/>
        <v>-0.009627864303616184</v>
      </c>
      <c r="I147" s="24">
        <f t="shared" si="47"/>
        <v>62.27801304022961</v>
      </c>
      <c r="J147" s="24">
        <f t="shared" si="48"/>
        <v>118.64663132445729</v>
      </c>
      <c r="K147" s="21">
        <v>21004131.79</v>
      </c>
      <c r="L147" s="21">
        <v>21027601.49</v>
      </c>
      <c r="M147" s="25">
        <f t="shared" si="49"/>
        <v>-0.0011161377588005286</v>
      </c>
      <c r="N147" s="10"/>
      <c r="R147" s="2"/>
    </row>
    <row r="148" spans="1:18" ht="15.75" customHeight="1">
      <c r="A148" s="19"/>
      <c r="B148" s="20">
        <f>DATE(2022,11,1)</f>
        <v>44866</v>
      </c>
      <c r="C148" s="21">
        <v>335976</v>
      </c>
      <c r="D148" s="21">
        <v>319143</v>
      </c>
      <c r="E148" s="23">
        <f t="shared" si="45"/>
        <v>0.05274438104548745</v>
      </c>
      <c r="F148" s="21">
        <f>+C148-165580</f>
        <v>170396</v>
      </c>
      <c r="G148" s="21">
        <f>+D148-158694</f>
        <v>160449</v>
      </c>
      <c r="H148" s="23">
        <f t="shared" si="46"/>
        <v>0.06199477715660428</v>
      </c>
      <c r="I148" s="24">
        <f t="shared" si="47"/>
        <v>62.16175759578066</v>
      </c>
      <c r="J148" s="24">
        <f t="shared" si="48"/>
        <v>122.56660173947746</v>
      </c>
      <c r="K148" s="21">
        <v>20884858.67</v>
      </c>
      <c r="L148" s="21">
        <v>19834333.84</v>
      </c>
      <c r="M148" s="25">
        <f t="shared" si="49"/>
        <v>0.052964966631821195</v>
      </c>
      <c r="N148" s="10"/>
      <c r="R148" s="2"/>
    </row>
    <row r="149" spans="1:18" ht="15.75" customHeight="1">
      <c r="A149" s="19"/>
      <c r="B149" s="20">
        <f>DATE(2022,12,1)</f>
        <v>44896</v>
      </c>
      <c r="C149" s="21">
        <v>365576</v>
      </c>
      <c r="D149" s="21">
        <v>337706</v>
      </c>
      <c r="E149" s="23">
        <f t="shared" si="45"/>
        <v>0.08252740549472026</v>
      </c>
      <c r="F149" s="21">
        <f>+C149-180532</f>
        <v>185044</v>
      </c>
      <c r="G149" s="21">
        <f>+D149-167775</f>
        <v>169931</v>
      </c>
      <c r="H149" s="23">
        <f t="shared" si="46"/>
        <v>0.08893609759255228</v>
      </c>
      <c r="I149" s="24">
        <f t="shared" si="47"/>
        <v>56.937219976147226</v>
      </c>
      <c r="J149" s="24">
        <f t="shared" si="48"/>
        <v>112.48611751799571</v>
      </c>
      <c r="K149" s="21">
        <v>20814881.13</v>
      </c>
      <c r="L149" s="21">
        <v>21876573.8</v>
      </c>
      <c r="M149" s="25">
        <f t="shared" si="49"/>
        <v>-0.04853103048522167</v>
      </c>
      <c r="N149" s="10"/>
      <c r="R149" s="2"/>
    </row>
    <row r="150" spans="1:18" ht="15.75" customHeight="1">
      <c r="A150" s="19"/>
      <c r="B150" s="20">
        <f>DATE(2023,1,1)</f>
        <v>44927</v>
      </c>
      <c r="C150" s="21">
        <v>342355</v>
      </c>
      <c r="D150" s="21">
        <v>310561</v>
      </c>
      <c r="E150" s="23">
        <f t="shared" si="45"/>
        <v>0.10237602274593396</v>
      </c>
      <c r="F150" s="21">
        <f>+C150-168925</f>
        <v>173430</v>
      </c>
      <c r="G150" s="21">
        <f>+D150-154923</f>
        <v>155638</v>
      </c>
      <c r="H150" s="23">
        <f t="shared" si="46"/>
        <v>0.1143165550829489</v>
      </c>
      <c r="I150" s="24">
        <f t="shared" si="47"/>
        <v>60.37548509588</v>
      </c>
      <c r="J150" s="24">
        <f t="shared" si="48"/>
        <v>119.18266274577638</v>
      </c>
      <c r="K150" s="21">
        <v>20669849.2</v>
      </c>
      <c r="L150" s="21">
        <v>18760398.27</v>
      </c>
      <c r="M150" s="25">
        <f t="shared" si="49"/>
        <v>0.10178093783080436</v>
      </c>
      <c r="N150" s="10"/>
      <c r="R150" s="2"/>
    </row>
    <row r="151" spans="1:18" ht="15.75" customHeight="1">
      <c r="A151" s="19"/>
      <c r="B151" s="20">
        <f>DATE(2023,2,1)</f>
        <v>44958</v>
      </c>
      <c r="C151" s="21">
        <v>337128</v>
      </c>
      <c r="D151" s="21">
        <v>302200</v>
      </c>
      <c r="E151" s="23">
        <f t="shared" si="45"/>
        <v>0.11557908669755129</v>
      </c>
      <c r="F151" s="21">
        <f>+C151-165968</f>
        <v>171160</v>
      </c>
      <c r="G151" s="21">
        <f>+D151-150400</f>
        <v>151800</v>
      </c>
      <c r="H151" s="23">
        <f t="shared" si="46"/>
        <v>0.12753623188405797</v>
      </c>
      <c r="I151" s="24">
        <f t="shared" si="47"/>
        <v>61.97928421845708</v>
      </c>
      <c r="J151" s="24">
        <f t="shared" si="48"/>
        <v>122.0784770390278</v>
      </c>
      <c r="K151" s="21">
        <v>20894952.13</v>
      </c>
      <c r="L151" s="21">
        <v>19485353.88</v>
      </c>
      <c r="M151" s="25">
        <f t="shared" si="49"/>
        <v>0.07234142416303913</v>
      </c>
      <c r="N151" s="10"/>
      <c r="R151" s="2"/>
    </row>
    <row r="152" spans="1:18" ht="15.75" customHeight="1">
      <c r="A152" s="19"/>
      <c r="B152" s="20">
        <f>DATE(2023,3,1)</f>
        <v>44986</v>
      </c>
      <c r="C152" s="21">
        <v>378898</v>
      </c>
      <c r="D152" s="21">
        <v>362122</v>
      </c>
      <c r="E152" s="23">
        <f t="shared" si="45"/>
        <v>0.04632692849371206</v>
      </c>
      <c r="F152" s="21">
        <f>+C152-184365</f>
        <v>194533</v>
      </c>
      <c r="G152" s="21">
        <f>+D152-178958</f>
        <v>183164</v>
      </c>
      <c r="H152" s="23">
        <f t="shared" si="46"/>
        <v>0.06207005743486711</v>
      </c>
      <c r="I152" s="24">
        <f t="shared" si="47"/>
        <v>62.61313672809041</v>
      </c>
      <c r="J152" s="24">
        <f t="shared" si="48"/>
        <v>121.95356201775535</v>
      </c>
      <c r="K152" s="21">
        <v>23723992.28</v>
      </c>
      <c r="L152" s="21">
        <v>23536451.56</v>
      </c>
      <c r="M152" s="25">
        <f t="shared" si="49"/>
        <v>0.007968096614815396</v>
      </c>
      <c r="N152" s="10"/>
      <c r="R152" s="2"/>
    </row>
    <row r="153" spans="1:18" ht="15.75" customHeight="1">
      <c r="A153" s="19"/>
      <c r="B153" s="20">
        <f>DATE(2023,4,1)</f>
        <v>45017</v>
      </c>
      <c r="C153" s="21">
        <v>354655</v>
      </c>
      <c r="D153" s="21">
        <v>362549</v>
      </c>
      <c r="E153" s="23">
        <f t="shared" si="45"/>
        <v>-0.021773608532915552</v>
      </c>
      <c r="F153" s="21">
        <f>+C153-170194</f>
        <v>184461</v>
      </c>
      <c r="G153" s="21">
        <f>+D153-177339</f>
        <v>185210</v>
      </c>
      <c r="H153" s="23">
        <f t="shared" si="46"/>
        <v>-0.004044058096215107</v>
      </c>
      <c r="I153" s="24">
        <f t="shared" si="47"/>
        <v>62.34007841423355</v>
      </c>
      <c r="J153" s="24">
        <f t="shared" si="48"/>
        <v>119.85850944102006</v>
      </c>
      <c r="K153" s="21">
        <v>22109220.51</v>
      </c>
      <c r="L153" s="21">
        <v>23358781.21</v>
      </c>
      <c r="M153" s="25">
        <f t="shared" si="49"/>
        <v>-0.053494259343679136</v>
      </c>
      <c r="N153" s="10"/>
      <c r="R153" s="2"/>
    </row>
    <row r="154" spans="1:18" ht="15.75" customHeight="1">
      <c r="A154" s="19"/>
      <c r="B154" s="20">
        <f>DATE(2023,5,1)</f>
        <v>45047</v>
      </c>
      <c r="C154" s="21">
        <v>344223</v>
      </c>
      <c r="D154" s="21">
        <v>339247</v>
      </c>
      <c r="E154" s="23">
        <f t="shared" si="45"/>
        <v>0.014667778933933093</v>
      </c>
      <c r="F154" s="21">
        <f>+C154-161794</f>
        <v>182429</v>
      </c>
      <c r="G154" s="21">
        <f>+D154-163437</f>
        <v>175810</v>
      </c>
      <c r="H154" s="23">
        <f t="shared" si="46"/>
        <v>0.037648597918207155</v>
      </c>
      <c r="I154" s="24">
        <f t="shared" si="47"/>
        <v>61.45924333934688</v>
      </c>
      <c r="J154" s="24">
        <f t="shared" si="48"/>
        <v>115.96667810490658</v>
      </c>
      <c r="K154" s="21">
        <v>21155685.12</v>
      </c>
      <c r="L154" s="21">
        <v>22835353.39</v>
      </c>
      <c r="M154" s="25">
        <f t="shared" si="49"/>
        <v>-0.07355560657692976</v>
      </c>
      <c r="N154" s="10"/>
      <c r="R154" s="2"/>
    </row>
    <row r="155" spans="1:18" ht="15.75" customHeight="1">
      <c r="A155" s="19"/>
      <c r="B155" s="20">
        <f>DATE(2023,6,1)</f>
        <v>45078</v>
      </c>
      <c r="C155" s="21">
        <v>329516</v>
      </c>
      <c r="D155" s="21">
        <v>320052</v>
      </c>
      <c r="E155" s="23">
        <f t="shared" si="45"/>
        <v>0.029570194843337956</v>
      </c>
      <c r="F155" s="21">
        <f>+C155-154519</f>
        <v>174997</v>
      </c>
      <c r="G155" s="21">
        <f>+D155-153576</f>
        <v>166476</v>
      </c>
      <c r="H155" s="23">
        <f t="shared" si="46"/>
        <v>0.051184555131069946</v>
      </c>
      <c r="I155" s="24">
        <f t="shared" si="47"/>
        <v>61.04083829009821</v>
      </c>
      <c r="J155" s="24">
        <f t="shared" si="48"/>
        <v>114.93872963536518</v>
      </c>
      <c r="K155" s="21">
        <v>20113932.87</v>
      </c>
      <c r="L155" s="21">
        <v>19933289.47</v>
      </c>
      <c r="M155" s="25">
        <f t="shared" si="49"/>
        <v>0.00906239786824318</v>
      </c>
      <c r="N155" s="10"/>
      <c r="R155" s="2"/>
    </row>
    <row r="156" spans="1:18" ht="15.75" customHeight="1" thickBot="1">
      <c r="A156" s="19"/>
      <c r="B156" s="45"/>
      <c r="C156" s="21"/>
      <c r="D156" s="21"/>
      <c r="E156" s="23"/>
      <c r="F156" s="21"/>
      <c r="G156" s="21"/>
      <c r="H156" s="23"/>
      <c r="I156" s="24"/>
      <c r="J156" s="24"/>
      <c r="K156" s="21"/>
      <c r="L156" s="21"/>
      <c r="M156" s="25"/>
      <c r="N156" s="10"/>
      <c r="R156" s="2"/>
    </row>
    <row r="157" spans="1:18" ht="16.5" thickBot="1" thickTop="1">
      <c r="A157" s="39" t="s">
        <v>14</v>
      </c>
      <c r="B157" s="40"/>
      <c r="C157" s="41">
        <f>SUM(C144:C156)</f>
        <v>4149988</v>
      </c>
      <c r="D157" s="41">
        <f>SUM(D144:D156)</f>
        <v>3980449</v>
      </c>
      <c r="E157" s="280">
        <f>(+C157-D157)/D157</f>
        <v>0.042592933611258425</v>
      </c>
      <c r="F157" s="41">
        <f>SUM(F144:F156)</f>
        <v>2145386</v>
      </c>
      <c r="G157" s="41">
        <f>SUM(G144:G156)</f>
        <v>2044210</v>
      </c>
      <c r="H157" s="42">
        <f>(+F157-G157)/G157</f>
        <v>0.049493936532939375</v>
      </c>
      <c r="I157" s="43">
        <f>K157/C157</f>
        <v>61.39861118875524</v>
      </c>
      <c r="J157" s="43">
        <f>K157/F157</f>
        <v>118.76813759854869</v>
      </c>
      <c r="K157" s="41">
        <f>SUM(K144:K156)</f>
        <v>254803499.64999998</v>
      </c>
      <c r="L157" s="41">
        <f>SUM(L144:L156)</f>
        <v>249458171.79999998</v>
      </c>
      <c r="M157" s="44">
        <f>(+K157-L157)/L157</f>
        <v>0.021427752041274256</v>
      </c>
      <c r="N157" s="10"/>
      <c r="R157" s="2"/>
    </row>
    <row r="158" spans="1:18" ht="15.75" customHeight="1" thickTop="1">
      <c r="A158" s="58"/>
      <c r="B158" s="59"/>
      <c r="C158" s="59"/>
      <c r="D158" s="59"/>
      <c r="E158" s="60"/>
      <c r="F158" s="59"/>
      <c r="G158" s="59"/>
      <c r="H158" s="60"/>
      <c r="I158" s="59"/>
      <c r="J158" s="59"/>
      <c r="K158" s="197"/>
      <c r="L158" s="197"/>
      <c r="M158" s="61"/>
      <c r="N158" s="10"/>
      <c r="R158" s="2"/>
    </row>
    <row r="159" spans="1:18" ht="15" customHeight="1">
      <c r="A159" s="19" t="s">
        <v>54</v>
      </c>
      <c r="B159" s="20">
        <f>DATE(2022,7,1)</f>
        <v>44743</v>
      </c>
      <c r="C159" s="21">
        <v>45743</v>
      </c>
      <c r="D159" s="21">
        <v>54523</v>
      </c>
      <c r="E159" s="23">
        <f aca="true" t="shared" si="50" ref="E159:E170">(+C159-D159)/D159</f>
        <v>-0.1610329585679438</v>
      </c>
      <c r="F159" s="21">
        <f>+C159-23748</f>
        <v>21995</v>
      </c>
      <c r="G159" s="21">
        <f>+D159-27936</f>
        <v>26587</v>
      </c>
      <c r="H159" s="23">
        <f aca="true" t="shared" si="51" ref="H159:H170">(+F159-G159)/G159</f>
        <v>-0.17271598901718885</v>
      </c>
      <c r="I159" s="24">
        <f aca="true" t="shared" si="52" ref="I159:I170">K159/C159</f>
        <v>71.13247229084232</v>
      </c>
      <c r="J159" s="24">
        <f aca="true" t="shared" si="53" ref="J159:J170">K159/F159</f>
        <v>147.93419777222095</v>
      </c>
      <c r="K159" s="21">
        <v>3253812.68</v>
      </c>
      <c r="L159" s="21">
        <v>3636808.62</v>
      </c>
      <c r="M159" s="25">
        <f aca="true" t="shared" si="54" ref="M159:M170">(+K159-L159)/L159</f>
        <v>-0.1053109965406978</v>
      </c>
      <c r="N159" s="10"/>
      <c r="R159" s="2"/>
    </row>
    <row r="160" spans="1:18" ht="15" customHeight="1">
      <c r="A160" s="19"/>
      <c r="B160" s="20">
        <f>DATE(2022,8,1)</f>
        <v>44774</v>
      </c>
      <c r="C160" s="21">
        <v>40978</v>
      </c>
      <c r="D160" s="21">
        <v>47684</v>
      </c>
      <c r="E160" s="23">
        <f t="shared" si="50"/>
        <v>-0.14063417498532002</v>
      </c>
      <c r="F160" s="21">
        <f>+C160-21136</f>
        <v>19842</v>
      </c>
      <c r="G160" s="21">
        <f>+D160-24640</f>
        <v>23044</v>
      </c>
      <c r="H160" s="23">
        <f t="shared" si="51"/>
        <v>-0.1389515709078285</v>
      </c>
      <c r="I160" s="24">
        <f t="shared" si="52"/>
        <v>72.08604763531652</v>
      </c>
      <c r="J160" s="24">
        <f t="shared" si="53"/>
        <v>148.87320129019253</v>
      </c>
      <c r="K160" s="21">
        <v>2953942.06</v>
      </c>
      <c r="L160" s="21">
        <v>3224724.59</v>
      </c>
      <c r="M160" s="25">
        <f t="shared" si="54"/>
        <v>-0.0839707461653337</v>
      </c>
      <c r="N160" s="10"/>
      <c r="R160" s="2"/>
    </row>
    <row r="161" spans="1:18" ht="15" customHeight="1">
      <c r="A161" s="19"/>
      <c r="B161" s="20">
        <f>DATE(2022,9,1)</f>
        <v>44805</v>
      </c>
      <c r="C161" s="21">
        <v>41696</v>
      </c>
      <c r="D161" s="21">
        <v>47289</v>
      </c>
      <c r="E161" s="23">
        <f t="shared" si="50"/>
        <v>-0.11827274841929412</v>
      </c>
      <c r="F161" s="21">
        <f>+C161-21639</f>
        <v>20057</v>
      </c>
      <c r="G161" s="21">
        <f>+D161-24190</f>
        <v>23099</v>
      </c>
      <c r="H161" s="23">
        <f t="shared" si="51"/>
        <v>-0.13169401272782372</v>
      </c>
      <c r="I161" s="24">
        <f t="shared" si="52"/>
        <v>74.37283792210285</v>
      </c>
      <c r="J161" s="24">
        <f t="shared" si="53"/>
        <v>154.6118487311163</v>
      </c>
      <c r="K161" s="21">
        <v>3101049.85</v>
      </c>
      <c r="L161" s="21">
        <v>3144600.15</v>
      </c>
      <c r="M161" s="25">
        <f t="shared" si="54"/>
        <v>-0.013849232946198204</v>
      </c>
      <c r="N161" s="10"/>
      <c r="R161" s="2"/>
    </row>
    <row r="162" spans="1:18" ht="15" customHeight="1">
      <c r="A162" s="19"/>
      <c r="B162" s="20">
        <f>DATE(2022,10,1)</f>
        <v>44835</v>
      </c>
      <c r="C162" s="21">
        <v>40713</v>
      </c>
      <c r="D162" s="21">
        <v>51019</v>
      </c>
      <c r="E162" s="23">
        <f t="shared" si="50"/>
        <v>-0.20200317528763795</v>
      </c>
      <c r="F162" s="21">
        <f>+C162-21150</f>
        <v>19563</v>
      </c>
      <c r="G162" s="21">
        <f>+D162-26626</f>
        <v>24393</v>
      </c>
      <c r="H162" s="23">
        <f t="shared" si="51"/>
        <v>-0.19800762513835937</v>
      </c>
      <c r="I162" s="24">
        <f t="shared" si="52"/>
        <v>74.91937391005331</v>
      </c>
      <c r="J162" s="24">
        <f t="shared" si="53"/>
        <v>155.91639676941165</v>
      </c>
      <c r="K162" s="21">
        <v>3050192.47</v>
      </c>
      <c r="L162" s="21">
        <v>3495138.43</v>
      </c>
      <c r="M162" s="25">
        <f t="shared" si="54"/>
        <v>-0.1273042452856438</v>
      </c>
      <c r="N162" s="10"/>
      <c r="R162" s="2"/>
    </row>
    <row r="163" spans="1:18" ht="15" customHeight="1">
      <c r="A163" s="19"/>
      <c r="B163" s="20">
        <f>DATE(2022,11,1)</f>
        <v>44866</v>
      </c>
      <c r="C163" s="21">
        <v>37233</v>
      </c>
      <c r="D163" s="21">
        <v>42978</v>
      </c>
      <c r="E163" s="23">
        <f t="shared" si="50"/>
        <v>-0.13367304202149938</v>
      </c>
      <c r="F163" s="21">
        <f>+C163-19170</f>
        <v>18063</v>
      </c>
      <c r="G163" s="21">
        <f>+D163-22231</f>
        <v>20747</v>
      </c>
      <c r="H163" s="23">
        <f t="shared" si="51"/>
        <v>-0.12936810141225238</v>
      </c>
      <c r="I163" s="24">
        <f t="shared" si="52"/>
        <v>75.17562646039804</v>
      </c>
      <c r="J163" s="24">
        <f t="shared" si="53"/>
        <v>154.95842883241986</v>
      </c>
      <c r="K163" s="21">
        <v>2799014.1</v>
      </c>
      <c r="L163" s="21">
        <v>3192010.29</v>
      </c>
      <c r="M163" s="25">
        <f t="shared" si="54"/>
        <v>-0.12311871024701489</v>
      </c>
      <c r="N163" s="10"/>
      <c r="R163" s="2"/>
    </row>
    <row r="164" spans="1:18" ht="15" customHeight="1">
      <c r="A164" s="19"/>
      <c r="B164" s="20">
        <f>DATE(2022,12,1)</f>
        <v>44896</v>
      </c>
      <c r="C164" s="21">
        <v>38888</v>
      </c>
      <c r="D164" s="21">
        <v>46732</v>
      </c>
      <c r="E164" s="23">
        <f t="shared" si="50"/>
        <v>-0.1678507232731319</v>
      </c>
      <c r="F164" s="21">
        <f>+C164-20548</f>
        <v>18340</v>
      </c>
      <c r="G164" s="21">
        <f>+D164-24398</f>
        <v>22334</v>
      </c>
      <c r="H164" s="23">
        <f t="shared" si="51"/>
        <v>-0.17883048267215904</v>
      </c>
      <c r="I164" s="24">
        <f t="shared" si="52"/>
        <v>79.65988788315163</v>
      </c>
      <c r="J164" s="24">
        <f t="shared" si="53"/>
        <v>168.91023555070885</v>
      </c>
      <c r="K164" s="21">
        <v>3097813.72</v>
      </c>
      <c r="L164" s="21">
        <v>3172345.79</v>
      </c>
      <c r="M164" s="25">
        <f t="shared" si="54"/>
        <v>-0.02349430829228734</v>
      </c>
      <c r="N164" s="10"/>
      <c r="R164" s="2"/>
    </row>
    <row r="165" spans="1:18" ht="15" customHeight="1">
      <c r="A165" s="19"/>
      <c r="B165" s="20">
        <f>DATE(2023,1,1)</f>
        <v>44927</v>
      </c>
      <c r="C165" s="21">
        <v>39674</v>
      </c>
      <c r="D165" s="21">
        <v>38219</v>
      </c>
      <c r="E165" s="23">
        <f t="shared" si="50"/>
        <v>0.03807006986054057</v>
      </c>
      <c r="F165" s="21">
        <f>+C165-21146</f>
        <v>18528</v>
      </c>
      <c r="G165" s="21">
        <f>+D165-20352</f>
        <v>17867</v>
      </c>
      <c r="H165" s="23">
        <f t="shared" si="51"/>
        <v>0.036995578440700734</v>
      </c>
      <c r="I165" s="24">
        <f t="shared" si="52"/>
        <v>72.79951882845188</v>
      </c>
      <c r="J165" s="24">
        <f t="shared" si="53"/>
        <v>155.8855845207254</v>
      </c>
      <c r="K165" s="21">
        <v>2888248.11</v>
      </c>
      <c r="L165" s="21">
        <v>2828394.75</v>
      </c>
      <c r="M165" s="25">
        <f t="shared" si="54"/>
        <v>0.021161600586339608</v>
      </c>
      <c r="N165" s="10"/>
      <c r="R165" s="2"/>
    </row>
    <row r="166" spans="1:18" ht="15" customHeight="1">
      <c r="A166" s="19"/>
      <c r="B166" s="20">
        <f>DATE(2023,2,1)</f>
        <v>44958</v>
      </c>
      <c r="C166" s="21">
        <v>44258</v>
      </c>
      <c r="D166" s="21">
        <v>40513</v>
      </c>
      <c r="E166" s="23">
        <f t="shared" si="50"/>
        <v>0.09243946387579295</v>
      </c>
      <c r="F166" s="21">
        <f>+C166-23416</f>
        <v>20842</v>
      </c>
      <c r="G166" s="21">
        <f>+D166-21623</f>
        <v>18890</v>
      </c>
      <c r="H166" s="23">
        <f t="shared" si="51"/>
        <v>0.10333509793541557</v>
      </c>
      <c r="I166" s="24">
        <f t="shared" si="52"/>
        <v>70.32988205522166</v>
      </c>
      <c r="J166" s="24">
        <f t="shared" si="53"/>
        <v>149.34554841186068</v>
      </c>
      <c r="K166" s="21">
        <v>3112659.92</v>
      </c>
      <c r="L166" s="21">
        <v>2975555.87</v>
      </c>
      <c r="M166" s="25">
        <f t="shared" si="54"/>
        <v>0.04607678564610511</v>
      </c>
      <c r="N166" s="10"/>
      <c r="R166" s="2"/>
    </row>
    <row r="167" spans="1:18" ht="15" customHeight="1">
      <c r="A167" s="19"/>
      <c r="B167" s="20">
        <f>DATE(2023,3,1)</f>
        <v>44986</v>
      </c>
      <c r="C167" s="21">
        <v>46782</v>
      </c>
      <c r="D167" s="21">
        <v>49211</v>
      </c>
      <c r="E167" s="23">
        <f t="shared" si="50"/>
        <v>-0.04935888317652557</v>
      </c>
      <c r="F167" s="21">
        <f>+C167-24795</f>
        <v>21987</v>
      </c>
      <c r="G167" s="21">
        <f>+D167-26110</f>
        <v>23101</v>
      </c>
      <c r="H167" s="23">
        <f t="shared" si="51"/>
        <v>-0.04822302064845678</v>
      </c>
      <c r="I167" s="24">
        <f t="shared" si="52"/>
        <v>71.75397075798384</v>
      </c>
      <c r="J167" s="24">
        <f t="shared" si="53"/>
        <v>152.6717724109701</v>
      </c>
      <c r="K167" s="21">
        <v>3356794.26</v>
      </c>
      <c r="L167" s="21">
        <v>3526809.79</v>
      </c>
      <c r="M167" s="25">
        <f t="shared" si="54"/>
        <v>-0.04820660600468625</v>
      </c>
      <c r="N167" s="10"/>
      <c r="R167" s="2"/>
    </row>
    <row r="168" spans="1:18" ht="15" customHeight="1">
      <c r="A168" s="19"/>
      <c r="B168" s="20">
        <f>DATE(2023,4,1)</f>
        <v>45017</v>
      </c>
      <c r="C168" s="21">
        <v>44655</v>
      </c>
      <c r="D168" s="21">
        <v>48033</v>
      </c>
      <c r="E168" s="23">
        <f t="shared" si="50"/>
        <v>-0.07032665042783087</v>
      </c>
      <c r="F168" s="21">
        <f>+C168-23221</f>
        <v>21434</v>
      </c>
      <c r="G168" s="21">
        <f>+D168-25621</f>
        <v>22412</v>
      </c>
      <c r="H168" s="23">
        <f t="shared" si="51"/>
        <v>-0.04363733714081742</v>
      </c>
      <c r="I168" s="24">
        <f t="shared" si="52"/>
        <v>71.03237353039974</v>
      </c>
      <c r="J168" s="24">
        <f t="shared" si="53"/>
        <v>147.98687319212468</v>
      </c>
      <c r="K168" s="21">
        <v>3171950.64</v>
      </c>
      <c r="L168" s="21">
        <v>3485287.53</v>
      </c>
      <c r="M168" s="25">
        <f t="shared" si="54"/>
        <v>-0.08990273752249063</v>
      </c>
      <c r="N168" s="10"/>
      <c r="R168" s="2"/>
    </row>
    <row r="169" spans="1:18" ht="15" customHeight="1">
      <c r="A169" s="19"/>
      <c r="B169" s="20">
        <f>DATE(2023,5,1)</f>
        <v>45047</v>
      </c>
      <c r="C169" s="21">
        <v>42402</v>
      </c>
      <c r="D169" s="21">
        <v>42883</v>
      </c>
      <c r="E169" s="23">
        <f t="shared" si="50"/>
        <v>-0.011216566005176877</v>
      </c>
      <c r="F169" s="21">
        <f>+C169-21818</f>
        <v>20584</v>
      </c>
      <c r="G169" s="21">
        <f>+D169-22214</f>
        <v>20669</v>
      </c>
      <c r="H169" s="23">
        <f t="shared" si="51"/>
        <v>-0.004112438918186656</v>
      </c>
      <c r="I169" s="24">
        <f t="shared" si="52"/>
        <v>74.86851257016178</v>
      </c>
      <c r="J169" s="24">
        <f t="shared" si="53"/>
        <v>154.2253531869413</v>
      </c>
      <c r="K169" s="21">
        <v>3174574.67</v>
      </c>
      <c r="L169" s="21">
        <v>3086452.21</v>
      </c>
      <c r="M169" s="25">
        <f t="shared" si="54"/>
        <v>0.02855137679257958</v>
      </c>
      <c r="N169" s="10"/>
      <c r="R169" s="2"/>
    </row>
    <row r="170" spans="1:18" ht="15" customHeight="1">
      <c r="A170" s="19"/>
      <c r="B170" s="20">
        <f>DATE(2023,6,1)</f>
        <v>45078</v>
      </c>
      <c r="C170" s="21">
        <v>39376</v>
      </c>
      <c r="D170" s="21">
        <v>38719</v>
      </c>
      <c r="E170" s="23">
        <f t="shared" si="50"/>
        <v>0.016968413440429764</v>
      </c>
      <c r="F170" s="21">
        <f>+C170-20192</f>
        <v>19184</v>
      </c>
      <c r="G170" s="21">
        <f>+D170-19665</f>
        <v>19054</v>
      </c>
      <c r="H170" s="23">
        <f t="shared" si="51"/>
        <v>0.006822714390679122</v>
      </c>
      <c r="I170" s="24">
        <f t="shared" si="52"/>
        <v>73.13226356156034</v>
      </c>
      <c r="J170" s="24">
        <f t="shared" si="53"/>
        <v>150.1071731651376</v>
      </c>
      <c r="K170" s="21">
        <v>2879656.01</v>
      </c>
      <c r="L170" s="21">
        <v>2726783.11</v>
      </c>
      <c r="M170" s="25">
        <f t="shared" si="54"/>
        <v>0.05606346153434987</v>
      </c>
      <c r="N170" s="10"/>
      <c r="R170" s="2"/>
    </row>
    <row r="171" spans="1:18" ht="15" thickBot="1">
      <c r="A171" s="38"/>
      <c r="B171" s="20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6.5" thickBot="1" thickTop="1">
      <c r="A172" s="62" t="s">
        <v>14</v>
      </c>
      <c r="B172" s="52"/>
      <c r="C172" s="48">
        <f>SUM(C159:C171)</f>
        <v>502398</v>
      </c>
      <c r="D172" s="48">
        <f>SUM(D159:D171)</f>
        <v>547803</v>
      </c>
      <c r="E172" s="280">
        <f>(+C172-D172)/D172</f>
        <v>-0.08288563589465556</v>
      </c>
      <c r="F172" s="48">
        <f>SUM(F159:F171)</f>
        <v>240419</v>
      </c>
      <c r="G172" s="48">
        <f>SUM(G159:G171)</f>
        <v>262197</v>
      </c>
      <c r="H172" s="42">
        <f>(+F172-G172)/G172</f>
        <v>-0.0830596841306346</v>
      </c>
      <c r="I172" s="50">
        <f>K172/C172</f>
        <v>73.32773715261604</v>
      </c>
      <c r="J172" s="50">
        <f>K172/F172</f>
        <v>153.2312691176654</v>
      </c>
      <c r="K172" s="48">
        <f>SUM(K159:K171)</f>
        <v>36839708.489999995</v>
      </c>
      <c r="L172" s="48">
        <f>SUM(L159:L171)</f>
        <v>38494911.129999995</v>
      </c>
      <c r="M172" s="44">
        <f>(+K172-L172)/L172</f>
        <v>-0.04299795976694857</v>
      </c>
      <c r="N172" s="10"/>
      <c r="R172" s="2"/>
    </row>
    <row r="173" spans="1:18" ht="15.75" customHeight="1" thickTop="1">
      <c r="A173" s="19"/>
      <c r="B173" s="45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">
      <c r="A174" s="19" t="s">
        <v>17</v>
      </c>
      <c r="B174" s="20">
        <f>DATE(2022,7,1)</f>
        <v>44743</v>
      </c>
      <c r="C174" s="21">
        <v>376535</v>
      </c>
      <c r="D174" s="21">
        <v>395405</v>
      </c>
      <c r="E174" s="23">
        <f aca="true" t="shared" si="55" ref="E174:E185">(+C174-D174)/D174</f>
        <v>-0.047723220495441386</v>
      </c>
      <c r="F174" s="21">
        <f>+C174-192471</f>
        <v>184064</v>
      </c>
      <c r="G174" s="21">
        <f>+D174-202613</f>
        <v>192792</v>
      </c>
      <c r="H174" s="23">
        <f aca="true" t="shared" si="56" ref="H174:H185">(+F174-G174)/G174</f>
        <v>-0.04527158803269845</v>
      </c>
      <c r="I174" s="24">
        <f aca="true" t="shared" si="57" ref="I174:I185">K174/C174</f>
        <v>70.90780094811903</v>
      </c>
      <c r="J174" s="24">
        <f aca="true" t="shared" si="58" ref="J174:J185">K174/F174</f>
        <v>145.05426824365438</v>
      </c>
      <c r="K174" s="21">
        <v>26699268.83</v>
      </c>
      <c r="L174" s="21">
        <v>26479612.13</v>
      </c>
      <c r="M174" s="25">
        <f aca="true" t="shared" si="59" ref="M174:M185">(+K174-L174)/L174</f>
        <v>0.00829531410511636</v>
      </c>
      <c r="N174" s="10"/>
      <c r="R174" s="2"/>
    </row>
    <row r="175" spans="1:18" ht="15">
      <c r="A175" s="19"/>
      <c r="B175" s="20">
        <f>DATE(2022,8,1)</f>
        <v>44774</v>
      </c>
      <c r="C175" s="21">
        <v>348725</v>
      </c>
      <c r="D175" s="21">
        <v>360122</v>
      </c>
      <c r="E175" s="23">
        <f t="shared" si="55"/>
        <v>-0.031647608310516995</v>
      </c>
      <c r="F175" s="21">
        <f>+C175-177430</f>
        <v>171295</v>
      </c>
      <c r="G175" s="21">
        <f>+D175-186327</f>
        <v>173795</v>
      </c>
      <c r="H175" s="23">
        <f t="shared" si="56"/>
        <v>-0.014384763658333093</v>
      </c>
      <c r="I175" s="24">
        <f t="shared" si="57"/>
        <v>76.33593679833679</v>
      </c>
      <c r="J175" s="24">
        <f t="shared" si="58"/>
        <v>155.40587617852242</v>
      </c>
      <c r="K175" s="21">
        <v>26620249.56</v>
      </c>
      <c r="L175" s="21">
        <v>24423693.36</v>
      </c>
      <c r="M175" s="25">
        <f t="shared" si="59"/>
        <v>0.08993546420777694</v>
      </c>
      <c r="N175" s="10"/>
      <c r="R175" s="2"/>
    </row>
    <row r="176" spans="1:18" ht="15">
      <c r="A176" s="19"/>
      <c r="B176" s="20">
        <f>DATE(2022,9,1)</f>
        <v>44805</v>
      </c>
      <c r="C176" s="21">
        <v>351773</v>
      </c>
      <c r="D176" s="21">
        <v>353289</v>
      </c>
      <c r="E176" s="23">
        <f t="shared" si="55"/>
        <v>-0.004291104449897959</v>
      </c>
      <c r="F176" s="21">
        <f>+C176-180127</f>
        <v>171646</v>
      </c>
      <c r="G176" s="21">
        <f>+D176-183914</f>
        <v>169375</v>
      </c>
      <c r="H176" s="23">
        <f t="shared" si="56"/>
        <v>0.013408118081180812</v>
      </c>
      <c r="I176" s="24">
        <f t="shared" si="57"/>
        <v>69.59239259408766</v>
      </c>
      <c r="J176" s="24">
        <f t="shared" si="58"/>
        <v>142.62333360521072</v>
      </c>
      <c r="K176" s="21">
        <v>24480724.72</v>
      </c>
      <c r="L176" s="21">
        <v>23757941.86</v>
      </c>
      <c r="M176" s="25">
        <f t="shared" si="59"/>
        <v>0.030422789324899856</v>
      </c>
      <c r="N176" s="10"/>
      <c r="R176" s="2"/>
    </row>
    <row r="177" spans="1:18" ht="15">
      <c r="A177" s="19"/>
      <c r="B177" s="20">
        <f>DATE(2022,10,1)</f>
        <v>44835</v>
      </c>
      <c r="C177" s="21">
        <v>353411</v>
      </c>
      <c r="D177" s="21">
        <v>364454</v>
      </c>
      <c r="E177" s="23">
        <f t="shared" si="55"/>
        <v>-0.030300120179775774</v>
      </c>
      <c r="F177" s="21">
        <f>+C177-182814</f>
        <v>170597</v>
      </c>
      <c r="G177" s="21">
        <f>+D177-184794</f>
        <v>179660</v>
      </c>
      <c r="H177" s="23">
        <f t="shared" si="56"/>
        <v>-0.05044528553935211</v>
      </c>
      <c r="I177" s="24">
        <f t="shared" si="57"/>
        <v>69.23915308238848</v>
      </c>
      <c r="J177" s="24">
        <f t="shared" si="58"/>
        <v>143.43674466725673</v>
      </c>
      <c r="K177" s="21">
        <v>24469878.33</v>
      </c>
      <c r="L177" s="21">
        <v>26630976.69</v>
      </c>
      <c r="M177" s="25">
        <f t="shared" si="59"/>
        <v>-0.08114979728894063</v>
      </c>
      <c r="N177" s="10"/>
      <c r="R177" s="2"/>
    </row>
    <row r="178" spans="1:18" ht="15">
      <c r="A178" s="19"/>
      <c r="B178" s="20">
        <f>DATE(2022,11,1)</f>
        <v>44866</v>
      </c>
      <c r="C178" s="21">
        <v>324947</v>
      </c>
      <c r="D178" s="21">
        <v>343235</v>
      </c>
      <c r="E178" s="23">
        <f t="shared" si="55"/>
        <v>-0.05328127958978542</v>
      </c>
      <c r="F178" s="21">
        <f>+C178-166237</f>
        <v>158710</v>
      </c>
      <c r="G178" s="21">
        <f>+D178-177609</f>
        <v>165626</v>
      </c>
      <c r="H178" s="23">
        <f t="shared" si="56"/>
        <v>-0.041756729015975755</v>
      </c>
      <c r="I178" s="24">
        <f t="shared" si="57"/>
        <v>74.35448291567548</v>
      </c>
      <c r="J178" s="24">
        <f t="shared" si="58"/>
        <v>152.23531069245794</v>
      </c>
      <c r="K178" s="21">
        <v>24161266.16</v>
      </c>
      <c r="L178" s="21">
        <v>23879448.84</v>
      </c>
      <c r="M178" s="25">
        <f t="shared" si="59"/>
        <v>0.011801667697117598</v>
      </c>
      <c r="N178" s="10"/>
      <c r="R178" s="2"/>
    </row>
    <row r="179" spans="1:18" ht="15">
      <c r="A179" s="19"/>
      <c r="B179" s="20">
        <f>DATE(2022,12,1)</f>
        <v>44896</v>
      </c>
      <c r="C179" s="21">
        <v>362717</v>
      </c>
      <c r="D179" s="21">
        <v>379724</v>
      </c>
      <c r="E179" s="23">
        <f t="shared" si="55"/>
        <v>-0.04478779323930012</v>
      </c>
      <c r="F179" s="21">
        <f>+C179-186399</f>
        <v>176318</v>
      </c>
      <c r="G179" s="21">
        <f>+D179-197551</f>
        <v>182173</v>
      </c>
      <c r="H179" s="23">
        <f t="shared" si="56"/>
        <v>-0.03213977922085051</v>
      </c>
      <c r="I179" s="24">
        <f t="shared" si="57"/>
        <v>69.68148313974807</v>
      </c>
      <c r="J179" s="24">
        <f t="shared" si="58"/>
        <v>143.34701232999467</v>
      </c>
      <c r="K179" s="21">
        <v>25274658.52</v>
      </c>
      <c r="L179" s="21">
        <v>27250161.7</v>
      </c>
      <c r="M179" s="25">
        <f t="shared" si="59"/>
        <v>-0.07249509935935536</v>
      </c>
      <c r="N179" s="10"/>
      <c r="R179" s="2"/>
    </row>
    <row r="180" spans="1:18" ht="15">
      <c r="A180" s="19"/>
      <c r="B180" s="20">
        <f>DATE(2023,1,1)</f>
        <v>44927</v>
      </c>
      <c r="C180" s="21">
        <v>343820</v>
      </c>
      <c r="D180" s="21">
        <v>335416</v>
      </c>
      <c r="E180" s="23">
        <f t="shared" si="55"/>
        <v>0.025055453526367257</v>
      </c>
      <c r="F180" s="21">
        <f>+C180-178333</f>
        <v>165487</v>
      </c>
      <c r="G180" s="21">
        <f>+D180-174643</f>
        <v>160773</v>
      </c>
      <c r="H180" s="23">
        <f t="shared" si="56"/>
        <v>0.029320843673999987</v>
      </c>
      <c r="I180" s="24">
        <f t="shared" si="57"/>
        <v>70.874840439765</v>
      </c>
      <c r="J180" s="24">
        <f t="shared" si="58"/>
        <v>147.25137104425121</v>
      </c>
      <c r="K180" s="21">
        <v>24368187.64</v>
      </c>
      <c r="L180" s="21">
        <v>24334132.34</v>
      </c>
      <c r="M180" s="25">
        <f t="shared" si="59"/>
        <v>0.0013994869233131138</v>
      </c>
      <c r="N180" s="10"/>
      <c r="R180" s="2"/>
    </row>
    <row r="181" spans="1:18" ht="15">
      <c r="A181" s="19"/>
      <c r="B181" s="20">
        <f>DATE(2023,2,1)</f>
        <v>44958</v>
      </c>
      <c r="C181" s="21">
        <v>341036</v>
      </c>
      <c r="D181" s="21">
        <v>330616</v>
      </c>
      <c r="E181" s="23">
        <f t="shared" si="55"/>
        <v>0.0315169259805938</v>
      </c>
      <c r="F181" s="21">
        <f>+C181-179119</f>
        <v>161917</v>
      </c>
      <c r="G181" s="21">
        <f>+D181-173794</f>
        <v>156822</v>
      </c>
      <c r="H181" s="23">
        <f t="shared" si="56"/>
        <v>0.03248906403438293</v>
      </c>
      <c r="I181" s="24">
        <f t="shared" si="57"/>
        <v>74.50831097010287</v>
      </c>
      <c r="J181" s="24">
        <f t="shared" si="58"/>
        <v>156.93235633071265</v>
      </c>
      <c r="K181" s="21">
        <v>25410016.34</v>
      </c>
      <c r="L181" s="21">
        <v>23208177.54</v>
      </c>
      <c r="M181" s="25">
        <f t="shared" si="59"/>
        <v>0.0948734038338454</v>
      </c>
      <c r="N181" s="10"/>
      <c r="R181" s="2"/>
    </row>
    <row r="182" spans="1:18" ht="15">
      <c r="A182" s="19"/>
      <c r="B182" s="20">
        <f>DATE(2023,3,1)</f>
        <v>44986</v>
      </c>
      <c r="C182" s="21">
        <v>357838</v>
      </c>
      <c r="D182" s="21">
        <v>370986</v>
      </c>
      <c r="E182" s="23">
        <f t="shared" si="55"/>
        <v>-0.03544069048427703</v>
      </c>
      <c r="F182" s="21">
        <f>+C182-185528</f>
        <v>172310</v>
      </c>
      <c r="G182" s="21">
        <f>+D182-192946</f>
        <v>178040</v>
      </c>
      <c r="H182" s="23">
        <f t="shared" si="56"/>
        <v>-0.032183778926084025</v>
      </c>
      <c r="I182" s="24">
        <f t="shared" si="57"/>
        <v>74.97349177560795</v>
      </c>
      <c r="J182" s="24">
        <f t="shared" si="58"/>
        <v>155.69824357263073</v>
      </c>
      <c r="K182" s="21">
        <v>26828364.35</v>
      </c>
      <c r="L182" s="21">
        <v>26726725.44</v>
      </c>
      <c r="M182" s="25">
        <f t="shared" si="59"/>
        <v>0.0038028942314004685</v>
      </c>
      <c r="N182" s="10"/>
      <c r="R182" s="2"/>
    </row>
    <row r="183" spans="1:18" ht="15">
      <c r="A183" s="19"/>
      <c r="B183" s="20">
        <f>DATE(2023,4,1)</f>
        <v>45017</v>
      </c>
      <c r="C183" s="21">
        <v>334543</v>
      </c>
      <c r="D183" s="21">
        <v>365479</v>
      </c>
      <c r="E183" s="23">
        <f t="shared" si="55"/>
        <v>-0.08464508220718564</v>
      </c>
      <c r="F183" s="21">
        <f>+C183-173829</f>
        <v>160714</v>
      </c>
      <c r="G183" s="21">
        <f>+D183-189071</f>
        <v>176408</v>
      </c>
      <c r="H183" s="23">
        <f t="shared" si="56"/>
        <v>-0.08896421930978186</v>
      </c>
      <c r="I183" s="24">
        <f t="shared" si="57"/>
        <v>79.61760329763288</v>
      </c>
      <c r="J183" s="24">
        <f t="shared" si="58"/>
        <v>165.73236843087722</v>
      </c>
      <c r="K183" s="21">
        <v>26635511.86</v>
      </c>
      <c r="L183" s="21">
        <v>26384448.56</v>
      </c>
      <c r="M183" s="25">
        <f t="shared" si="59"/>
        <v>0.00951557882398285</v>
      </c>
      <c r="N183" s="10"/>
      <c r="R183" s="2"/>
    </row>
    <row r="184" spans="1:18" ht="15">
      <c r="A184" s="19"/>
      <c r="B184" s="20">
        <f>DATE(2023,5,1)</f>
        <v>45047</v>
      </c>
      <c r="C184" s="21">
        <v>317534</v>
      </c>
      <c r="D184" s="21">
        <v>341187</v>
      </c>
      <c r="E184" s="23">
        <f t="shared" si="55"/>
        <v>-0.06932561908865226</v>
      </c>
      <c r="F184" s="21">
        <f>+C184-163187</f>
        <v>154347</v>
      </c>
      <c r="G184" s="21">
        <f>+D184-174971</f>
        <v>166216</v>
      </c>
      <c r="H184" s="23">
        <f t="shared" si="56"/>
        <v>-0.07140708475718342</v>
      </c>
      <c r="I184" s="24">
        <f t="shared" si="57"/>
        <v>76.69644075909981</v>
      </c>
      <c r="J184" s="24">
        <f t="shared" si="58"/>
        <v>157.785558643835</v>
      </c>
      <c r="K184" s="21">
        <v>24353727.62</v>
      </c>
      <c r="L184" s="21">
        <v>25222724.37</v>
      </c>
      <c r="M184" s="25">
        <f t="shared" si="59"/>
        <v>-0.03445292971736185</v>
      </c>
      <c r="N184" s="10"/>
      <c r="R184" s="2"/>
    </row>
    <row r="185" spans="1:18" ht="15">
      <c r="A185" s="19"/>
      <c r="B185" s="20">
        <f>DATE(2023,6,1)</f>
        <v>45078</v>
      </c>
      <c r="C185" s="21">
        <v>312317</v>
      </c>
      <c r="D185" s="21">
        <v>324197</v>
      </c>
      <c r="E185" s="23">
        <f t="shared" si="55"/>
        <v>-0.036644385975194094</v>
      </c>
      <c r="F185" s="21">
        <f>+C185-158192</f>
        <v>154125</v>
      </c>
      <c r="G185" s="21">
        <f>+D185-164914</f>
        <v>159283</v>
      </c>
      <c r="H185" s="23">
        <f t="shared" si="56"/>
        <v>-0.032382614591638784</v>
      </c>
      <c r="I185" s="24">
        <f t="shared" si="57"/>
        <v>76.01256175616442</v>
      </c>
      <c r="J185" s="24">
        <f t="shared" si="58"/>
        <v>154.03091808596918</v>
      </c>
      <c r="K185" s="21">
        <v>23740015.25</v>
      </c>
      <c r="L185" s="21">
        <v>24156596.86</v>
      </c>
      <c r="M185" s="25">
        <f t="shared" si="59"/>
        <v>-0.01724504541820629</v>
      </c>
      <c r="N185" s="10"/>
      <c r="R185" s="2"/>
    </row>
    <row r="186" spans="1:18" ht="15" thickBot="1">
      <c r="A186" s="38"/>
      <c r="B186" s="45"/>
      <c r="C186" s="21"/>
      <c r="D186" s="21"/>
      <c r="E186" s="23"/>
      <c r="F186" s="21"/>
      <c r="G186" s="21"/>
      <c r="H186" s="23"/>
      <c r="I186" s="24"/>
      <c r="J186" s="24"/>
      <c r="K186" s="21"/>
      <c r="L186" s="21"/>
      <c r="M186" s="25"/>
      <c r="N186" s="10"/>
      <c r="R186" s="2"/>
    </row>
    <row r="187" spans="1:18" ht="16.5" thickBot="1" thickTop="1">
      <c r="A187" s="39" t="s">
        <v>14</v>
      </c>
      <c r="B187" s="40"/>
      <c r="C187" s="41">
        <f>SUM(C174:C186)</f>
        <v>4125196</v>
      </c>
      <c r="D187" s="41">
        <f>SUM(D174:D186)</f>
        <v>4264110</v>
      </c>
      <c r="E187" s="280">
        <f>(+C187-D187)/D187</f>
        <v>-0.032577489792711724</v>
      </c>
      <c r="F187" s="41">
        <f>SUM(F174:F186)</f>
        <v>2001530</v>
      </c>
      <c r="G187" s="41">
        <f>SUM(G174:G186)</f>
        <v>2060963</v>
      </c>
      <c r="H187" s="42">
        <f>(+F187-G187)/G187</f>
        <v>-0.028837490047128454</v>
      </c>
      <c r="I187" s="43">
        <f>K187/C187</f>
        <v>73.4612050385</v>
      </c>
      <c r="J187" s="43">
        <f>K187/F187</f>
        <v>151.40510968109396</v>
      </c>
      <c r="K187" s="41">
        <f>SUM(K174:K186)</f>
        <v>303041869.18</v>
      </c>
      <c r="L187" s="41">
        <f>SUM(L174:L186)</f>
        <v>302454639.69</v>
      </c>
      <c r="M187" s="44">
        <f>(+K187-L187)/L187</f>
        <v>0.0019415456499589118</v>
      </c>
      <c r="N187" s="10"/>
      <c r="R187" s="2"/>
    </row>
    <row r="188" spans="1:18" ht="15.75" customHeight="1" thickTop="1">
      <c r="A188" s="19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5">
      <c r="A189" s="19" t="s">
        <v>56</v>
      </c>
      <c r="B189" s="20">
        <f>DATE(2022,7,1)</f>
        <v>44743</v>
      </c>
      <c r="C189" s="21">
        <v>68778</v>
      </c>
      <c r="D189" s="21">
        <v>70527</v>
      </c>
      <c r="E189" s="23">
        <f aca="true" t="shared" si="60" ref="E189:E200">(+C189-D189)/D189</f>
        <v>-0.024799013143902336</v>
      </c>
      <c r="F189" s="21">
        <f>+C189-29763</f>
        <v>39015</v>
      </c>
      <c r="G189" s="21">
        <f>+D189-30135</f>
        <v>40392</v>
      </c>
      <c r="H189" s="23">
        <f aca="true" t="shared" si="61" ref="H189:H200">(+F189-G189)/G189</f>
        <v>-0.03409090909090909</v>
      </c>
      <c r="I189" s="24">
        <f aca="true" t="shared" si="62" ref="I189:I200">K189/C189</f>
        <v>60.16359446334584</v>
      </c>
      <c r="J189" s="24">
        <f aca="true" t="shared" si="63" ref="J189:J200">K189/F189</f>
        <v>106.060020504934</v>
      </c>
      <c r="K189" s="21">
        <v>4137931.7</v>
      </c>
      <c r="L189" s="21">
        <v>4091344.57</v>
      </c>
      <c r="M189" s="25">
        <f aca="true" t="shared" si="64" ref="M189:M200">(+K189-L189)/L189</f>
        <v>0.011386752986195039</v>
      </c>
      <c r="N189" s="10"/>
      <c r="R189" s="2"/>
    </row>
    <row r="190" spans="1:18" ht="15">
      <c r="A190" s="19"/>
      <c r="B190" s="20">
        <f>DATE(2022,8,1)</f>
        <v>44774</v>
      </c>
      <c r="C190" s="21">
        <v>61732</v>
      </c>
      <c r="D190" s="21">
        <v>69916</v>
      </c>
      <c r="E190" s="23">
        <f t="shared" si="60"/>
        <v>-0.1170547514159849</v>
      </c>
      <c r="F190" s="21">
        <f>+C190-26815</f>
        <v>34917</v>
      </c>
      <c r="G190" s="21">
        <f>+D190-30124</f>
        <v>39792</v>
      </c>
      <c r="H190" s="23">
        <f t="shared" si="61"/>
        <v>-0.12251206272617611</v>
      </c>
      <c r="I190" s="24">
        <f t="shared" si="62"/>
        <v>59.28251133933779</v>
      </c>
      <c r="J190" s="24">
        <f t="shared" si="63"/>
        <v>104.80934759572702</v>
      </c>
      <c r="K190" s="21">
        <v>3659627.99</v>
      </c>
      <c r="L190" s="21">
        <v>3930320.16</v>
      </c>
      <c r="M190" s="25">
        <f t="shared" si="64"/>
        <v>-0.06887280399060414</v>
      </c>
      <c r="N190" s="10"/>
      <c r="R190" s="2"/>
    </row>
    <row r="191" spans="1:18" ht="15">
      <c r="A191" s="19"/>
      <c r="B191" s="20">
        <f>DATE(2022,9,1)</f>
        <v>44805</v>
      </c>
      <c r="C191" s="21">
        <v>62788</v>
      </c>
      <c r="D191" s="21">
        <v>66900</v>
      </c>
      <c r="E191" s="23">
        <f t="shared" si="60"/>
        <v>-0.06146487294469357</v>
      </c>
      <c r="F191" s="21">
        <f>+C191-27365</f>
        <v>35423</v>
      </c>
      <c r="G191" s="21">
        <f>+D191-28690</f>
        <v>38210</v>
      </c>
      <c r="H191" s="23">
        <f t="shared" si="61"/>
        <v>-0.0729390211986391</v>
      </c>
      <c r="I191" s="24">
        <f t="shared" si="62"/>
        <v>63.07989759189654</v>
      </c>
      <c r="J191" s="24">
        <f t="shared" si="63"/>
        <v>111.81042288908336</v>
      </c>
      <c r="K191" s="21">
        <v>3960660.61</v>
      </c>
      <c r="L191" s="21">
        <v>3635691.87</v>
      </c>
      <c r="M191" s="25">
        <f t="shared" si="64"/>
        <v>0.08938291571997264</v>
      </c>
      <c r="N191" s="10"/>
      <c r="R191" s="2"/>
    </row>
    <row r="192" spans="1:18" ht="15">
      <c r="A192" s="19"/>
      <c r="B192" s="20">
        <f>DATE(2022,10,1)</f>
        <v>44835</v>
      </c>
      <c r="C192" s="21">
        <v>62422</v>
      </c>
      <c r="D192" s="21">
        <v>71041</v>
      </c>
      <c r="E192" s="23">
        <f t="shared" si="60"/>
        <v>-0.12132430568263397</v>
      </c>
      <c r="F192" s="21">
        <f>+C192-27630</f>
        <v>34792</v>
      </c>
      <c r="G192" s="21">
        <f>+D192-30775</f>
        <v>40266</v>
      </c>
      <c r="H192" s="23">
        <f t="shared" si="61"/>
        <v>-0.13594595937018825</v>
      </c>
      <c r="I192" s="24">
        <f t="shared" si="62"/>
        <v>61.52534154624972</v>
      </c>
      <c r="J192" s="24">
        <f t="shared" si="63"/>
        <v>110.38557340767993</v>
      </c>
      <c r="K192" s="21">
        <v>3840534.87</v>
      </c>
      <c r="L192" s="21">
        <v>4122858.46</v>
      </c>
      <c r="M192" s="25">
        <f t="shared" si="64"/>
        <v>-0.06847763335537836</v>
      </c>
      <c r="N192" s="10"/>
      <c r="R192" s="2"/>
    </row>
    <row r="193" spans="1:18" ht="15">
      <c r="A193" s="19"/>
      <c r="B193" s="20">
        <f>DATE(2022,11,1)</f>
        <v>44866</v>
      </c>
      <c r="C193" s="21">
        <v>58006</v>
      </c>
      <c r="D193" s="21">
        <v>63538</v>
      </c>
      <c r="E193" s="23">
        <f t="shared" si="60"/>
        <v>-0.08706600774339765</v>
      </c>
      <c r="F193" s="21">
        <f>+C193-26107</f>
        <v>31899</v>
      </c>
      <c r="G193" s="21">
        <f>+D193-27532</f>
        <v>36006</v>
      </c>
      <c r="H193" s="23">
        <f t="shared" si="61"/>
        <v>-0.11406432261289785</v>
      </c>
      <c r="I193" s="24">
        <f t="shared" si="62"/>
        <v>61.60523807881943</v>
      </c>
      <c r="J193" s="24">
        <f t="shared" si="63"/>
        <v>112.02462271544562</v>
      </c>
      <c r="K193" s="21">
        <v>3573473.44</v>
      </c>
      <c r="L193" s="21">
        <v>3745220.41</v>
      </c>
      <c r="M193" s="25">
        <f t="shared" si="64"/>
        <v>-0.04585764019159561</v>
      </c>
      <c r="N193" s="10"/>
      <c r="R193" s="2"/>
    </row>
    <row r="194" spans="1:18" ht="15">
      <c r="A194" s="19"/>
      <c r="B194" s="20">
        <f>DATE(2022,12,1)</f>
        <v>44896</v>
      </c>
      <c r="C194" s="21">
        <v>64256</v>
      </c>
      <c r="D194" s="21">
        <v>69761</v>
      </c>
      <c r="E194" s="23">
        <f t="shared" si="60"/>
        <v>-0.07891228623442897</v>
      </c>
      <c r="F194" s="21">
        <f>+C194-29013</f>
        <v>35243</v>
      </c>
      <c r="G194" s="21">
        <f>+D194-31055</f>
        <v>38706</v>
      </c>
      <c r="H194" s="23">
        <f t="shared" si="61"/>
        <v>-0.08946933291996073</v>
      </c>
      <c r="I194" s="24">
        <f t="shared" si="62"/>
        <v>61.2319984125996</v>
      </c>
      <c r="J194" s="24">
        <f t="shared" si="63"/>
        <v>111.63985160173651</v>
      </c>
      <c r="K194" s="21">
        <v>3934523.29</v>
      </c>
      <c r="L194" s="21">
        <v>4118536.58</v>
      </c>
      <c r="M194" s="25">
        <f t="shared" si="64"/>
        <v>-0.04467928994332255</v>
      </c>
      <c r="N194" s="10"/>
      <c r="R194" s="2"/>
    </row>
    <row r="195" spans="1:18" ht="15">
      <c r="A195" s="19"/>
      <c r="B195" s="20">
        <f>DATE(2023,1,1)</f>
        <v>44927</v>
      </c>
      <c r="C195" s="21">
        <v>59434</v>
      </c>
      <c r="D195" s="21">
        <v>58380</v>
      </c>
      <c r="E195" s="23">
        <f t="shared" si="60"/>
        <v>0.018054128126070573</v>
      </c>
      <c r="F195" s="21">
        <f>+C195-26887</f>
        <v>32547</v>
      </c>
      <c r="G195" s="21">
        <f>+D195-26040</f>
        <v>32340</v>
      </c>
      <c r="H195" s="23">
        <f t="shared" si="61"/>
        <v>0.006400742115027829</v>
      </c>
      <c r="I195" s="24">
        <f t="shared" si="62"/>
        <v>61.41874634047851</v>
      </c>
      <c r="J195" s="24">
        <f t="shared" si="63"/>
        <v>112.15662795342121</v>
      </c>
      <c r="K195" s="21">
        <v>3650361.77</v>
      </c>
      <c r="L195" s="21">
        <v>3541693.83</v>
      </c>
      <c r="M195" s="25">
        <f t="shared" si="64"/>
        <v>0.030682477146817613</v>
      </c>
      <c r="N195" s="10"/>
      <c r="R195" s="2"/>
    </row>
    <row r="196" spans="1:18" ht="15">
      <c r="A196" s="19"/>
      <c r="B196" s="20">
        <f>DATE(2023,2,1)</f>
        <v>44958</v>
      </c>
      <c r="C196" s="21">
        <v>65887</v>
      </c>
      <c r="D196" s="21">
        <v>66748</v>
      </c>
      <c r="E196" s="23">
        <f t="shared" si="60"/>
        <v>-0.012899262899262898</v>
      </c>
      <c r="F196" s="21">
        <f>+C196-30047</f>
        <v>35840</v>
      </c>
      <c r="G196" s="21">
        <f>+D196-30082</f>
        <v>36666</v>
      </c>
      <c r="H196" s="23">
        <f t="shared" si="61"/>
        <v>-0.022527682321496753</v>
      </c>
      <c r="I196" s="24">
        <f t="shared" si="62"/>
        <v>62.82992593379574</v>
      </c>
      <c r="J196" s="24">
        <f t="shared" si="63"/>
        <v>115.50433398437501</v>
      </c>
      <c r="K196" s="21">
        <v>4139675.33</v>
      </c>
      <c r="L196" s="21">
        <v>4039571.72</v>
      </c>
      <c r="M196" s="25">
        <f t="shared" si="64"/>
        <v>0.024780748291801553</v>
      </c>
      <c r="N196" s="10"/>
      <c r="R196" s="2"/>
    </row>
    <row r="197" spans="1:18" ht="15">
      <c r="A197" s="19"/>
      <c r="B197" s="20">
        <f>DATE(2023,3,1)</f>
        <v>44986</v>
      </c>
      <c r="C197" s="21">
        <v>75208</v>
      </c>
      <c r="D197" s="21">
        <v>73525</v>
      </c>
      <c r="E197" s="23">
        <f t="shared" si="60"/>
        <v>0.022890173410404623</v>
      </c>
      <c r="F197" s="21">
        <f>+C197-34160</f>
        <v>41048</v>
      </c>
      <c r="G197" s="21">
        <f>+D197-32882</f>
        <v>40643</v>
      </c>
      <c r="H197" s="23">
        <f t="shared" si="61"/>
        <v>0.009964815589400388</v>
      </c>
      <c r="I197" s="24">
        <f t="shared" si="62"/>
        <v>61.10718793213488</v>
      </c>
      <c r="J197" s="24">
        <f t="shared" si="63"/>
        <v>111.96037297797699</v>
      </c>
      <c r="K197" s="21">
        <v>4595749.39</v>
      </c>
      <c r="L197" s="21">
        <v>4535265.51</v>
      </c>
      <c r="M197" s="25">
        <f t="shared" si="64"/>
        <v>0.013336348195411362</v>
      </c>
      <c r="N197" s="10"/>
      <c r="R197" s="2"/>
    </row>
    <row r="198" spans="1:18" ht="15">
      <c r="A198" s="19"/>
      <c r="B198" s="20">
        <f>DATE(2023,4,1)</f>
        <v>45017</v>
      </c>
      <c r="C198" s="21">
        <v>68880</v>
      </c>
      <c r="D198" s="21">
        <v>72346</v>
      </c>
      <c r="E198" s="23">
        <f t="shared" si="60"/>
        <v>-0.047908661156110914</v>
      </c>
      <c r="F198" s="21">
        <f>+C198-31217</f>
        <v>37663</v>
      </c>
      <c r="G198" s="21">
        <f>+D198-32026</f>
        <v>40320</v>
      </c>
      <c r="H198" s="23">
        <f t="shared" si="61"/>
        <v>-0.06589781746031746</v>
      </c>
      <c r="I198" s="24">
        <f t="shared" si="62"/>
        <v>62.69801945412311</v>
      </c>
      <c r="J198" s="24">
        <f t="shared" si="63"/>
        <v>114.6653102514404</v>
      </c>
      <c r="K198" s="21">
        <v>4318639.58</v>
      </c>
      <c r="L198" s="21">
        <v>4588560.75</v>
      </c>
      <c r="M198" s="25">
        <f t="shared" si="64"/>
        <v>-0.05882480034725484</v>
      </c>
      <c r="N198" s="10"/>
      <c r="R198" s="2"/>
    </row>
    <row r="199" spans="1:18" ht="15">
      <c r="A199" s="19"/>
      <c r="B199" s="20">
        <f>DATE(2023,5,1)</f>
        <v>45047</v>
      </c>
      <c r="C199" s="21">
        <v>65130</v>
      </c>
      <c r="D199" s="21">
        <v>65550</v>
      </c>
      <c r="E199" s="23">
        <f t="shared" si="60"/>
        <v>-0.006407322654462242</v>
      </c>
      <c r="F199" s="21">
        <f>+C199-28871</f>
        <v>36259</v>
      </c>
      <c r="G199" s="21">
        <f>+D199-28739</f>
        <v>36811</v>
      </c>
      <c r="H199" s="23">
        <f t="shared" si="61"/>
        <v>-0.014995517644182445</v>
      </c>
      <c r="I199" s="24">
        <f t="shared" si="62"/>
        <v>62.195815599570096</v>
      </c>
      <c r="J199" s="24">
        <f t="shared" si="63"/>
        <v>111.7188413911029</v>
      </c>
      <c r="K199" s="21">
        <v>4050813.47</v>
      </c>
      <c r="L199" s="21">
        <v>4045902.69</v>
      </c>
      <c r="M199" s="25">
        <f t="shared" si="64"/>
        <v>0.0012137662164089914</v>
      </c>
      <c r="N199" s="10"/>
      <c r="R199" s="2"/>
    </row>
    <row r="200" spans="1:18" ht="15">
      <c r="A200" s="19"/>
      <c r="B200" s="20">
        <f>DATE(2023,6,1)</f>
        <v>45078</v>
      </c>
      <c r="C200" s="21">
        <v>63860</v>
      </c>
      <c r="D200" s="21">
        <v>62323</v>
      </c>
      <c r="E200" s="23">
        <f t="shared" si="60"/>
        <v>0.0246618423374998</v>
      </c>
      <c r="F200" s="21">
        <f>+C200-28097</f>
        <v>35763</v>
      </c>
      <c r="G200" s="21">
        <f>+D200-26973</f>
        <v>35350</v>
      </c>
      <c r="H200" s="23">
        <f t="shared" si="61"/>
        <v>0.011683168316831683</v>
      </c>
      <c r="I200" s="24">
        <f t="shared" si="62"/>
        <v>59.031925775133104</v>
      </c>
      <c r="J200" s="24">
        <f t="shared" si="63"/>
        <v>105.41002656376702</v>
      </c>
      <c r="K200" s="21">
        <v>3769778.78</v>
      </c>
      <c r="L200" s="21">
        <v>3745635.68</v>
      </c>
      <c r="M200" s="25">
        <f t="shared" si="64"/>
        <v>0.006445661581267195</v>
      </c>
      <c r="N200" s="10"/>
      <c r="R200" s="2"/>
    </row>
    <row r="201" spans="1:18" ht="15" thickBot="1">
      <c r="A201" s="38"/>
      <c r="B201" s="45"/>
      <c r="C201" s="21"/>
      <c r="D201" s="21"/>
      <c r="E201" s="23"/>
      <c r="F201" s="21"/>
      <c r="G201" s="21"/>
      <c r="H201" s="23"/>
      <c r="I201" s="24"/>
      <c r="J201" s="24"/>
      <c r="K201" s="21"/>
      <c r="L201" s="21"/>
      <c r="M201" s="25"/>
      <c r="N201" s="10"/>
      <c r="R201" s="2"/>
    </row>
    <row r="202" spans="1:18" ht="16.5" thickBot="1" thickTop="1">
      <c r="A202" s="26" t="s">
        <v>14</v>
      </c>
      <c r="B202" s="27"/>
      <c r="C202" s="28">
        <f>SUM(C189:C201)</f>
        <v>776381</v>
      </c>
      <c r="D202" s="28">
        <f>SUM(D189:D201)</f>
        <v>810555</v>
      </c>
      <c r="E202" s="280">
        <f>(+C202-D202)/D202</f>
        <v>-0.042161235203039896</v>
      </c>
      <c r="F202" s="28">
        <f>SUM(F189:F201)</f>
        <v>430409</v>
      </c>
      <c r="G202" s="28">
        <f>SUM(G189:G201)</f>
        <v>455502</v>
      </c>
      <c r="H202" s="42">
        <f>(+F202-G202)/G202</f>
        <v>-0.05508867139990604</v>
      </c>
      <c r="I202" s="43">
        <f>K202/C202</f>
        <v>61.35102510236597</v>
      </c>
      <c r="J202" s="43">
        <f>K202/F202</f>
        <v>110.66629698728418</v>
      </c>
      <c r="K202" s="28">
        <f>SUM(K189:K201)</f>
        <v>47631770.22</v>
      </c>
      <c r="L202" s="28">
        <f>SUM(L189:L201)</f>
        <v>48140602.23</v>
      </c>
      <c r="M202" s="44">
        <f>(+K202-L202)/L202</f>
        <v>-0.010569705953593302</v>
      </c>
      <c r="N202" s="10"/>
      <c r="R202" s="2"/>
    </row>
    <row r="203" spans="1:18" ht="15.75" thickBot="1" thickTop="1">
      <c r="A203" s="63"/>
      <c r="B203" s="34"/>
      <c r="C203" s="35"/>
      <c r="D203" s="35"/>
      <c r="E203" s="29"/>
      <c r="F203" s="35"/>
      <c r="G203" s="35"/>
      <c r="H203" s="29"/>
      <c r="I203" s="36"/>
      <c r="J203" s="36"/>
      <c r="K203" s="35"/>
      <c r="L203" s="35"/>
      <c r="M203" s="37"/>
      <c r="N203" s="10"/>
      <c r="R203" s="2"/>
    </row>
    <row r="204" spans="1:18" ht="16.5" thickBot="1" thickTop="1">
      <c r="A204" s="64" t="s">
        <v>18</v>
      </c>
      <c r="B204" s="65"/>
      <c r="C204" s="28">
        <f>C202+C187+C82+C112+C127+C52+C22+C142+C157+C67+C172+C37+C97</f>
        <v>28951151</v>
      </c>
      <c r="D204" s="28">
        <f>D202+D187+D82+D112+D127+D52+D22+D142+D157+D67+D172+D37+D97</f>
        <v>29751152</v>
      </c>
      <c r="E204" s="279">
        <f>(+C204-D204)/D204</f>
        <v>-0.026889748672589215</v>
      </c>
      <c r="F204" s="28">
        <f>F202+F187+F82+F112+F127+F52+F22+F142+F157+F67+F172+F37+F97</f>
        <v>14732174</v>
      </c>
      <c r="G204" s="28">
        <f>G202+G187+G82+G112+G127+G52+G22+G142+G157+G67+G172+G37+G97</f>
        <v>15057035</v>
      </c>
      <c r="H204" s="30">
        <f>(+F204-G204)/G204</f>
        <v>-0.021575363277032963</v>
      </c>
      <c r="I204" s="31">
        <f>K204/C204</f>
        <v>66.34028216529285</v>
      </c>
      <c r="J204" s="31">
        <f>K204/F204</f>
        <v>130.36959286185464</v>
      </c>
      <c r="K204" s="28">
        <f>K202+K187+K82+K112+K127+K52+K22+K142+K157+K67+K172+K37+K97</f>
        <v>1920627526.3500004</v>
      </c>
      <c r="L204" s="28">
        <f>L202+L187+L82+L112+L127+L52+L22+L142+L157+L67+L172+L37+L97</f>
        <v>1904656805.7099998</v>
      </c>
      <c r="M204" s="32">
        <f>(+K204-L204)/L204</f>
        <v>0.00838509100018529</v>
      </c>
      <c r="N204" s="10"/>
      <c r="R204" s="2"/>
    </row>
    <row r="205" spans="1:18" ht="16.5" thickBot="1" thickTop="1">
      <c r="A205" s="64"/>
      <c r="B205" s="65"/>
      <c r="C205" s="28"/>
      <c r="D205" s="28"/>
      <c r="E205" s="29"/>
      <c r="F205" s="28"/>
      <c r="G205" s="28"/>
      <c r="H205" s="30"/>
      <c r="I205" s="31"/>
      <c r="J205" s="31"/>
      <c r="K205" s="28"/>
      <c r="L205" s="28"/>
      <c r="M205" s="32"/>
      <c r="N205" s="10"/>
      <c r="R205" s="2"/>
    </row>
    <row r="206" spans="1:18" ht="16.5" thickBot="1" thickTop="1">
      <c r="A206" s="64" t="s">
        <v>19</v>
      </c>
      <c r="B206" s="65"/>
      <c r="C206" s="28">
        <f>+C20+C35+C50+C65+C80+C95+C110+C125+C140+C155+C170+C185+C200</f>
        <v>2322810</v>
      </c>
      <c r="D206" s="28">
        <f>+D20+D35+D50+D65+D80+D95+D110+D125+D140+D155+D170+D185+D200</f>
        <v>2285141</v>
      </c>
      <c r="E206" s="279">
        <f>(+C206-D206)/D206</f>
        <v>0.016484321974005105</v>
      </c>
      <c r="F206" s="28">
        <f>+F20+F35+F50+F65+F80+F95+F110+F125+F140+F155+F170+F185+F200</f>
        <v>1201687</v>
      </c>
      <c r="G206" s="28">
        <f>+G20+G35+G50+G65+G80+G95+G110+G125+G140+G155+G170+G185+G200</f>
        <v>1182084</v>
      </c>
      <c r="H206" s="30">
        <f>(+F206-G206)/G206</f>
        <v>0.016583423851435262</v>
      </c>
      <c r="I206" s="31">
        <f>K206/C206</f>
        <v>66.73295751697299</v>
      </c>
      <c r="J206" s="31">
        <f>K206/F206</f>
        <v>128.9919763216212</v>
      </c>
      <c r="K206" s="28">
        <f>+K20+K35+K50+K65+K80+K95+K110+K125+K140+K155+K170+K185+K200</f>
        <v>155007981.05</v>
      </c>
      <c r="L206" s="28">
        <f>+L20+L35+L50+L65+L80+L95+L110+L125+L140+L155+L170+L185+L200</f>
        <v>151580184.43</v>
      </c>
      <c r="M206" s="32">
        <f>(+K206-L206)/L206</f>
        <v>0.022613751480048946</v>
      </c>
      <c r="N206" s="10"/>
      <c r="R206" s="2"/>
    </row>
    <row r="207" spans="1:18" ht="15" thickTop="1">
      <c r="A207" s="66"/>
      <c r="B207" s="67"/>
      <c r="C207" s="68"/>
      <c r="D207" s="67"/>
      <c r="E207" s="67"/>
      <c r="F207" s="67"/>
      <c r="G207" s="67"/>
      <c r="H207" s="67"/>
      <c r="I207" s="67"/>
      <c r="J207" s="67"/>
      <c r="K207" s="68"/>
      <c r="L207" s="68"/>
      <c r="M207" s="67"/>
      <c r="R207" s="2"/>
    </row>
    <row r="208" spans="1:18" ht="17.25">
      <c r="A208" s="264" t="s">
        <v>20</v>
      </c>
      <c r="B208" s="70"/>
      <c r="C208" s="71"/>
      <c r="D208" s="71"/>
      <c r="E208" s="71"/>
      <c r="F208" s="71"/>
      <c r="G208" s="71"/>
      <c r="H208" s="71"/>
      <c r="I208" s="71"/>
      <c r="J208" s="71"/>
      <c r="K208" s="198"/>
      <c r="L208" s="198"/>
      <c r="M208" s="71"/>
      <c r="N208" s="2"/>
      <c r="O208" s="2"/>
      <c r="P208" s="2"/>
      <c r="Q208" s="2"/>
      <c r="R208" s="2"/>
    </row>
    <row r="209" spans="1:18" ht="17.25">
      <c r="A209" s="69"/>
      <c r="B209" s="70"/>
      <c r="C209" s="71"/>
      <c r="D209" s="71"/>
      <c r="E209" s="71"/>
      <c r="F209" s="71"/>
      <c r="G209" s="71"/>
      <c r="H209" s="71"/>
      <c r="I209" s="71"/>
      <c r="J209" s="71"/>
      <c r="K209" s="198"/>
      <c r="L209" s="198"/>
      <c r="M209" s="71"/>
      <c r="N209" s="2"/>
      <c r="O209" s="2"/>
      <c r="P209" s="2"/>
      <c r="Q209" s="2"/>
      <c r="R209" s="2"/>
    </row>
    <row r="210" spans="1:18" ht="15">
      <c r="A210" s="72"/>
      <c r="B210" s="73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3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3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3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3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3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4"/>
      <c r="N219" s="2"/>
      <c r="O219" s="2"/>
      <c r="P219" s="2"/>
      <c r="Q219" s="2"/>
      <c r="R219" s="2"/>
    </row>
    <row r="220" spans="1:18" ht="15">
      <c r="A220" s="2"/>
      <c r="B220" s="73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4"/>
      <c r="N220" s="2"/>
      <c r="O220" s="2"/>
      <c r="P220" s="2"/>
      <c r="Q220" s="2"/>
      <c r="R220" s="2"/>
    </row>
    <row r="221" spans="1:18" ht="15">
      <c r="A221" s="2"/>
      <c r="B221" s="70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4"/>
      <c r="N221" s="2"/>
      <c r="O221" s="2"/>
      <c r="P221" s="2"/>
      <c r="Q221" s="2"/>
      <c r="R221" s="2"/>
    </row>
    <row r="222" spans="1:18" ht="15">
      <c r="A222" s="76"/>
      <c r="B222" s="70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76"/>
      <c r="B223" s="70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76"/>
      <c r="B224" s="70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0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76"/>
      <c r="B226" s="73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73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3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77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76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76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76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76"/>
      <c r="B244" s="77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77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77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77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77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77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77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77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76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76"/>
      <c r="B260" s="77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77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77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76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76"/>
      <c r="B269" s="76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74"/>
      <c r="D341" s="74"/>
      <c r="E341" s="74"/>
      <c r="F341" s="74"/>
      <c r="G341" s="74"/>
      <c r="H341" s="74"/>
      <c r="I341" s="74"/>
      <c r="J341" s="74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74"/>
      <c r="D342" s="74"/>
      <c r="E342" s="74"/>
      <c r="F342" s="74"/>
      <c r="G342" s="74"/>
      <c r="H342" s="74"/>
      <c r="I342" s="74"/>
      <c r="J342" s="74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74"/>
      <c r="D343" s="74"/>
      <c r="E343" s="74"/>
      <c r="F343" s="74"/>
      <c r="G343" s="74"/>
      <c r="H343" s="74"/>
      <c r="I343" s="74"/>
      <c r="J343" s="74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74"/>
      <c r="D344" s="74"/>
      <c r="E344" s="74"/>
      <c r="F344" s="74"/>
      <c r="G344" s="74"/>
      <c r="H344" s="74"/>
      <c r="I344" s="74"/>
      <c r="J344" s="74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74"/>
      <c r="D345" s="74"/>
      <c r="E345" s="74"/>
      <c r="F345" s="74"/>
      <c r="G345" s="74"/>
      <c r="H345" s="74"/>
      <c r="I345" s="74"/>
      <c r="J345" s="74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74"/>
      <c r="D346" s="74"/>
      <c r="E346" s="74"/>
      <c r="F346" s="74"/>
      <c r="G346" s="74"/>
      <c r="H346" s="74"/>
      <c r="I346" s="74"/>
      <c r="J346" s="74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74"/>
      <c r="D347" s="74"/>
      <c r="E347" s="74"/>
      <c r="F347" s="74"/>
      <c r="G347" s="74"/>
      <c r="H347" s="74"/>
      <c r="I347" s="74"/>
      <c r="J347" s="74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74"/>
      <c r="D348" s="74"/>
      <c r="E348" s="74"/>
      <c r="F348" s="74"/>
      <c r="G348" s="74"/>
      <c r="H348" s="74"/>
      <c r="I348" s="74"/>
      <c r="J348" s="74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74"/>
      <c r="D349" s="74"/>
      <c r="E349" s="74"/>
      <c r="F349" s="74"/>
      <c r="G349" s="74"/>
      <c r="H349" s="74"/>
      <c r="I349" s="74"/>
      <c r="J349" s="74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74"/>
      <c r="D350" s="74"/>
      <c r="E350" s="74"/>
      <c r="F350" s="74"/>
      <c r="G350" s="74"/>
      <c r="H350" s="74"/>
      <c r="I350" s="74"/>
      <c r="J350" s="74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74"/>
      <c r="D351" s="74"/>
      <c r="E351" s="74"/>
      <c r="F351" s="74"/>
      <c r="G351" s="74"/>
      <c r="H351" s="74"/>
      <c r="I351" s="74"/>
      <c r="J351" s="74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74"/>
      <c r="D352" s="74"/>
      <c r="E352" s="74"/>
      <c r="F352" s="74"/>
      <c r="G352" s="74"/>
      <c r="H352" s="74"/>
      <c r="I352" s="74"/>
      <c r="J352" s="74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  <row r="467" spans="1:18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92"/>
      <c r="L467" s="192"/>
      <c r="M467" s="75"/>
      <c r="N467" s="2"/>
      <c r="O467" s="2"/>
      <c r="P467" s="2"/>
      <c r="Q467" s="2"/>
      <c r="R467" s="2"/>
    </row>
    <row r="468" spans="1:18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92"/>
      <c r="L468" s="192"/>
      <c r="M468" s="75"/>
      <c r="N468" s="2"/>
      <c r="O468" s="2"/>
      <c r="P468" s="2"/>
      <c r="Q468" s="2"/>
      <c r="R468" s="2"/>
    </row>
    <row r="469" spans="1:18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92"/>
      <c r="L469" s="192"/>
      <c r="M469" s="75"/>
      <c r="N469" s="2"/>
      <c r="O469" s="2"/>
      <c r="P469" s="2"/>
      <c r="Q469" s="2"/>
      <c r="R469" s="2"/>
    </row>
    <row r="470" spans="1:18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92"/>
      <c r="L470" s="192"/>
      <c r="M470" s="75"/>
      <c r="N470" s="2"/>
      <c r="O470" s="2"/>
      <c r="P470" s="2"/>
      <c r="Q470" s="2"/>
      <c r="R470" s="2"/>
    </row>
    <row r="471" spans="1:18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92"/>
      <c r="L471" s="192"/>
      <c r="M471" s="75"/>
      <c r="N471" s="2"/>
      <c r="O471" s="2"/>
      <c r="P471" s="2"/>
      <c r="Q471" s="2"/>
      <c r="R471" s="2"/>
    </row>
    <row r="472" spans="1:18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92"/>
      <c r="L472" s="192"/>
      <c r="M472" s="75"/>
      <c r="N472" s="2"/>
      <c r="O472" s="2"/>
      <c r="P472" s="2"/>
      <c r="Q472" s="2"/>
      <c r="R472" s="2"/>
    </row>
    <row r="473" spans="1:18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92"/>
      <c r="L473" s="192"/>
      <c r="M473" s="75"/>
      <c r="N473" s="2"/>
      <c r="O473" s="2"/>
      <c r="P473" s="2"/>
      <c r="Q473" s="2"/>
      <c r="R473" s="2"/>
    </row>
    <row r="474" spans="1:18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92"/>
      <c r="L474" s="192"/>
      <c r="M474" s="75"/>
      <c r="N474" s="2"/>
      <c r="O474" s="2"/>
      <c r="P474" s="2"/>
      <c r="Q474" s="2"/>
      <c r="R474" s="2"/>
    </row>
    <row r="475" spans="1:18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92"/>
      <c r="L475" s="192"/>
      <c r="M475" s="75"/>
      <c r="N475" s="2"/>
      <c r="O475" s="2"/>
      <c r="P475" s="2"/>
      <c r="Q475" s="2"/>
      <c r="R475" s="2"/>
    </row>
    <row r="476" spans="1:18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92"/>
      <c r="L476" s="192"/>
      <c r="M476" s="75"/>
      <c r="N476" s="2"/>
      <c r="O476" s="2"/>
      <c r="P476" s="2"/>
      <c r="Q476" s="2"/>
      <c r="R476" s="2"/>
    </row>
    <row r="477" spans="1:18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92"/>
      <c r="L477" s="192"/>
      <c r="M477" s="75"/>
      <c r="N477" s="2"/>
      <c r="O477" s="2"/>
      <c r="P477" s="2"/>
      <c r="Q477" s="2"/>
      <c r="R477" s="2"/>
    </row>
    <row r="478" spans="1:18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92"/>
      <c r="L478" s="192"/>
      <c r="M478" s="75"/>
      <c r="N478" s="2"/>
      <c r="O478" s="2"/>
      <c r="P478" s="2"/>
      <c r="Q478" s="2"/>
      <c r="R47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52" max="12" man="1"/>
    <brk id="97" max="12" man="1"/>
    <brk id="142" max="12" man="1"/>
    <brk id="1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DATE(2022,7,1)</f>
        <v>44743</v>
      </c>
      <c r="B10" s="89">
        <f>'MONTHLY STATS'!$C$9*2</f>
        <v>435886</v>
      </c>
      <c r="C10" s="89">
        <f>'MONTHLY STATS'!$C$24*2</f>
        <v>229430</v>
      </c>
      <c r="D10" s="89">
        <f>'MONTHLY STATS'!$C$39*2</f>
        <v>113088</v>
      </c>
      <c r="E10" s="89">
        <f>'MONTHLY STATS'!$C$54*2</f>
        <v>655394</v>
      </c>
      <c r="F10" s="89">
        <f>'MONTHLY STATS'!$C$69*2</f>
        <v>438260</v>
      </c>
      <c r="G10" s="89">
        <f>'MONTHLY STATS'!$C$84*2</f>
        <v>190536</v>
      </c>
      <c r="H10" s="89">
        <f>'MONTHLY STATS'!$C$99*2</f>
        <v>441192</v>
      </c>
      <c r="I10" s="89">
        <f>'MONTHLY STATS'!$C$114*2</f>
        <v>452600</v>
      </c>
      <c r="J10" s="89">
        <f>'MONTHLY STATS'!$C$129*2</f>
        <v>542674</v>
      </c>
      <c r="K10" s="89">
        <f>'MONTHLY STATS'!$C$144*2</f>
        <v>717812</v>
      </c>
      <c r="L10" s="89">
        <f>'MONTHLY STATS'!$C$159*2</f>
        <v>91486</v>
      </c>
      <c r="M10" s="89">
        <f>'MONTHLY STATS'!$C$174*2</f>
        <v>753070</v>
      </c>
      <c r="N10" s="89">
        <f>'MONTHLY STATS'!$C$189*2</f>
        <v>137556</v>
      </c>
      <c r="O10" s="90">
        <f aca="true" t="shared" si="0" ref="O10:O15">SUM(B10:N10)</f>
        <v>5198984</v>
      </c>
      <c r="P10" s="83"/>
    </row>
    <row r="11" spans="1:16" ht="15">
      <c r="A11" s="88">
        <f>DATE(2022,8,1)</f>
        <v>44774</v>
      </c>
      <c r="B11" s="89">
        <f>'MONTHLY STATS'!$C$10*2</f>
        <v>398888</v>
      </c>
      <c r="C11" s="89">
        <f>'MONTHLY STATS'!$C$25*2</f>
        <v>207568</v>
      </c>
      <c r="D11" s="89">
        <f>'MONTHLY STATS'!$C$40*2</f>
        <v>99338</v>
      </c>
      <c r="E11" s="89">
        <f>'MONTHLY STATS'!$C$55*2</f>
        <v>605550</v>
      </c>
      <c r="F11" s="89">
        <f>'MONTHLY STATS'!$C$70*2</f>
        <v>408762</v>
      </c>
      <c r="G11" s="89">
        <f>'MONTHLY STATS'!$C$85*2</f>
        <v>170414</v>
      </c>
      <c r="H11" s="89">
        <f>'MONTHLY STATS'!$C$100*2</f>
        <v>408416</v>
      </c>
      <c r="I11" s="89">
        <f>'MONTHLY STATS'!$C$115*2</f>
        <v>465170</v>
      </c>
      <c r="J11" s="89">
        <f>'MONTHLY STATS'!$C$130*2</f>
        <v>489244</v>
      </c>
      <c r="K11" s="89">
        <f>'MONTHLY STATS'!$C$145*2</f>
        <v>664780</v>
      </c>
      <c r="L11" s="89">
        <f>'MONTHLY STATS'!$C$160*2</f>
        <v>81956</v>
      </c>
      <c r="M11" s="89">
        <f>'MONTHLY STATS'!$C$175*2</f>
        <v>697450</v>
      </c>
      <c r="N11" s="89">
        <f>'MONTHLY STATS'!$C$190*2</f>
        <v>123464</v>
      </c>
      <c r="O11" s="90">
        <f t="shared" si="0"/>
        <v>4821000</v>
      </c>
      <c r="P11" s="83"/>
    </row>
    <row r="12" spans="1:16" ht="15">
      <c r="A12" s="88">
        <f>DATE(2022,9,1)</f>
        <v>44805</v>
      </c>
      <c r="B12" s="89">
        <f>'MONTHLY STATS'!$C$11*2</f>
        <v>381706</v>
      </c>
      <c r="C12" s="89">
        <f>'MONTHLY STATS'!$C$26*2</f>
        <v>215022</v>
      </c>
      <c r="D12" s="89">
        <f>'MONTHLY STATS'!$C$41*2</f>
        <v>101046</v>
      </c>
      <c r="E12" s="89">
        <f>'MONTHLY STATS'!$C$56*2</f>
        <v>599172</v>
      </c>
      <c r="F12" s="89">
        <f>'MONTHLY STATS'!$C$71*2</f>
        <v>391758</v>
      </c>
      <c r="G12" s="89">
        <f>'MONTHLY STATS'!$C$86*2</f>
        <v>168642</v>
      </c>
      <c r="H12" s="89">
        <f>'MONTHLY STATS'!$C$101*2</f>
        <v>405278</v>
      </c>
      <c r="I12" s="89">
        <f>'MONTHLY STATS'!$C$116*2</f>
        <v>459598</v>
      </c>
      <c r="J12" s="89">
        <f>'MONTHLY STATS'!$C$131*2</f>
        <v>476474</v>
      </c>
      <c r="K12" s="89">
        <f>'MONTHLY STATS'!$C$146*2</f>
        <v>666202</v>
      </c>
      <c r="L12" s="89">
        <f>'MONTHLY STATS'!$C$161*2</f>
        <v>83392</v>
      </c>
      <c r="M12" s="89">
        <f>'MONTHLY STATS'!$C$176*2</f>
        <v>703546</v>
      </c>
      <c r="N12" s="89">
        <f>'MONTHLY STATS'!$C$191*2</f>
        <v>125576</v>
      </c>
      <c r="O12" s="90">
        <f t="shared" si="0"/>
        <v>4777412</v>
      </c>
      <c r="P12" s="83"/>
    </row>
    <row r="13" spans="1:16" ht="15">
      <c r="A13" s="88">
        <f>DATE(2022,10,1)</f>
        <v>44835</v>
      </c>
      <c r="B13" s="89">
        <f>'MONTHLY STATS'!$C$12*2</f>
        <v>383996</v>
      </c>
      <c r="C13" s="89">
        <f>'MONTHLY STATS'!$C$27*2</f>
        <v>208980</v>
      </c>
      <c r="D13" s="89">
        <f>'MONTHLY STATS'!$C$42*2</f>
        <v>94946</v>
      </c>
      <c r="E13" s="89">
        <f>'MONTHLY STATS'!$C$57*2</f>
        <v>561802</v>
      </c>
      <c r="F13" s="89">
        <f>'MONTHLY STATS'!$C$72*2</f>
        <v>395358</v>
      </c>
      <c r="G13" s="89">
        <f>'MONTHLY STATS'!$C$87*2</f>
        <v>170454</v>
      </c>
      <c r="H13" s="89">
        <f>'MONTHLY STATS'!$C$102*2</f>
        <v>395610</v>
      </c>
      <c r="I13" s="89">
        <f>'MONTHLY STATS'!$C$117*2</f>
        <v>425400</v>
      </c>
      <c r="J13" s="89">
        <f>'MONTHLY STATS'!$C$132*2</f>
        <v>486336</v>
      </c>
      <c r="K13" s="89">
        <f>'MONTHLY STATS'!$C$147*2</f>
        <v>674528</v>
      </c>
      <c r="L13" s="89">
        <f>'MONTHLY STATS'!$C$162*2</f>
        <v>81426</v>
      </c>
      <c r="M13" s="89">
        <f>'MONTHLY STATS'!$C$177*2</f>
        <v>706822</v>
      </c>
      <c r="N13" s="89">
        <f>'MONTHLY STATS'!$C$192*2</f>
        <v>124844</v>
      </c>
      <c r="O13" s="90">
        <f t="shared" si="0"/>
        <v>4710502</v>
      </c>
      <c r="P13" s="83"/>
    </row>
    <row r="14" spans="1:16" ht="15">
      <c r="A14" s="88">
        <f>DATE(2022,11,1)</f>
        <v>44866</v>
      </c>
      <c r="B14" s="89">
        <f>'MONTHLY STATS'!$C$13*2</f>
        <v>362658</v>
      </c>
      <c r="C14" s="89">
        <f>'MONTHLY STATS'!$C$28*2</f>
        <v>187356</v>
      </c>
      <c r="D14" s="89">
        <f>'MONTHLY STATS'!$C$43*2</f>
        <v>78850</v>
      </c>
      <c r="E14" s="89">
        <f>'MONTHLY STATS'!$C$58*2</f>
        <v>555404</v>
      </c>
      <c r="F14" s="89">
        <f>'MONTHLY STATS'!$C$73*2</f>
        <v>383954</v>
      </c>
      <c r="G14" s="89">
        <f>'MONTHLY STATS'!$C$88*2</f>
        <v>153436</v>
      </c>
      <c r="H14" s="89">
        <f>'MONTHLY STATS'!$C$103*2</f>
        <v>404852</v>
      </c>
      <c r="I14" s="89">
        <f>'MONTHLY STATS'!$C$118*2</f>
        <v>383016</v>
      </c>
      <c r="J14" s="89">
        <f>'MONTHLY STATS'!$C$133*2</f>
        <v>436800</v>
      </c>
      <c r="K14" s="89">
        <f>'MONTHLY STATS'!$C$148*2</f>
        <v>671952</v>
      </c>
      <c r="L14" s="89">
        <f>'MONTHLY STATS'!$C$163*2</f>
        <v>74466</v>
      </c>
      <c r="M14" s="89">
        <f>'MONTHLY STATS'!$C$178*2</f>
        <v>649894</v>
      </c>
      <c r="N14" s="89">
        <f>'MONTHLY STATS'!$C$193*2</f>
        <v>116012</v>
      </c>
      <c r="O14" s="90">
        <f t="shared" si="0"/>
        <v>4458650</v>
      </c>
      <c r="P14" s="83"/>
    </row>
    <row r="15" spans="1:16" ht="15">
      <c r="A15" s="88">
        <f>DATE(2022,12,1)</f>
        <v>44896</v>
      </c>
      <c r="B15" s="89">
        <f>'MONTHLY STATS'!$C$14*2</f>
        <v>396342</v>
      </c>
      <c r="C15" s="89">
        <f>'MONTHLY STATS'!$C$29*2</f>
        <v>204072</v>
      </c>
      <c r="D15" s="89">
        <f>'MONTHLY STATS'!$C$44*2</f>
        <v>86630</v>
      </c>
      <c r="E15" s="89">
        <f>'MONTHLY STATS'!$C$59*2</f>
        <v>605020</v>
      </c>
      <c r="F15" s="89">
        <f>'MONTHLY STATS'!$C$74*2</f>
        <v>386490</v>
      </c>
      <c r="G15" s="89">
        <f>'MONTHLY STATS'!$C$89*2</f>
        <v>179306</v>
      </c>
      <c r="H15" s="89">
        <f>'MONTHLY STATS'!$C$104*2</f>
        <v>446446</v>
      </c>
      <c r="I15" s="89">
        <f>'MONTHLY STATS'!$C$119*2</f>
        <v>428294</v>
      </c>
      <c r="J15" s="89">
        <f>'MONTHLY STATS'!$C$134*2</f>
        <v>501530</v>
      </c>
      <c r="K15" s="89">
        <f>'MONTHLY STATS'!$C$149*2</f>
        <v>731152</v>
      </c>
      <c r="L15" s="89">
        <f>'MONTHLY STATS'!$C$164*2</f>
        <v>77776</v>
      </c>
      <c r="M15" s="89">
        <f>'MONTHLY STATS'!$C$179*2</f>
        <v>725434</v>
      </c>
      <c r="N15" s="89">
        <f>'MONTHLY STATS'!$C$194*2</f>
        <v>128512</v>
      </c>
      <c r="O15" s="90">
        <f t="shared" si="0"/>
        <v>4897004</v>
      </c>
      <c r="P15" s="83"/>
    </row>
    <row r="16" spans="1:16" ht="15">
      <c r="A16" s="88">
        <f>DATE(2023,1,1)</f>
        <v>44927</v>
      </c>
      <c r="B16" s="89">
        <f>'MONTHLY STATS'!$C$15*2</f>
        <v>394006</v>
      </c>
      <c r="C16" s="89">
        <f>'MONTHLY STATS'!$C$30*2</f>
        <v>196502</v>
      </c>
      <c r="D16" s="89">
        <f>'MONTHLY STATS'!$C$45*2</f>
        <v>101620</v>
      </c>
      <c r="E16" s="89">
        <f>'MONTHLY STATS'!$C$60*2</f>
        <v>607664</v>
      </c>
      <c r="F16" s="89">
        <f>'MONTHLY STATS'!$C$75*2</f>
        <v>373762</v>
      </c>
      <c r="G16" s="89">
        <f>'MONTHLY STATS'!$C$90*2</f>
        <v>168828</v>
      </c>
      <c r="H16" s="89">
        <f>'MONTHLY STATS'!$C$105*2</f>
        <v>430248</v>
      </c>
      <c r="I16" s="89">
        <f>'MONTHLY STATS'!$C$120*2</f>
        <v>407378</v>
      </c>
      <c r="J16" s="89">
        <f>'MONTHLY STATS'!$C$135*2</f>
        <v>485444</v>
      </c>
      <c r="K16" s="89">
        <f>'MONTHLY STATS'!$C$150*2</f>
        <v>684710</v>
      </c>
      <c r="L16" s="89">
        <f>'MONTHLY STATS'!$C$165*2</f>
        <v>79348</v>
      </c>
      <c r="M16" s="89">
        <f>'MONTHLY STATS'!$C$180*2</f>
        <v>687640</v>
      </c>
      <c r="N16" s="89">
        <f>'MONTHLY STATS'!$C$195*2</f>
        <v>118868</v>
      </c>
      <c r="O16" s="90">
        <f>SUM(B16:N16)</f>
        <v>4736018</v>
      </c>
      <c r="P16" s="83"/>
    </row>
    <row r="17" spans="1:16" ht="15">
      <c r="A17" s="88">
        <f>DATE(2023,2,1)</f>
        <v>44958</v>
      </c>
      <c r="B17" s="89">
        <f>'MONTHLY STATS'!$C$16*2</f>
        <v>382576</v>
      </c>
      <c r="C17" s="89">
        <f>'MONTHLY STATS'!$C$31*2</f>
        <v>208520</v>
      </c>
      <c r="D17" s="89">
        <f>'MONTHLY STATS'!$C$46*2</f>
        <v>114614</v>
      </c>
      <c r="E17" s="89">
        <f>'MONTHLY STATS'!$C$61*2</f>
        <v>621012</v>
      </c>
      <c r="F17" s="89">
        <f>'MONTHLY STATS'!$C$76*2</f>
        <v>365396</v>
      </c>
      <c r="G17" s="89">
        <f>'MONTHLY STATS'!$C$91*2</f>
        <v>179058</v>
      </c>
      <c r="H17" s="89">
        <f>'MONTHLY STATS'!$C$106*2</f>
        <v>401592</v>
      </c>
      <c r="I17" s="89">
        <f>'MONTHLY STATS'!$C$121*2</f>
        <v>415856</v>
      </c>
      <c r="J17" s="89">
        <f>'MONTHLY STATS'!$C$136*2</f>
        <v>477836</v>
      </c>
      <c r="K17" s="89">
        <f>'MONTHLY STATS'!$C$151*2</f>
        <v>674256</v>
      </c>
      <c r="L17" s="89">
        <f>'MONTHLY STATS'!$C$166*2</f>
        <v>88516</v>
      </c>
      <c r="M17" s="89">
        <f>'MONTHLY STATS'!$C$181*2</f>
        <v>682072</v>
      </c>
      <c r="N17" s="89">
        <f>'MONTHLY STATS'!$C$196*2</f>
        <v>131774</v>
      </c>
      <c r="O17" s="90">
        <f>SUM(B17:N17)</f>
        <v>4743078</v>
      </c>
      <c r="P17" s="83"/>
    </row>
    <row r="18" spans="1:16" ht="15">
      <c r="A18" s="88">
        <f>DATE(2023,3,1)</f>
        <v>44986</v>
      </c>
      <c r="B18" s="89">
        <f>'MONTHLY STATS'!$C$17*2</f>
        <v>435594</v>
      </c>
      <c r="C18" s="89">
        <f>'MONTHLY STATS'!$C$32*2</f>
        <v>218420</v>
      </c>
      <c r="D18" s="89">
        <f>'MONTHLY STATS'!$C$47*2</f>
        <v>125028</v>
      </c>
      <c r="E18" s="89">
        <f>'MONTHLY STATS'!$C$62*2</f>
        <v>701066</v>
      </c>
      <c r="F18" s="89">
        <f>'MONTHLY STATS'!$C$77*2</f>
        <v>424982</v>
      </c>
      <c r="G18" s="89">
        <f>'MONTHLY STATS'!$C$92*2</f>
        <v>194636</v>
      </c>
      <c r="H18" s="89">
        <f>'MONTHLY STATS'!$C$107*2</f>
        <v>450808</v>
      </c>
      <c r="I18" s="89">
        <f>'MONTHLY STATS'!$C$122*2</f>
        <v>463800</v>
      </c>
      <c r="J18" s="89">
        <f>'MONTHLY STATS'!$C$137*2</f>
        <v>551698</v>
      </c>
      <c r="K18" s="89">
        <f>'MONTHLY STATS'!$C$152*2</f>
        <v>757796</v>
      </c>
      <c r="L18" s="89">
        <f>'MONTHLY STATS'!$C$167*2</f>
        <v>93564</v>
      </c>
      <c r="M18" s="89">
        <f>'MONTHLY STATS'!$C$182*2</f>
        <v>715676</v>
      </c>
      <c r="N18" s="89">
        <f>'MONTHLY STATS'!$C$197*2</f>
        <v>150416</v>
      </c>
      <c r="O18" s="90">
        <f>SUM(B18:N18)</f>
        <v>5283484</v>
      </c>
      <c r="P18" s="83"/>
    </row>
    <row r="19" spans="1:16" ht="15">
      <c r="A19" s="88">
        <f>DATE(2023,4,1)</f>
        <v>45017</v>
      </c>
      <c r="B19" s="89">
        <f>'MONTHLY STATS'!$C$18*2</f>
        <v>396132</v>
      </c>
      <c r="C19" s="89">
        <f>'MONTHLY STATS'!$C$33*2</f>
        <v>208910</v>
      </c>
      <c r="D19" s="89">
        <f>'MONTHLY STATS'!$C$48*2</f>
        <v>115776</v>
      </c>
      <c r="E19" s="89">
        <f>'MONTHLY STATS'!$C$63*2</f>
        <v>632056</v>
      </c>
      <c r="F19" s="89">
        <f>'MONTHLY STATS'!$C$78*2</f>
        <v>385550</v>
      </c>
      <c r="G19" s="89">
        <f>'MONTHLY STATS'!$C$93*2</f>
        <v>172802</v>
      </c>
      <c r="H19" s="89">
        <f>'MONTHLY STATS'!$C$108*2</f>
        <v>416882</v>
      </c>
      <c r="I19" s="89">
        <f>'MONTHLY STATS'!$C$123*2</f>
        <v>431050</v>
      </c>
      <c r="J19" s="89">
        <f>'MONTHLY STATS'!$C$138*2</f>
        <v>512682</v>
      </c>
      <c r="K19" s="89">
        <f>'MONTHLY STATS'!$C$153*2</f>
        <v>709310</v>
      </c>
      <c r="L19" s="89">
        <f>'MONTHLY STATS'!$C$168*2</f>
        <v>89310</v>
      </c>
      <c r="M19" s="89">
        <f>'MONTHLY STATS'!$C$183*2</f>
        <v>669086</v>
      </c>
      <c r="N19" s="89">
        <f>'MONTHLY STATS'!$C$198*2</f>
        <v>137760</v>
      </c>
      <c r="O19" s="90">
        <f>SUM(B19:N19)</f>
        <v>4877306</v>
      </c>
      <c r="P19" s="83"/>
    </row>
    <row r="20" spans="1:16" ht="15">
      <c r="A20" s="88">
        <f>DATE(2023,5,1)</f>
        <v>45047</v>
      </c>
      <c r="B20" s="89">
        <f>'MONTHLY STATS'!$C$19*2</f>
        <v>378280</v>
      </c>
      <c r="C20" s="89">
        <f>'MONTHLY STATS'!$C$34*2</f>
        <v>200500</v>
      </c>
      <c r="D20" s="89">
        <f>'MONTHLY STATS'!$C$49*2</f>
        <v>111412</v>
      </c>
      <c r="E20" s="89">
        <f>'MONTHLY STATS'!$C$64*2</f>
        <v>633472</v>
      </c>
      <c r="F20" s="89">
        <f>'MONTHLY STATS'!$C$79*2</f>
        <v>397194</v>
      </c>
      <c r="G20" s="89">
        <f>'MONTHLY STATS'!$C$94*2</f>
        <v>170154</v>
      </c>
      <c r="H20" s="89">
        <f>'MONTHLY STATS'!$C$109*2</f>
        <v>419900</v>
      </c>
      <c r="I20" s="89">
        <f>'MONTHLY STATS'!$C$124*2</f>
        <v>415950</v>
      </c>
      <c r="J20" s="89">
        <f>'MONTHLY STATS'!$C$139*2</f>
        <v>487804</v>
      </c>
      <c r="K20" s="89">
        <f>'MONTHLY STATS'!$C$154*2</f>
        <v>688446</v>
      </c>
      <c r="L20" s="89">
        <f>'MONTHLY STATS'!$C$169*2</f>
        <v>84804</v>
      </c>
      <c r="M20" s="89">
        <f>'MONTHLY STATS'!$C$184*2</f>
        <v>635068</v>
      </c>
      <c r="N20" s="89">
        <f>'MONTHLY STATS'!$C$199*2</f>
        <v>130260</v>
      </c>
      <c r="O20" s="90">
        <f>SUM(B20:N20)</f>
        <v>4753244</v>
      </c>
      <c r="P20" s="83"/>
    </row>
    <row r="21" spans="1:16" ht="15">
      <c r="A21" s="88">
        <f>DATE(2023,6,1)</f>
        <v>45078</v>
      </c>
      <c r="B21" s="89">
        <f>'MONTHLY STATS'!$C$20*2</f>
        <v>370564</v>
      </c>
      <c r="C21" s="89">
        <f>'MONTHLY STATS'!$C$35*2</f>
        <v>198740</v>
      </c>
      <c r="D21" s="89">
        <f>'MONTHLY STATS'!$C$50*2</f>
        <v>109430</v>
      </c>
      <c r="E21" s="89">
        <f>'MONTHLY STATS'!$C$65*2</f>
        <v>625882</v>
      </c>
      <c r="F21" s="89">
        <f>'MONTHLY STATS'!$C$80*2</f>
        <v>358710</v>
      </c>
      <c r="G21" s="89">
        <f>'MONTHLY STATS'!$C$95*2</f>
        <v>166898</v>
      </c>
      <c r="H21" s="89">
        <f>'MONTHLY STATS'!$C$110*2</f>
        <v>414436</v>
      </c>
      <c r="I21" s="89">
        <f>'MONTHLY STATS'!$C$125*2</f>
        <v>423222</v>
      </c>
      <c r="J21" s="89">
        <f>'MONTHLY STATS'!$C$140*2</f>
        <v>487600</v>
      </c>
      <c r="K21" s="89">
        <f>'MONTHLY STATS'!$C$155*2</f>
        <v>659032</v>
      </c>
      <c r="L21" s="89">
        <f>'MONTHLY STATS'!$C$170*2</f>
        <v>78752</v>
      </c>
      <c r="M21" s="89">
        <f>'MONTHLY STATS'!$C$185*2</f>
        <v>624634</v>
      </c>
      <c r="N21" s="89">
        <f>'MONTHLY STATS'!$C$200*2</f>
        <v>127720</v>
      </c>
      <c r="O21" s="90">
        <f>SUM(B21:N21)</f>
        <v>4645620</v>
      </c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1" ref="B23:O23">SUM(B10:B21)</f>
        <v>4716628</v>
      </c>
      <c r="C23" s="90">
        <f t="shared" si="1"/>
        <v>2484020</v>
      </c>
      <c r="D23" s="90">
        <f t="shared" si="1"/>
        <v>1251778</v>
      </c>
      <c r="E23" s="90">
        <f t="shared" si="1"/>
        <v>7403494</v>
      </c>
      <c r="F23" s="90">
        <f t="shared" si="1"/>
        <v>4710176</v>
      </c>
      <c r="G23" s="90">
        <f>SUM(G10:G21)</f>
        <v>2085164</v>
      </c>
      <c r="H23" s="90">
        <f t="shared" si="1"/>
        <v>5035660</v>
      </c>
      <c r="I23" s="90">
        <f>SUM(I10:I21)</f>
        <v>5171334</v>
      </c>
      <c r="J23" s="90">
        <f t="shared" si="1"/>
        <v>5936122</v>
      </c>
      <c r="K23" s="90">
        <f>SUM(K10:K21)</f>
        <v>8299976</v>
      </c>
      <c r="L23" s="90">
        <f t="shared" si="1"/>
        <v>1004796</v>
      </c>
      <c r="M23" s="90">
        <f t="shared" si="1"/>
        <v>8250392</v>
      </c>
      <c r="N23" s="90">
        <f t="shared" si="1"/>
        <v>1552762</v>
      </c>
      <c r="O23" s="90">
        <f t="shared" si="1"/>
        <v>57902302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DATE(2022,7,1)</f>
        <v>44743</v>
      </c>
      <c r="B31" s="89">
        <f>'MONTHLY STATS'!$K$9*0.21</f>
        <v>3359049.834</v>
      </c>
      <c r="C31" s="89">
        <f>'MONTHLY STATS'!$K$24*0.21</f>
        <v>1763108.3841000001</v>
      </c>
      <c r="D31" s="89">
        <f>'MONTHLY STATS'!$K$39*0.21</f>
        <v>795167.667</v>
      </c>
      <c r="E31" s="89">
        <f>'MONTHLY STATS'!$K$54*0.21</f>
        <v>4494852.2304</v>
      </c>
      <c r="F31" s="89">
        <f>'MONTHLY STATS'!$K$69*0.21</f>
        <v>3165394.9026</v>
      </c>
      <c r="G31" s="89">
        <f>'MONTHLY STATS'!$K$84*0.21</f>
        <v>1314631.521</v>
      </c>
      <c r="H31" s="89">
        <f>'MONTHLY STATS'!$K$99*0.21</f>
        <v>2227424.3922</v>
      </c>
      <c r="I31" s="89">
        <f>'MONTHLY STATS'!$K$114*0.21</f>
        <v>2765364.9954</v>
      </c>
      <c r="J31" s="89">
        <f>'MONTHLY STATS'!$K$129*0.21</f>
        <v>3822849.2358</v>
      </c>
      <c r="K31" s="89">
        <f>'MONTHLY STATS'!$K$144*0.21</f>
        <v>4703370.6279</v>
      </c>
      <c r="L31" s="89">
        <f>'MONTHLY STATS'!$K$159*0.21</f>
        <v>683300.6628</v>
      </c>
      <c r="M31" s="89">
        <f>'MONTHLY STATS'!$K$174*0.21</f>
        <v>5606846.454299999</v>
      </c>
      <c r="N31" s="89">
        <f>'MONTHLY STATS'!$K$189*0.21</f>
        <v>868965.657</v>
      </c>
      <c r="O31" s="90">
        <f aca="true" t="shared" si="2" ref="O31:O36">SUM(B31:N31)</f>
        <v>35570326.5645</v>
      </c>
      <c r="P31" s="83"/>
    </row>
    <row r="32" spans="1:16" ht="15">
      <c r="A32" s="88">
        <f>DATE(2022,8,1)</f>
        <v>44774</v>
      </c>
      <c r="B32" s="89">
        <f>'MONTHLY STATS'!$K$10*0.21</f>
        <v>3188690.0198999997</v>
      </c>
      <c r="C32" s="89">
        <f>'MONTHLY STATS'!$K$25*0.21</f>
        <v>1588851.9213</v>
      </c>
      <c r="D32" s="89">
        <f>'MONTHLY STATS'!$K$40*0.21</f>
        <v>734372.8370999999</v>
      </c>
      <c r="E32" s="89">
        <f>'MONTHLY STATS'!$K$55*0.21</f>
        <v>4061676.9521999997</v>
      </c>
      <c r="F32" s="89">
        <f>'MONTHLY STATS'!$K$70*0.21</f>
        <v>3214879.5693</v>
      </c>
      <c r="G32" s="89">
        <f>'MONTHLY STATS'!$K$85*0.21</f>
        <v>1147680.3639</v>
      </c>
      <c r="H32" s="89">
        <f>'MONTHLY STATS'!$K$100*0.21</f>
        <v>2163098.6937</v>
      </c>
      <c r="I32" s="89">
        <f>'MONTHLY STATS'!$K$115*0.21</f>
        <v>2924821.5045</v>
      </c>
      <c r="J32" s="89">
        <f>'MONTHLY STATS'!$K$130*0.21</f>
        <v>3452400.8778</v>
      </c>
      <c r="K32" s="89">
        <f>'MONTHLY STATS'!$K$145*0.21</f>
        <v>4351146.3975</v>
      </c>
      <c r="L32" s="89">
        <f>'MONTHLY STATS'!$K$160*0.21</f>
        <v>620327.8326</v>
      </c>
      <c r="M32" s="89">
        <f>'MONTHLY STATS'!$K$175*0.21</f>
        <v>5590252.4076</v>
      </c>
      <c r="N32" s="89">
        <f>'MONTHLY STATS'!$K$190*0.21</f>
        <v>768521.8779</v>
      </c>
      <c r="O32" s="90">
        <f t="shared" si="2"/>
        <v>33806721.2553</v>
      </c>
      <c r="P32" s="83"/>
    </row>
    <row r="33" spans="1:16" ht="15">
      <c r="A33" s="88">
        <f>DATE(2022,9,1)</f>
        <v>44805</v>
      </c>
      <c r="B33" s="89">
        <f>'MONTHLY STATS'!$K$11*0.21</f>
        <v>2913784.8915</v>
      </c>
      <c r="C33" s="89">
        <f>'MONTHLY STATS'!$K$26*0.21</f>
        <v>1636722.8934</v>
      </c>
      <c r="D33" s="89">
        <f>'MONTHLY STATS'!$K$41*0.21</f>
        <v>755328.8925</v>
      </c>
      <c r="E33" s="89">
        <f>'MONTHLY STATS'!$K$56*0.21</f>
        <v>4442412.3933</v>
      </c>
      <c r="F33" s="89">
        <f>'MONTHLY STATS'!$K$71*0.21</f>
        <v>2907957.2151</v>
      </c>
      <c r="G33" s="89">
        <f>'MONTHLY STATS'!$K$86*0.21</f>
        <v>1129976.358</v>
      </c>
      <c r="H33" s="89">
        <f>'MONTHLY STATS'!$K$101*0.21</f>
        <v>2064167.763</v>
      </c>
      <c r="I33" s="89">
        <f>'MONTHLY STATS'!$K$116*0.21</f>
        <v>2839609.1870999997</v>
      </c>
      <c r="J33" s="89">
        <f>'MONTHLY STATS'!$K$131*0.21</f>
        <v>3561956.9558999995</v>
      </c>
      <c r="K33" s="89">
        <f>'MONTHLY STATS'!$K$146*0.21</f>
        <v>4266202.1241</v>
      </c>
      <c r="L33" s="89">
        <f>'MONTHLY STATS'!$K$161*0.21</f>
        <v>651220.4685</v>
      </c>
      <c r="M33" s="89">
        <f>'MONTHLY STATS'!$K$176*0.21</f>
        <v>5140952.191199999</v>
      </c>
      <c r="N33" s="89">
        <f>'MONTHLY STATS'!$K$191*0.21</f>
        <v>831738.7281</v>
      </c>
      <c r="O33" s="90">
        <f t="shared" si="2"/>
        <v>33142030.0617</v>
      </c>
      <c r="P33" s="83"/>
    </row>
    <row r="34" spans="1:16" ht="15">
      <c r="A34" s="88">
        <f>DATE(2022,10,1)</f>
        <v>44835</v>
      </c>
      <c r="B34" s="89">
        <f>'MONTHLY STATS'!$K$12*0.21</f>
        <v>3075624.7241999996</v>
      </c>
      <c r="C34" s="89">
        <f>'MONTHLY STATS'!$K$27*0.21</f>
        <v>1608939.4314</v>
      </c>
      <c r="D34" s="89">
        <f>'MONTHLY STATS'!$K$42*0.21</f>
        <v>705512.9004</v>
      </c>
      <c r="E34" s="89">
        <f>'MONTHLY STATS'!$K$57*0.21</f>
        <v>4043854.5</v>
      </c>
      <c r="F34" s="89">
        <f>'MONTHLY STATS'!$K$72*0.21</f>
        <v>2505260.226</v>
      </c>
      <c r="G34" s="89">
        <f>'MONTHLY STATS'!$K$87*0.21</f>
        <v>1158875.3861999998</v>
      </c>
      <c r="H34" s="89">
        <f>'MONTHLY STATS'!$K$102*0.21</f>
        <v>2187891.8501999998</v>
      </c>
      <c r="I34" s="89">
        <f>'MONTHLY STATS'!$K$117*0.21</f>
        <v>2719674.5499</v>
      </c>
      <c r="J34" s="89">
        <f>'MONTHLY STATS'!$K$132*0.21</f>
        <v>3417495.6816000002</v>
      </c>
      <c r="K34" s="89">
        <f>'MONTHLY STATS'!$K$147*0.21</f>
        <v>4410867.675899999</v>
      </c>
      <c r="L34" s="89">
        <f>'MONTHLY STATS'!$K$162*0.21</f>
        <v>640540.4187</v>
      </c>
      <c r="M34" s="89">
        <f>'MONTHLY STATS'!$K$177*0.21</f>
        <v>5138674.4492999995</v>
      </c>
      <c r="N34" s="89">
        <f>'MONTHLY STATS'!$K$192*0.21</f>
        <v>806512.3227</v>
      </c>
      <c r="O34" s="90">
        <f t="shared" si="2"/>
        <v>32419724.116499994</v>
      </c>
      <c r="P34" s="83"/>
    </row>
    <row r="35" spans="1:16" ht="15">
      <c r="A35" s="88">
        <f>DATE(2022,11,1)</f>
        <v>44866</v>
      </c>
      <c r="B35" s="89">
        <f>'MONTHLY STATS'!$K$13*0.21</f>
        <v>2845026.8469000002</v>
      </c>
      <c r="C35" s="89">
        <f>'MONTHLY STATS'!$K$28*0.21</f>
        <v>1476735.9725999997</v>
      </c>
      <c r="D35" s="89">
        <f>'MONTHLY STATS'!$K$43*0.21</f>
        <v>650621.4519</v>
      </c>
      <c r="E35" s="89">
        <f>'MONTHLY STATS'!$K$58*0.21</f>
        <v>3763966.5441</v>
      </c>
      <c r="F35" s="89">
        <f>'MONTHLY STATS'!$K$73*0.21</f>
        <v>2960831.6051999996</v>
      </c>
      <c r="G35" s="89">
        <f>'MONTHLY STATS'!$K$88*0.21</f>
        <v>1067059.5663</v>
      </c>
      <c r="H35" s="89">
        <f>'MONTHLY STATS'!$K$103*0.21</f>
        <v>2212111.8285</v>
      </c>
      <c r="I35" s="89">
        <f>'MONTHLY STATS'!$K$118*0.21</f>
        <v>2492792.2173</v>
      </c>
      <c r="J35" s="89">
        <f>'MONTHLY STATS'!$K$133*0.21</f>
        <v>3191663.475</v>
      </c>
      <c r="K35" s="89">
        <f>'MONTHLY STATS'!$K$148*0.21</f>
        <v>4385820.3207</v>
      </c>
      <c r="L35" s="89">
        <f>'MONTHLY STATS'!$K$163*0.21</f>
        <v>587792.961</v>
      </c>
      <c r="M35" s="89">
        <f>'MONTHLY STATS'!$K$178*0.21</f>
        <v>5073865.8936</v>
      </c>
      <c r="N35" s="89">
        <f>'MONTHLY STATS'!$K$193*0.21</f>
        <v>750429.4223999999</v>
      </c>
      <c r="O35" s="90">
        <f t="shared" si="2"/>
        <v>31458718.1055</v>
      </c>
      <c r="P35" s="83"/>
    </row>
    <row r="36" spans="1:16" ht="15">
      <c r="A36" s="88">
        <f>DATE(2022,12,1)</f>
        <v>44896</v>
      </c>
      <c r="B36" s="89">
        <f>'MONTHLY STATS'!$K$14*0.21</f>
        <v>2776013.2512</v>
      </c>
      <c r="C36" s="89">
        <f>'MONTHLY STATS'!$K$29*0.21</f>
        <v>1553783.3891999999</v>
      </c>
      <c r="D36" s="89">
        <f>'MONTHLY STATS'!$K$44*0.21</f>
        <v>659461.6434</v>
      </c>
      <c r="E36" s="89">
        <f>'MONTHLY STATS'!$K$59*0.21</f>
        <v>4246896.2613</v>
      </c>
      <c r="F36" s="89">
        <f>'MONTHLY STATS'!$K$74*0.21</f>
        <v>3099068.8049999997</v>
      </c>
      <c r="G36" s="89">
        <f>'MONTHLY STATS'!$K$89*0.21</f>
        <v>1155106.7451</v>
      </c>
      <c r="H36" s="89">
        <f>'MONTHLY STATS'!$K$104*0.21</f>
        <v>2239133.7002999997</v>
      </c>
      <c r="I36" s="89">
        <f>'MONTHLY STATS'!$K$119*0.21</f>
        <v>2741731.9691999997</v>
      </c>
      <c r="J36" s="89">
        <f>'MONTHLY STATS'!$K$134*0.21</f>
        <v>3487138.3112999997</v>
      </c>
      <c r="K36" s="89">
        <f>'MONTHLY STATS'!$K$149*0.21</f>
        <v>4371125.0373</v>
      </c>
      <c r="L36" s="89">
        <f>'MONTHLY STATS'!$K$164*0.21</f>
        <v>650540.8812000001</v>
      </c>
      <c r="M36" s="89">
        <f>'MONTHLY STATS'!$K$179*0.21</f>
        <v>5307678.2891999995</v>
      </c>
      <c r="N36" s="89">
        <f>'MONTHLY STATS'!$K$194*0.21</f>
        <v>826249.8909</v>
      </c>
      <c r="O36" s="90">
        <f t="shared" si="2"/>
        <v>33113928.174599998</v>
      </c>
      <c r="P36" s="83"/>
    </row>
    <row r="37" spans="1:16" ht="15">
      <c r="A37" s="88">
        <f>DATE(2023,1,1)</f>
        <v>44927</v>
      </c>
      <c r="B37" s="89">
        <f>'MONTHLY STATS'!$K$15*0.21</f>
        <v>3041863.9313999997</v>
      </c>
      <c r="C37" s="89">
        <f>'MONTHLY STATS'!$K$30*0.21</f>
        <v>1512599.7641999999</v>
      </c>
      <c r="D37" s="89">
        <f>'MONTHLY STATS'!$K$45*0.21</f>
        <v>762701.037</v>
      </c>
      <c r="E37" s="89">
        <f>'MONTHLY STATS'!$K$60*0.21</f>
        <v>3971446.9913999997</v>
      </c>
      <c r="F37" s="89">
        <f>'MONTHLY STATS'!$K$75*0.21</f>
        <v>2964857.2905</v>
      </c>
      <c r="G37" s="89">
        <f>'MONTHLY STATS'!$K$90*0.21</f>
        <v>1112091.2040000001</v>
      </c>
      <c r="H37" s="89">
        <f>'MONTHLY STATS'!$K$105*0.21</f>
        <v>2286726.7394999997</v>
      </c>
      <c r="I37" s="89">
        <f>'MONTHLY STATS'!$K$120*0.21</f>
        <v>2509557.7773</v>
      </c>
      <c r="J37" s="89">
        <f>'MONTHLY STATS'!$K$135*0.21</f>
        <v>3286258.9662</v>
      </c>
      <c r="K37" s="89">
        <f>'MONTHLY STATS'!$K$150*0.21</f>
        <v>4340668.3319999995</v>
      </c>
      <c r="L37" s="89">
        <f>'MONTHLY STATS'!$K$165*0.21</f>
        <v>606532.1031</v>
      </c>
      <c r="M37" s="89">
        <f>'MONTHLY STATS'!$K$180*0.21</f>
        <v>5117319.4044</v>
      </c>
      <c r="N37" s="89">
        <f>'MONTHLY STATS'!$K$195*0.21</f>
        <v>766575.9717</v>
      </c>
      <c r="O37" s="90">
        <f>SUM(B37:N37)</f>
        <v>32279199.512699995</v>
      </c>
      <c r="P37" s="83"/>
    </row>
    <row r="38" spans="1:16" ht="15">
      <c r="A38" s="88">
        <f>DATE(2023,2,1)</f>
        <v>44958</v>
      </c>
      <c r="B38" s="89">
        <f>'MONTHLY STATS'!$K$16*0.21</f>
        <v>2930388.8712</v>
      </c>
      <c r="C38" s="89">
        <f>'MONTHLY STATS'!$K$31*0.21</f>
        <v>1606612.3017</v>
      </c>
      <c r="D38" s="89">
        <f>'MONTHLY STATS'!$K$46*0.21</f>
        <v>820235.0037</v>
      </c>
      <c r="E38" s="89">
        <f>'MONTHLY STATS'!$K$61*0.21</f>
        <v>4062233.6264999993</v>
      </c>
      <c r="F38" s="89">
        <f>'MONTHLY STATS'!$K$76*0.21</f>
        <v>2875199.0651999996</v>
      </c>
      <c r="G38" s="89">
        <f>'MONTHLY STATS'!$K$91*0.21</f>
        <v>1275150.1056000001</v>
      </c>
      <c r="H38" s="89">
        <f>'MONTHLY STATS'!$K$106*0.21</f>
        <v>2170910.4102</v>
      </c>
      <c r="I38" s="89">
        <f>'MONTHLY STATS'!$K$121*0.21</f>
        <v>2641852.6701</v>
      </c>
      <c r="J38" s="89">
        <f>'MONTHLY STATS'!$K$136*0.21</f>
        <v>3329521.1396999997</v>
      </c>
      <c r="K38" s="89">
        <f>'MONTHLY STATS'!$K$151*0.21</f>
        <v>4387939.947299999</v>
      </c>
      <c r="L38" s="89">
        <f>'MONTHLY STATS'!$K$166*0.21</f>
        <v>653658.5832</v>
      </c>
      <c r="M38" s="89">
        <f>'MONTHLY STATS'!$K$181*0.21</f>
        <v>5336103.4314</v>
      </c>
      <c r="N38" s="89">
        <f>'MONTHLY STATS'!$K$196*0.21</f>
        <v>869331.8193</v>
      </c>
      <c r="O38" s="90">
        <f>SUM(B38:N38)</f>
        <v>32959136.975099996</v>
      </c>
      <c r="P38" s="83"/>
    </row>
    <row r="39" spans="1:16" ht="15">
      <c r="A39" s="88">
        <f>DATE(2023,3,1)</f>
        <v>44986</v>
      </c>
      <c r="B39" s="89">
        <f>'MONTHLY STATS'!$K$17*0.21</f>
        <v>3293007.8013</v>
      </c>
      <c r="C39" s="89">
        <f>'MONTHLY STATS'!$K$32*0.21</f>
        <v>1802758.0557</v>
      </c>
      <c r="D39" s="89">
        <f>'MONTHLY STATS'!$K$47*0.21</f>
        <v>946662.8618999999</v>
      </c>
      <c r="E39" s="89">
        <f>'MONTHLY STATS'!$K$62*0.21</f>
        <v>4720487.9694</v>
      </c>
      <c r="F39" s="89">
        <f>'MONTHLY STATS'!$K$77*0.21</f>
        <v>3432363.6522</v>
      </c>
      <c r="G39" s="89">
        <f>'MONTHLY STATS'!$K$92*0.21</f>
        <v>1373022.9534</v>
      </c>
      <c r="H39" s="89">
        <f>'MONTHLY STATS'!$K$107*0.21</f>
        <v>2430387.3005999997</v>
      </c>
      <c r="I39" s="89">
        <f>'MONTHLY STATS'!$K$122*0.21</f>
        <v>3009138.3189</v>
      </c>
      <c r="J39" s="89">
        <f>'MONTHLY STATS'!$K$137*0.21</f>
        <v>3841012.2177</v>
      </c>
      <c r="K39" s="89">
        <f>'MONTHLY STATS'!$K$152*0.21</f>
        <v>4982038.3788</v>
      </c>
      <c r="L39" s="89">
        <f>'MONTHLY STATS'!$K$167*0.21</f>
        <v>704926.7945999999</v>
      </c>
      <c r="M39" s="89">
        <f>'MONTHLY STATS'!$K$182*0.21</f>
        <v>5633956.5135</v>
      </c>
      <c r="N39" s="89">
        <f>'MONTHLY STATS'!$K$197*0.21</f>
        <v>965107.3718999999</v>
      </c>
      <c r="O39" s="90">
        <f>SUM(B39:N39)</f>
        <v>37134870.189899996</v>
      </c>
      <c r="P39" s="83"/>
    </row>
    <row r="40" spans="1:16" ht="15">
      <c r="A40" s="88">
        <f>DATE(2023,4,1)</f>
        <v>45017</v>
      </c>
      <c r="B40" s="89">
        <f>'MONTHLY STATS'!$K$18*0.21</f>
        <v>3112562.6426999997</v>
      </c>
      <c r="C40" s="89">
        <f>'MONTHLY STATS'!$K$33*0.21</f>
        <v>1711794.5481</v>
      </c>
      <c r="D40" s="89">
        <f>'MONTHLY STATS'!$K$48*0.21</f>
        <v>856189.1540999999</v>
      </c>
      <c r="E40" s="89">
        <f>'MONTHLY STATS'!$K$63*0.21</f>
        <v>4454067.277799999</v>
      </c>
      <c r="F40" s="89">
        <f>'MONTHLY STATS'!$K$78*0.21</f>
        <v>2943852.6599999997</v>
      </c>
      <c r="G40" s="89">
        <f>'MONTHLY STATS'!$K$93*0.21</f>
        <v>1215538.3275</v>
      </c>
      <c r="H40" s="89">
        <f>'MONTHLY STATS'!$K$108*0.21</f>
        <v>2350465.2759</v>
      </c>
      <c r="I40" s="89">
        <f>'MONTHLY STATS'!$K$123*0.21</f>
        <v>2884073.7092999998</v>
      </c>
      <c r="J40" s="89">
        <f>'MONTHLY STATS'!$K$138*0.21</f>
        <v>3754504.4019</v>
      </c>
      <c r="K40" s="89">
        <f>'MONTHLY STATS'!$K$153*0.21</f>
        <v>4642936.3071</v>
      </c>
      <c r="L40" s="89">
        <f>'MONTHLY STATS'!$K$168*0.21</f>
        <v>666109.6344</v>
      </c>
      <c r="M40" s="89">
        <f>'MONTHLY STATS'!$K$183*0.21</f>
        <v>5593457.490599999</v>
      </c>
      <c r="N40" s="89">
        <f>'MONTHLY STATS'!$K$198*0.21</f>
        <v>906914.3118</v>
      </c>
      <c r="O40" s="90">
        <f>SUM(B40:N40)</f>
        <v>35092465.7412</v>
      </c>
      <c r="P40" s="83"/>
    </row>
    <row r="41" spans="1:16" ht="15">
      <c r="A41" s="88">
        <f>DATE(2023,5,1)</f>
        <v>45047</v>
      </c>
      <c r="B41" s="89">
        <f>'MONTHLY STATS'!$K$19*0.21</f>
        <v>3012341.3880000003</v>
      </c>
      <c r="C41" s="89">
        <f>'MONTHLY STATS'!$K$34*0.21</f>
        <v>1609001.9631</v>
      </c>
      <c r="D41" s="89">
        <f>'MONTHLY STATS'!$K$49*0.21</f>
        <v>821024.0009999999</v>
      </c>
      <c r="E41" s="89">
        <f>'MONTHLY STATS'!$K$64*0.21</f>
        <v>4619120.6397</v>
      </c>
      <c r="F41" s="89">
        <f>'MONTHLY STATS'!$K$79*0.21</f>
        <v>2970304.8732</v>
      </c>
      <c r="G41" s="89">
        <f>'MONTHLY STATS'!$K$94*0.21</f>
        <v>1190863.8965999999</v>
      </c>
      <c r="H41" s="89">
        <f>'MONTHLY STATS'!$K$109*0.21</f>
        <v>2260169.8623</v>
      </c>
      <c r="I41" s="89">
        <f>'MONTHLY STATS'!$K$124*0.21</f>
        <v>2724589.6355999997</v>
      </c>
      <c r="J41" s="89">
        <f>'MONTHLY STATS'!$K$139*0.21</f>
        <v>3521259.3716999996</v>
      </c>
      <c r="K41" s="89">
        <f>'MONTHLY STATS'!$K$154*0.21</f>
        <v>4442693.8752</v>
      </c>
      <c r="L41" s="89">
        <f>'MONTHLY STATS'!$K$169*0.21</f>
        <v>666660.6806999999</v>
      </c>
      <c r="M41" s="89">
        <f>'MONTHLY STATS'!$K$184*0.21</f>
        <v>5114282.8002</v>
      </c>
      <c r="N41" s="89">
        <f>'MONTHLY STATS'!$K$199*0.21</f>
        <v>850670.8287</v>
      </c>
      <c r="O41" s="90">
        <f>SUM(B41:N41)</f>
        <v>33802983.816</v>
      </c>
      <c r="P41" s="83"/>
    </row>
    <row r="42" spans="1:16" ht="15">
      <c r="A42" s="88">
        <f>DATE(2023,6,1)</f>
        <v>45078</v>
      </c>
      <c r="B42" s="89">
        <f>'MONTHLY STATS'!$K$20*0.21</f>
        <v>2834032.0763999997</v>
      </c>
      <c r="C42" s="89">
        <f>'MONTHLY STATS'!$K$35*0.21</f>
        <v>1513941.1056000001</v>
      </c>
      <c r="D42" s="89">
        <f>'MONTHLY STATS'!$K$50*0.21</f>
        <v>764799.5438999999</v>
      </c>
      <c r="E42" s="89">
        <f>'MONTHLY STATS'!$K$65*0.21</f>
        <v>4275747.6363</v>
      </c>
      <c r="F42" s="89">
        <f>'MONTHLY STATS'!$K$80*0.21</f>
        <v>2811271.7051999997</v>
      </c>
      <c r="G42" s="89">
        <f>'MONTHLY STATS'!$K$95*0.21</f>
        <v>1199911.7382</v>
      </c>
      <c r="H42" s="89">
        <f>'MONTHLY STATS'!$K$110*0.21</f>
        <v>2296321.2951</v>
      </c>
      <c r="I42" s="89">
        <f>'MONTHLY STATS'!$K$125*0.21</f>
        <v>2784464.1194999996</v>
      </c>
      <c r="J42" s="89">
        <f>'MONTHLY STATS'!$K$140*0.21</f>
        <v>3465476.3891999996</v>
      </c>
      <c r="K42" s="89">
        <f>'MONTHLY STATS'!$K$155*0.21</f>
        <v>4223925.9027</v>
      </c>
      <c r="L42" s="89">
        <f>'MONTHLY STATS'!$K$170*0.21</f>
        <v>604727.7620999999</v>
      </c>
      <c r="M42" s="89">
        <f>'MONTHLY STATS'!$K$185*0.21</f>
        <v>4985403.2025</v>
      </c>
      <c r="N42" s="89">
        <f>'MONTHLY STATS'!$K$200*0.21</f>
        <v>791653.5438</v>
      </c>
      <c r="O42" s="90">
        <f>SUM(B42:N42)</f>
        <v>32551676.020499997</v>
      </c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3" ref="B44:O44">SUM(B31:B42)</f>
        <v>36382386.2787</v>
      </c>
      <c r="C44" s="90">
        <f t="shared" si="3"/>
        <v>19384849.7304</v>
      </c>
      <c r="D44" s="90">
        <f t="shared" si="3"/>
        <v>9272076.993900001</v>
      </c>
      <c r="E44" s="90">
        <f t="shared" si="3"/>
        <v>51156763.02240001</v>
      </c>
      <c r="F44" s="90">
        <f t="shared" si="3"/>
        <v>35851241.5695</v>
      </c>
      <c r="G44" s="90">
        <f t="shared" si="3"/>
        <v>14339908.1658</v>
      </c>
      <c r="H44" s="90">
        <f t="shared" si="3"/>
        <v>26888809.1115</v>
      </c>
      <c r="I44" s="90">
        <f>SUM(I31:I42)</f>
        <v>33037670.6541</v>
      </c>
      <c r="J44" s="90">
        <f t="shared" si="3"/>
        <v>42131537.0238</v>
      </c>
      <c r="K44" s="90">
        <f>SUM(K31:K42)</f>
        <v>53508734.926499985</v>
      </c>
      <c r="L44" s="90">
        <f t="shared" si="3"/>
        <v>7736338.7829</v>
      </c>
      <c r="M44" s="90">
        <f t="shared" si="3"/>
        <v>63638792.527799994</v>
      </c>
      <c r="N44" s="90">
        <f t="shared" si="3"/>
        <v>10002671.746199999</v>
      </c>
      <c r="O44" s="90">
        <f t="shared" si="3"/>
        <v>403331780.5335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 aca="true" t="shared" si="0" ref="F9:F20">(+D9-E9)/E9</f>
        <v>0.2566573202559024</v>
      </c>
      <c r="G9" s="215">
        <f aca="true" t="shared" si="1" ref="G9:G20">D9/C9</f>
        <v>0.19344916872828888</v>
      </c>
      <c r="H9" s="123"/>
    </row>
    <row r="10" spans="1:8" ht="1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 t="shared" si="0"/>
        <v>0.2926934085122923</v>
      </c>
      <c r="G10" s="215">
        <f t="shared" si="1"/>
        <v>0.2128511063255812</v>
      </c>
      <c r="H10" s="123"/>
    </row>
    <row r="11" spans="1:8" ht="1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 t="shared" si="0"/>
        <v>0.038312502105668965</v>
      </c>
      <c r="G11" s="215">
        <f t="shared" si="1"/>
        <v>0.15063131234930932</v>
      </c>
      <c r="H11" s="123"/>
    </row>
    <row r="12" spans="1:8" ht="1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 t="shared" si="0"/>
        <v>0.01981918704181328</v>
      </c>
      <c r="G12" s="215">
        <f t="shared" si="1"/>
        <v>0.18676185590475985</v>
      </c>
      <c r="H12" s="123"/>
    </row>
    <row r="13" spans="1:8" ht="1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 t="shared" si="0"/>
        <v>0.302589561643313</v>
      </c>
      <c r="G13" s="215">
        <f t="shared" si="1"/>
        <v>0.2059698381253435</v>
      </c>
      <c r="H13" s="123"/>
    </row>
    <row r="14" spans="1:8" ht="15">
      <c r="A14" s="130"/>
      <c r="B14" s="131">
        <f>DATE(2022,12,1)</f>
        <v>44896</v>
      </c>
      <c r="C14" s="204">
        <v>14490087</v>
      </c>
      <c r="D14" s="204">
        <v>2019034</v>
      </c>
      <c r="E14" s="204">
        <v>2277304.5</v>
      </c>
      <c r="F14" s="132">
        <f t="shared" si="0"/>
        <v>-0.11341061329304009</v>
      </c>
      <c r="G14" s="215">
        <f t="shared" si="1"/>
        <v>0.13933898395503078</v>
      </c>
      <c r="H14" s="123"/>
    </row>
    <row r="15" spans="1:8" ht="15">
      <c r="A15" s="130"/>
      <c r="B15" s="131">
        <f>DATE(2023,1,1)</f>
        <v>44927</v>
      </c>
      <c r="C15" s="204">
        <v>17039670</v>
      </c>
      <c r="D15" s="204">
        <v>3086761.5</v>
      </c>
      <c r="E15" s="204">
        <v>2164427.5</v>
      </c>
      <c r="F15" s="132">
        <f t="shared" si="0"/>
        <v>0.4261330074580923</v>
      </c>
      <c r="G15" s="215">
        <f t="shared" si="1"/>
        <v>0.18115148356746347</v>
      </c>
      <c r="H15" s="123"/>
    </row>
    <row r="16" spans="1:8" ht="15">
      <c r="A16" s="130"/>
      <c r="B16" s="131">
        <f>DATE(2023,2,1)</f>
        <v>44958</v>
      </c>
      <c r="C16" s="204">
        <v>16336123</v>
      </c>
      <c r="D16" s="204">
        <v>2473094.5</v>
      </c>
      <c r="E16" s="204">
        <v>2316245</v>
      </c>
      <c r="F16" s="132">
        <f t="shared" si="0"/>
        <v>0.06771714563873857</v>
      </c>
      <c r="G16" s="215">
        <f t="shared" si="1"/>
        <v>0.15138809251130148</v>
      </c>
      <c r="H16" s="123"/>
    </row>
    <row r="17" spans="1:8" ht="15">
      <c r="A17" s="130"/>
      <c r="B17" s="131">
        <f>DATE(2023,3,1)</f>
        <v>44986</v>
      </c>
      <c r="C17" s="204">
        <v>17336379</v>
      </c>
      <c r="D17" s="204">
        <v>2339779</v>
      </c>
      <c r="E17" s="204">
        <v>2654540</v>
      </c>
      <c r="F17" s="132">
        <f t="shared" si="0"/>
        <v>-0.11857459296149239</v>
      </c>
      <c r="G17" s="215">
        <f t="shared" si="1"/>
        <v>0.1349635353495675</v>
      </c>
      <c r="H17" s="123"/>
    </row>
    <row r="18" spans="1:8" ht="15">
      <c r="A18" s="130"/>
      <c r="B18" s="131">
        <f>DATE(2023,4,1)</f>
        <v>45017</v>
      </c>
      <c r="C18" s="204">
        <v>14865689</v>
      </c>
      <c r="D18" s="204">
        <v>2718840.5</v>
      </c>
      <c r="E18" s="204">
        <v>2452491.5</v>
      </c>
      <c r="F18" s="132">
        <f t="shared" si="0"/>
        <v>0.10860343450731634</v>
      </c>
      <c r="G18" s="215">
        <f t="shared" si="1"/>
        <v>0.18289367549664196</v>
      </c>
      <c r="H18" s="123"/>
    </row>
    <row r="19" spans="1:8" ht="15">
      <c r="A19" s="130"/>
      <c r="B19" s="131">
        <f>DATE(2023,5,1)</f>
        <v>45047</v>
      </c>
      <c r="C19" s="204">
        <v>14619750</v>
      </c>
      <c r="D19" s="204">
        <v>2110455</v>
      </c>
      <c r="E19" s="204">
        <v>2927174.5</v>
      </c>
      <c r="F19" s="132">
        <f t="shared" si="0"/>
        <v>-0.27901291843038395</v>
      </c>
      <c r="G19" s="215">
        <f t="shared" si="1"/>
        <v>0.14435643564356435</v>
      </c>
      <c r="H19" s="123"/>
    </row>
    <row r="20" spans="1:8" ht="15">
      <c r="A20" s="130"/>
      <c r="B20" s="131">
        <f>DATE(2023,6,1)</f>
        <v>45078</v>
      </c>
      <c r="C20" s="204">
        <v>14611186</v>
      </c>
      <c r="D20" s="204">
        <v>1827884.5</v>
      </c>
      <c r="E20" s="204">
        <v>3269860</v>
      </c>
      <c r="F20" s="132">
        <f t="shared" si="0"/>
        <v>-0.44098998122243765</v>
      </c>
      <c r="G20" s="215">
        <f t="shared" si="1"/>
        <v>0.12510172001095599</v>
      </c>
      <c r="H20" s="123"/>
    </row>
    <row r="21" spans="1:8" ht="15" thickBot="1">
      <c r="A21" s="133"/>
      <c r="B21" s="134"/>
      <c r="C21" s="204"/>
      <c r="D21" s="204"/>
      <c r="E21" s="204"/>
      <c r="F21" s="132"/>
      <c r="G21" s="215"/>
      <c r="H21" s="123"/>
    </row>
    <row r="22" spans="1:8" ht="16.5" thickBot="1" thickTop="1">
      <c r="A22" s="135" t="s">
        <v>14</v>
      </c>
      <c r="B22" s="136"/>
      <c r="C22" s="201">
        <f>SUM(C9:C21)</f>
        <v>182277738.25</v>
      </c>
      <c r="D22" s="201">
        <f>SUM(D9:D21)</f>
        <v>30496357.85</v>
      </c>
      <c r="E22" s="201">
        <f>SUM(E9:E21)</f>
        <v>29823722.060000002</v>
      </c>
      <c r="F22" s="137">
        <f>(+D22-E22)/E22</f>
        <v>0.022553717092949566</v>
      </c>
      <c r="G22" s="212">
        <f>D22/C22</f>
        <v>0.16730708940536243</v>
      </c>
      <c r="H22" s="123"/>
    </row>
    <row r="23" spans="1:8" ht="15.75" customHeight="1" thickTop="1">
      <c r="A23" s="138"/>
      <c r="B23" s="139"/>
      <c r="C23" s="205"/>
      <c r="D23" s="205"/>
      <c r="E23" s="205"/>
      <c r="F23" s="140"/>
      <c r="G23" s="216"/>
      <c r="H23" s="123"/>
    </row>
    <row r="24" spans="1:8" ht="15">
      <c r="A24" s="19" t="s">
        <v>15</v>
      </c>
      <c r="B24" s="131">
        <f>DATE(2022,7,1)</f>
        <v>44743</v>
      </c>
      <c r="C24" s="204">
        <v>2670326</v>
      </c>
      <c r="D24" s="204">
        <v>637839.5</v>
      </c>
      <c r="E24" s="204">
        <v>753311.5</v>
      </c>
      <c r="F24" s="132">
        <f aca="true" t="shared" si="2" ref="F24:F35">(+D24-E24)/E24</f>
        <v>-0.15328585850607618</v>
      </c>
      <c r="G24" s="215">
        <f aca="true" t="shared" si="3" ref="G24:G35">D24/C24</f>
        <v>0.23886203407374232</v>
      </c>
      <c r="H24" s="123"/>
    </row>
    <row r="25" spans="1:8" ht="15">
      <c r="A25" s="19"/>
      <c r="B25" s="131">
        <f>DATE(2022,8,1)</f>
        <v>44774</v>
      </c>
      <c r="C25" s="204">
        <v>2364635</v>
      </c>
      <c r="D25" s="204">
        <v>695761.5</v>
      </c>
      <c r="E25" s="204">
        <v>615974.5</v>
      </c>
      <c r="F25" s="132">
        <f t="shared" si="2"/>
        <v>0.12952971267479416</v>
      </c>
      <c r="G25" s="215">
        <f t="shared" si="3"/>
        <v>0.2942363197702817</v>
      </c>
      <c r="H25" s="123"/>
    </row>
    <row r="26" spans="1:8" ht="15">
      <c r="A26" s="19"/>
      <c r="B26" s="131">
        <f>DATE(2022,9,1)</f>
        <v>44805</v>
      </c>
      <c r="C26" s="204">
        <v>2764905</v>
      </c>
      <c r="D26" s="204">
        <v>780368</v>
      </c>
      <c r="E26" s="204">
        <v>858656</v>
      </c>
      <c r="F26" s="132">
        <f t="shared" si="2"/>
        <v>-0.09117504565274102</v>
      </c>
      <c r="G26" s="215">
        <f t="shared" si="3"/>
        <v>0.28224043864074894</v>
      </c>
      <c r="H26" s="123"/>
    </row>
    <row r="27" spans="1:8" ht="15">
      <c r="A27" s="19"/>
      <c r="B27" s="131">
        <f>DATE(2022,10,1)</f>
        <v>44835</v>
      </c>
      <c r="C27" s="204">
        <v>2297950</v>
      </c>
      <c r="D27" s="204">
        <v>868243</v>
      </c>
      <c r="E27" s="204">
        <v>649914</v>
      </c>
      <c r="F27" s="132">
        <f t="shared" si="2"/>
        <v>0.3359352160439689</v>
      </c>
      <c r="G27" s="215">
        <f t="shared" si="3"/>
        <v>0.37783372136034293</v>
      </c>
      <c r="H27" s="123"/>
    </row>
    <row r="28" spans="1:8" ht="15">
      <c r="A28" s="19"/>
      <c r="B28" s="131">
        <f>DATE(2022,11,1)</f>
        <v>44866</v>
      </c>
      <c r="C28" s="204">
        <v>2194110</v>
      </c>
      <c r="D28" s="204">
        <v>714136.5</v>
      </c>
      <c r="E28" s="204">
        <v>707738</v>
      </c>
      <c r="F28" s="132">
        <f t="shared" si="2"/>
        <v>0.009040774976050459</v>
      </c>
      <c r="G28" s="215">
        <f t="shared" si="3"/>
        <v>0.3254788957709504</v>
      </c>
      <c r="H28" s="123"/>
    </row>
    <row r="29" spans="1:8" ht="15">
      <c r="A29" s="19"/>
      <c r="B29" s="131">
        <f>DATE(2022,12,1)</f>
        <v>44896</v>
      </c>
      <c r="C29" s="204">
        <v>2541586</v>
      </c>
      <c r="D29" s="204">
        <v>736054</v>
      </c>
      <c r="E29" s="204">
        <v>706014</v>
      </c>
      <c r="F29" s="132">
        <f t="shared" si="2"/>
        <v>0.04254873132827394</v>
      </c>
      <c r="G29" s="215">
        <f t="shared" si="3"/>
        <v>0.2896042077663317</v>
      </c>
      <c r="H29" s="123"/>
    </row>
    <row r="30" spans="1:8" ht="15">
      <c r="A30" s="19"/>
      <c r="B30" s="131">
        <f>DATE(2023,1,1)</f>
        <v>44927</v>
      </c>
      <c r="C30" s="204">
        <v>2252589</v>
      </c>
      <c r="D30" s="204">
        <v>620241</v>
      </c>
      <c r="E30" s="204">
        <v>684356</v>
      </c>
      <c r="F30" s="132">
        <f t="shared" si="2"/>
        <v>-0.09368661924495437</v>
      </c>
      <c r="G30" s="215">
        <f t="shared" si="3"/>
        <v>0.2753458353920755</v>
      </c>
      <c r="H30" s="123"/>
    </row>
    <row r="31" spans="1:8" ht="15">
      <c r="A31" s="19"/>
      <c r="B31" s="131">
        <f>DATE(2023,2,1)</f>
        <v>44958</v>
      </c>
      <c r="C31" s="204">
        <v>2210443</v>
      </c>
      <c r="D31" s="204">
        <v>564375.5</v>
      </c>
      <c r="E31" s="204">
        <v>495607</v>
      </c>
      <c r="F31" s="132">
        <f t="shared" si="2"/>
        <v>0.13875611119294118</v>
      </c>
      <c r="G31" s="215">
        <f t="shared" si="3"/>
        <v>0.2553223494114076</v>
      </c>
      <c r="H31" s="123"/>
    </row>
    <row r="32" spans="1:8" ht="15">
      <c r="A32" s="19"/>
      <c r="B32" s="131">
        <f>DATE(2023,3,1)</f>
        <v>44986</v>
      </c>
      <c r="C32" s="204">
        <v>2724556</v>
      </c>
      <c r="D32" s="204">
        <v>903835</v>
      </c>
      <c r="E32" s="204">
        <v>769345</v>
      </c>
      <c r="F32" s="132">
        <f t="shared" si="2"/>
        <v>0.17481104056047678</v>
      </c>
      <c r="G32" s="215">
        <f t="shared" si="3"/>
        <v>0.3317366205723061</v>
      </c>
      <c r="H32" s="123"/>
    </row>
    <row r="33" spans="1:8" ht="15">
      <c r="A33" s="19"/>
      <c r="B33" s="131">
        <f>DATE(2023,4,1)</f>
        <v>45017</v>
      </c>
      <c r="C33" s="204">
        <v>2653760</v>
      </c>
      <c r="D33" s="204">
        <v>724571</v>
      </c>
      <c r="E33" s="204">
        <v>768964.5</v>
      </c>
      <c r="F33" s="132">
        <f t="shared" si="2"/>
        <v>-0.05773153377041463</v>
      </c>
      <c r="G33" s="215">
        <f t="shared" si="3"/>
        <v>0.2730356173881587</v>
      </c>
      <c r="H33" s="123"/>
    </row>
    <row r="34" spans="1:8" ht="15">
      <c r="A34" s="19"/>
      <c r="B34" s="131">
        <f>DATE(2023,5,1)</f>
        <v>45047</v>
      </c>
      <c r="C34" s="204">
        <v>2404726</v>
      </c>
      <c r="D34" s="204">
        <v>625242</v>
      </c>
      <c r="E34" s="204">
        <v>630725</v>
      </c>
      <c r="F34" s="132">
        <f t="shared" si="2"/>
        <v>-0.008693170557691546</v>
      </c>
      <c r="G34" s="215">
        <f t="shared" si="3"/>
        <v>0.26000550582478005</v>
      </c>
      <c r="H34" s="123"/>
    </row>
    <row r="35" spans="1:8" ht="15">
      <c r="A35" s="19"/>
      <c r="B35" s="131">
        <f>DATE(2023,6,1)</f>
        <v>45078</v>
      </c>
      <c r="C35" s="204">
        <v>2475692</v>
      </c>
      <c r="D35" s="204">
        <v>616880</v>
      </c>
      <c r="E35" s="204">
        <v>805229</v>
      </c>
      <c r="F35" s="132">
        <f t="shared" si="2"/>
        <v>-0.23390737293366234</v>
      </c>
      <c r="G35" s="215">
        <f t="shared" si="3"/>
        <v>0.24917477618379022</v>
      </c>
      <c r="H35" s="123"/>
    </row>
    <row r="36" spans="1:8" ht="15" thickBot="1">
      <c r="A36" s="133"/>
      <c r="B36" s="131"/>
      <c r="C36" s="204"/>
      <c r="D36" s="204"/>
      <c r="E36" s="204"/>
      <c r="F36" s="132"/>
      <c r="G36" s="215"/>
      <c r="H36" s="123"/>
    </row>
    <row r="37" spans="1:8" ht="16.5" thickBot="1" thickTop="1">
      <c r="A37" s="135" t="s">
        <v>14</v>
      </c>
      <c r="B37" s="136"/>
      <c r="C37" s="201">
        <f>SUM(C24:C36)</f>
        <v>29555278</v>
      </c>
      <c r="D37" s="201">
        <f>SUM(D24:D36)</f>
        <v>8487547</v>
      </c>
      <c r="E37" s="201">
        <f>SUM(E24:E36)</f>
        <v>8445834.5</v>
      </c>
      <c r="F37" s="137">
        <f>(+D37-E37)/E37</f>
        <v>0.004938825168785867</v>
      </c>
      <c r="G37" s="212">
        <f>D37/C37</f>
        <v>0.2871753397142805</v>
      </c>
      <c r="H37" s="123"/>
    </row>
    <row r="38" spans="1:8" ht="15.75" customHeight="1" thickTop="1">
      <c r="A38" s="255"/>
      <c r="B38" s="139"/>
      <c r="C38" s="205"/>
      <c r="D38" s="205"/>
      <c r="E38" s="205"/>
      <c r="F38" s="140"/>
      <c r="G38" s="219"/>
      <c r="H38" s="123"/>
    </row>
    <row r="39" spans="1:8" ht="15">
      <c r="A39" s="19" t="s">
        <v>62</v>
      </c>
      <c r="B39" s="131">
        <f>DATE(2022,7,1)</f>
        <v>44743</v>
      </c>
      <c r="C39" s="204">
        <v>1113934</v>
      </c>
      <c r="D39" s="204">
        <v>249087.5</v>
      </c>
      <c r="E39" s="204">
        <v>419659</v>
      </c>
      <c r="F39" s="132">
        <f aca="true" t="shared" si="4" ref="F39:F50">(+D39-E39)/E39</f>
        <v>-0.4064526198651762</v>
      </c>
      <c r="G39" s="215">
        <f aca="true" t="shared" si="5" ref="G39:G50">D39/C39</f>
        <v>0.2236106447958317</v>
      </c>
      <c r="H39" s="123"/>
    </row>
    <row r="40" spans="1:8" ht="15">
      <c r="A40" s="19"/>
      <c r="B40" s="131">
        <f>DATE(2022,8,1)</f>
        <v>44774</v>
      </c>
      <c r="C40" s="204">
        <v>982269</v>
      </c>
      <c r="D40" s="204">
        <v>272495.5</v>
      </c>
      <c r="E40" s="204">
        <v>283741.5</v>
      </c>
      <c r="F40" s="132">
        <f t="shared" si="4"/>
        <v>-0.03963466747021497</v>
      </c>
      <c r="G40" s="215">
        <f t="shared" si="5"/>
        <v>0.2774143335481421</v>
      </c>
      <c r="H40" s="123"/>
    </row>
    <row r="41" spans="1:8" ht="15">
      <c r="A41" s="19"/>
      <c r="B41" s="131">
        <f>DATE(2022,9,1)</f>
        <v>44805</v>
      </c>
      <c r="C41" s="204">
        <v>1082836</v>
      </c>
      <c r="D41" s="204">
        <v>310850</v>
      </c>
      <c r="E41" s="204">
        <v>271461</v>
      </c>
      <c r="F41" s="132">
        <f t="shared" si="4"/>
        <v>0.14510003278555667</v>
      </c>
      <c r="G41" s="215">
        <f t="shared" si="5"/>
        <v>0.2870702488650174</v>
      </c>
      <c r="H41" s="123"/>
    </row>
    <row r="42" spans="1:8" ht="15">
      <c r="A42" s="19"/>
      <c r="B42" s="131">
        <f>DATE(2022,10,1)</f>
        <v>44835</v>
      </c>
      <c r="C42" s="204">
        <v>954912</v>
      </c>
      <c r="D42" s="204">
        <v>204149.5</v>
      </c>
      <c r="E42" s="204">
        <v>344180</v>
      </c>
      <c r="F42" s="132">
        <f t="shared" si="4"/>
        <v>-0.4068525190307397</v>
      </c>
      <c r="G42" s="215">
        <f t="shared" si="5"/>
        <v>0.21378880985891893</v>
      </c>
      <c r="H42" s="123"/>
    </row>
    <row r="43" spans="1:8" ht="15">
      <c r="A43" s="19"/>
      <c r="B43" s="131">
        <f>DATE(2022,11,1)</f>
        <v>44866</v>
      </c>
      <c r="C43" s="204">
        <v>1174084</v>
      </c>
      <c r="D43" s="204">
        <v>292609</v>
      </c>
      <c r="E43" s="204">
        <v>349298.5</v>
      </c>
      <c r="F43" s="132">
        <f t="shared" si="4"/>
        <v>-0.1622952861234732</v>
      </c>
      <c r="G43" s="215">
        <f t="shared" si="5"/>
        <v>0.24922322423267843</v>
      </c>
      <c r="H43" s="123"/>
    </row>
    <row r="44" spans="1:8" ht="15">
      <c r="A44" s="19"/>
      <c r="B44" s="131">
        <f>DATE(2022,12,1)</f>
        <v>44896</v>
      </c>
      <c r="C44" s="204">
        <v>1076281</v>
      </c>
      <c r="D44" s="204">
        <v>300188</v>
      </c>
      <c r="E44" s="204">
        <v>335226</v>
      </c>
      <c r="F44" s="132">
        <f t="shared" si="4"/>
        <v>-0.10452053241693664</v>
      </c>
      <c r="G44" s="215">
        <f t="shared" si="5"/>
        <v>0.27891229149264923</v>
      </c>
      <c r="H44" s="123"/>
    </row>
    <row r="45" spans="1:8" ht="15">
      <c r="A45" s="19"/>
      <c r="B45" s="131">
        <f>DATE(2023,1,1)</f>
        <v>44927</v>
      </c>
      <c r="C45" s="204">
        <v>1214793</v>
      </c>
      <c r="D45" s="204">
        <v>379305</v>
      </c>
      <c r="E45" s="204">
        <v>314386</v>
      </c>
      <c r="F45" s="132">
        <f t="shared" si="4"/>
        <v>0.20649456400730312</v>
      </c>
      <c r="G45" s="215">
        <f t="shared" si="5"/>
        <v>0.3122383813538603</v>
      </c>
      <c r="H45" s="123"/>
    </row>
    <row r="46" spans="1:8" ht="15">
      <c r="A46" s="19"/>
      <c r="B46" s="131">
        <f>DATE(2023,2,1)</f>
        <v>44958</v>
      </c>
      <c r="C46" s="204">
        <v>1195972</v>
      </c>
      <c r="D46" s="204">
        <v>255416</v>
      </c>
      <c r="E46" s="204">
        <v>260435</v>
      </c>
      <c r="F46" s="132">
        <f t="shared" si="4"/>
        <v>-0.01927160327912915</v>
      </c>
      <c r="G46" s="215">
        <f t="shared" si="5"/>
        <v>0.21356352824313612</v>
      </c>
      <c r="H46" s="123"/>
    </row>
    <row r="47" spans="1:8" ht="15">
      <c r="A47" s="19"/>
      <c r="B47" s="131">
        <f>DATE(2023,3,1)</f>
        <v>44986</v>
      </c>
      <c r="C47" s="204">
        <v>1375574</v>
      </c>
      <c r="D47" s="204">
        <v>323646</v>
      </c>
      <c r="E47" s="204">
        <v>412336.5</v>
      </c>
      <c r="F47" s="132">
        <f t="shared" si="4"/>
        <v>-0.21509252758366043</v>
      </c>
      <c r="G47" s="215">
        <f t="shared" si="5"/>
        <v>0.23528069009737027</v>
      </c>
      <c r="H47" s="123"/>
    </row>
    <row r="48" spans="1:8" ht="15">
      <c r="A48" s="19"/>
      <c r="B48" s="131">
        <f>DATE(2023,4,1)</f>
        <v>45017</v>
      </c>
      <c r="C48" s="204">
        <v>1298614</v>
      </c>
      <c r="D48" s="204">
        <v>368001.5</v>
      </c>
      <c r="E48" s="204">
        <v>414568.5</v>
      </c>
      <c r="F48" s="132">
        <f t="shared" si="4"/>
        <v>-0.11232643097582184</v>
      </c>
      <c r="G48" s="215">
        <f t="shared" si="5"/>
        <v>0.2833802038173006</v>
      </c>
      <c r="H48" s="123"/>
    </row>
    <row r="49" spans="1:8" ht="15">
      <c r="A49" s="19"/>
      <c r="B49" s="131">
        <f>DATE(2023,5,1)</f>
        <v>45047</v>
      </c>
      <c r="C49" s="204">
        <v>1158240</v>
      </c>
      <c r="D49" s="204">
        <v>288532</v>
      </c>
      <c r="E49" s="204">
        <v>334374.5</v>
      </c>
      <c r="F49" s="132">
        <f t="shared" si="4"/>
        <v>-0.1370992704288156</v>
      </c>
      <c r="G49" s="215">
        <f t="shared" si="5"/>
        <v>0.24911244647050698</v>
      </c>
      <c r="H49" s="123"/>
    </row>
    <row r="50" spans="1:8" ht="15">
      <c r="A50" s="19"/>
      <c r="B50" s="131">
        <f>DATE(2023,6,1)</f>
        <v>45078</v>
      </c>
      <c r="C50" s="204">
        <v>995734</v>
      </c>
      <c r="D50" s="204">
        <v>203736.5</v>
      </c>
      <c r="E50" s="204">
        <v>334858</v>
      </c>
      <c r="F50" s="132">
        <f t="shared" si="4"/>
        <v>-0.39157344307139147</v>
      </c>
      <c r="G50" s="215">
        <f t="shared" si="5"/>
        <v>0.20460936354488246</v>
      </c>
      <c r="H50" s="123"/>
    </row>
    <row r="51" spans="1:8" ht="15" thickBot="1">
      <c r="A51" s="133"/>
      <c r="B51" s="131"/>
      <c r="C51" s="204"/>
      <c r="D51" s="204"/>
      <c r="E51" s="204"/>
      <c r="F51" s="132"/>
      <c r="G51" s="215"/>
      <c r="H51" s="123"/>
    </row>
    <row r="52" spans="1:8" ht="16.5" thickBot="1" thickTop="1">
      <c r="A52" s="141" t="s">
        <v>14</v>
      </c>
      <c r="B52" s="142"/>
      <c r="C52" s="206">
        <f>SUM(C39:C51)</f>
        <v>13623243</v>
      </c>
      <c r="D52" s="206">
        <f>SUM(D39:D51)</f>
        <v>3448016.5</v>
      </c>
      <c r="E52" s="206">
        <f>SUM(E39:E51)</f>
        <v>4074524.5</v>
      </c>
      <c r="F52" s="143">
        <f>(+D52-E52)/E52</f>
        <v>-0.1537622365505472</v>
      </c>
      <c r="G52" s="217">
        <f>D52/C52</f>
        <v>0.2530980692335885</v>
      </c>
      <c r="H52" s="123"/>
    </row>
    <row r="53" spans="1:8" ht="15" thickTop="1">
      <c r="A53" s="133"/>
      <c r="B53" s="134"/>
      <c r="C53" s="204"/>
      <c r="D53" s="204"/>
      <c r="E53" s="204"/>
      <c r="F53" s="132"/>
      <c r="G53" s="218"/>
      <c r="H53" s="123"/>
    </row>
    <row r="54" spans="1:8" ht="15">
      <c r="A54" s="177" t="s">
        <v>58</v>
      </c>
      <c r="B54" s="131">
        <f>DATE(2022,7,1)</f>
        <v>44743</v>
      </c>
      <c r="C54" s="204">
        <v>14706873</v>
      </c>
      <c r="D54" s="204">
        <v>3390213</v>
      </c>
      <c r="E54" s="204">
        <v>2503983</v>
      </c>
      <c r="F54" s="132">
        <f aca="true" t="shared" si="6" ref="F54:F65">(+D54-E54)/E54</f>
        <v>0.3539281217164813</v>
      </c>
      <c r="G54" s="215">
        <f aca="true" t="shared" si="7" ref="G54:G65">D54/C54</f>
        <v>0.23051895532109376</v>
      </c>
      <c r="H54" s="123"/>
    </row>
    <row r="55" spans="1:8" ht="15">
      <c r="A55" s="177"/>
      <c r="B55" s="131">
        <f>DATE(2022,8,1)</f>
        <v>44774</v>
      </c>
      <c r="C55" s="204">
        <v>13496707</v>
      </c>
      <c r="D55" s="204">
        <v>2096973.67</v>
      </c>
      <c r="E55" s="204">
        <v>2387806</v>
      </c>
      <c r="F55" s="132">
        <f t="shared" si="6"/>
        <v>-0.12179897780640474</v>
      </c>
      <c r="G55" s="215">
        <f t="shared" si="7"/>
        <v>0.15536928155882765</v>
      </c>
      <c r="H55" s="123"/>
    </row>
    <row r="56" spans="1:8" ht="15">
      <c r="A56" s="177"/>
      <c r="B56" s="131">
        <f>DATE(2022,9,1)</f>
        <v>44805</v>
      </c>
      <c r="C56" s="204">
        <v>14000972</v>
      </c>
      <c r="D56" s="204">
        <v>3937084.53</v>
      </c>
      <c r="E56" s="204">
        <v>2689723.5</v>
      </c>
      <c r="F56" s="132">
        <f t="shared" si="6"/>
        <v>0.463750653180522</v>
      </c>
      <c r="G56" s="215">
        <f t="shared" si="7"/>
        <v>0.281200800201586</v>
      </c>
      <c r="H56" s="123"/>
    </row>
    <row r="57" spans="1:8" ht="15">
      <c r="A57" s="177"/>
      <c r="B57" s="131">
        <f>DATE(2022,10,1)</f>
        <v>44835</v>
      </c>
      <c r="C57" s="204">
        <v>12585717</v>
      </c>
      <c r="D57" s="204">
        <v>2819327.04</v>
      </c>
      <c r="E57" s="204">
        <v>2470116.03</v>
      </c>
      <c r="F57" s="132">
        <f t="shared" si="6"/>
        <v>0.1413743345489727</v>
      </c>
      <c r="G57" s="215">
        <f t="shared" si="7"/>
        <v>0.2240100456732024</v>
      </c>
      <c r="H57" s="123"/>
    </row>
    <row r="58" spans="1:8" ht="15">
      <c r="A58" s="177"/>
      <c r="B58" s="131">
        <f>DATE(2022,11,1)</f>
        <v>44866</v>
      </c>
      <c r="C58" s="204">
        <v>13050666</v>
      </c>
      <c r="D58" s="204">
        <v>2876740.26</v>
      </c>
      <c r="E58" s="204">
        <v>3414579.43</v>
      </c>
      <c r="F58" s="132">
        <f t="shared" si="6"/>
        <v>-0.15751256663547591</v>
      </c>
      <c r="G58" s="215">
        <f t="shared" si="7"/>
        <v>0.22042861720620233</v>
      </c>
      <c r="H58" s="123"/>
    </row>
    <row r="59" spans="1:8" ht="15">
      <c r="A59" s="177"/>
      <c r="B59" s="131">
        <f>DATE(2022,12,1)</f>
        <v>44896</v>
      </c>
      <c r="C59" s="204">
        <v>13836635</v>
      </c>
      <c r="D59" s="204">
        <v>3108188.89</v>
      </c>
      <c r="E59" s="204">
        <v>3251944</v>
      </c>
      <c r="F59" s="132">
        <f t="shared" si="6"/>
        <v>-0.04420589960958733</v>
      </c>
      <c r="G59" s="215">
        <f t="shared" si="7"/>
        <v>0.2246347388653383</v>
      </c>
      <c r="H59" s="123"/>
    </row>
    <row r="60" spans="1:8" ht="15">
      <c r="A60" s="177"/>
      <c r="B60" s="131">
        <f>DATE(2023,1,1)</f>
        <v>44927</v>
      </c>
      <c r="C60" s="204">
        <v>13524974</v>
      </c>
      <c r="D60" s="204">
        <v>2951407.99</v>
      </c>
      <c r="E60" s="204">
        <v>3271232.5</v>
      </c>
      <c r="F60" s="132">
        <f t="shared" si="6"/>
        <v>-0.097768810379574</v>
      </c>
      <c r="G60" s="215">
        <f t="shared" si="7"/>
        <v>0.2182191248574674</v>
      </c>
      <c r="H60" s="123"/>
    </row>
    <row r="61" spans="1:8" ht="15">
      <c r="A61" s="177"/>
      <c r="B61" s="131">
        <f>DATE(2023,2,1)</f>
        <v>44958</v>
      </c>
      <c r="C61" s="204">
        <v>14608585</v>
      </c>
      <c r="D61" s="204">
        <v>2375220.3</v>
      </c>
      <c r="E61" s="204">
        <v>2578515.35</v>
      </c>
      <c r="F61" s="132">
        <f t="shared" si="6"/>
        <v>-0.0788419002430993</v>
      </c>
      <c r="G61" s="215">
        <f t="shared" si="7"/>
        <v>0.1625907163493247</v>
      </c>
      <c r="H61" s="123"/>
    </row>
    <row r="62" spans="1:8" ht="15">
      <c r="A62" s="177"/>
      <c r="B62" s="131">
        <f>DATE(2023,3,1)</f>
        <v>44986</v>
      </c>
      <c r="C62" s="204">
        <v>16407819</v>
      </c>
      <c r="D62" s="204">
        <v>3353751.65</v>
      </c>
      <c r="E62" s="204">
        <v>2838724.85</v>
      </c>
      <c r="F62" s="132">
        <f t="shared" si="6"/>
        <v>0.18142892573755423</v>
      </c>
      <c r="G62" s="215">
        <f t="shared" si="7"/>
        <v>0.20439960058067436</v>
      </c>
      <c r="H62" s="123"/>
    </row>
    <row r="63" spans="1:8" ht="15">
      <c r="A63" s="177"/>
      <c r="B63" s="131">
        <f>DATE(2023,4,1)</f>
        <v>45017</v>
      </c>
      <c r="C63" s="204">
        <v>14985752</v>
      </c>
      <c r="D63" s="204">
        <v>3123735.42</v>
      </c>
      <c r="E63" s="204">
        <v>3049083.5</v>
      </c>
      <c r="F63" s="132">
        <f t="shared" si="6"/>
        <v>0.024483396404198155</v>
      </c>
      <c r="G63" s="215">
        <f t="shared" si="7"/>
        <v>0.20844702488070002</v>
      </c>
      <c r="H63" s="123"/>
    </row>
    <row r="64" spans="1:8" ht="15">
      <c r="A64" s="177"/>
      <c r="B64" s="131">
        <f>DATE(2023,5,1)</f>
        <v>45047</v>
      </c>
      <c r="C64" s="204">
        <v>15263153</v>
      </c>
      <c r="D64" s="204">
        <v>3737478</v>
      </c>
      <c r="E64" s="204">
        <v>2841348.5</v>
      </c>
      <c r="F64" s="132">
        <f t="shared" si="6"/>
        <v>0.3153888021831887</v>
      </c>
      <c r="G64" s="215">
        <f t="shared" si="7"/>
        <v>0.24486932680292203</v>
      </c>
      <c r="H64" s="123"/>
    </row>
    <row r="65" spans="1:8" ht="15">
      <c r="A65" s="177"/>
      <c r="B65" s="131">
        <f>DATE(2023,6,1)</f>
        <v>45078</v>
      </c>
      <c r="C65" s="204">
        <v>15964643</v>
      </c>
      <c r="D65" s="204">
        <v>3092329</v>
      </c>
      <c r="E65" s="204">
        <v>2256064.5</v>
      </c>
      <c r="F65" s="132">
        <f t="shared" si="6"/>
        <v>0.37067402106633035</v>
      </c>
      <c r="G65" s="215">
        <f t="shared" si="7"/>
        <v>0.1936986000877063</v>
      </c>
      <c r="H65" s="123"/>
    </row>
    <row r="66" spans="1:8" ht="15.75" customHeight="1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6">
        <f>SUM(C54:C66)</f>
        <v>172432496</v>
      </c>
      <c r="D67" s="206">
        <f>SUM(D54:D66)</f>
        <v>36862449.74999999</v>
      </c>
      <c r="E67" s="206">
        <f>SUM(E54:E66)</f>
        <v>33553121.160000004</v>
      </c>
      <c r="F67" s="143">
        <f>(+D67-E67)/E67</f>
        <v>0.09862953059476236</v>
      </c>
      <c r="G67" s="217">
        <f>D67/C67</f>
        <v>0.21377901848616743</v>
      </c>
      <c r="H67" s="123"/>
    </row>
    <row r="68" spans="1:8" ht="15.75" customHeight="1" thickTop="1">
      <c r="A68" s="133"/>
      <c r="B68" s="134"/>
      <c r="C68" s="204"/>
      <c r="D68" s="204"/>
      <c r="E68" s="204"/>
      <c r="F68" s="132"/>
      <c r="G68" s="218"/>
      <c r="H68" s="123"/>
    </row>
    <row r="69" spans="1:8" ht="15" customHeight="1">
      <c r="A69" s="130" t="s">
        <v>60</v>
      </c>
      <c r="B69" s="131">
        <f>DATE(2022,7,1)</f>
        <v>44743</v>
      </c>
      <c r="C69" s="204">
        <v>14151945</v>
      </c>
      <c r="D69" s="204">
        <v>3195567.5</v>
      </c>
      <c r="E69" s="204">
        <v>3475895.5</v>
      </c>
      <c r="F69" s="132">
        <f aca="true" t="shared" si="8" ref="F69:F80">(+D69-E69)/E69</f>
        <v>-0.08064914494696403</v>
      </c>
      <c r="G69" s="215">
        <f aca="true" t="shared" si="9" ref="G69:G80">D69/C69</f>
        <v>0.22580412091765478</v>
      </c>
      <c r="H69" s="123"/>
    </row>
    <row r="70" spans="1:8" ht="15" customHeight="1">
      <c r="A70" s="130"/>
      <c r="B70" s="131">
        <f>DATE(2022,8,1)</f>
        <v>44774</v>
      </c>
      <c r="C70" s="204">
        <v>12695452</v>
      </c>
      <c r="D70" s="204">
        <v>3909171</v>
      </c>
      <c r="E70" s="204">
        <v>1742952</v>
      </c>
      <c r="F70" s="132">
        <f t="shared" si="8"/>
        <v>1.2428448976219655</v>
      </c>
      <c r="G70" s="215">
        <f t="shared" si="9"/>
        <v>0.3079190091065682</v>
      </c>
      <c r="H70" s="123"/>
    </row>
    <row r="71" spans="1:8" ht="15" customHeight="1">
      <c r="A71" s="130"/>
      <c r="B71" s="131">
        <f>DATE(2022,9,1)</f>
        <v>44805</v>
      </c>
      <c r="C71" s="204">
        <v>12298202</v>
      </c>
      <c r="D71" s="204">
        <v>3778062.5</v>
      </c>
      <c r="E71" s="204">
        <v>3305560.5</v>
      </c>
      <c r="F71" s="132">
        <f t="shared" si="8"/>
        <v>0.14294156770084832</v>
      </c>
      <c r="G71" s="215">
        <f t="shared" si="9"/>
        <v>0.3072044596437756</v>
      </c>
      <c r="H71" s="123"/>
    </row>
    <row r="72" spans="1:8" ht="15" customHeight="1">
      <c r="A72" s="130"/>
      <c r="B72" s="131">
        <f>DATE(2022,10,1)</f>
        <v>44835</v>
      </c>
      <c r="C72" s="204">
        <v>12569173</v>
      </c>
      <c r="D72" s="204">
        <v>1234436</v>
      </c>
      <c r="E72" s="204">
        <v>3513957.5</v>
      </c>
      <c r="F72" s="132">
        <f t="shared" si="8"/>
        <v>-0.6487049146155012</v>
      </c>
      <c r="G72" s="215">
        <f t="shared" si="9"/>
        <v>0.09821139386020067</v>
      </c>
      <c r="H72" s="123"/>
    </row>
    <row r="73" spans="1:8" ht="15" customHeight="1">
      <c r="A73" s="130"/>
      <c r="B73" s="131">
        <f>DATE(2022,11,1)</f>
        <v>44866</v>
      </c>
      <c r="C73" s="204">
        <v>12421811</v>
      </c>
      <c r="D73" s="204">
        <v>3487549</v>
      </c>
      <c r="E73" s="204">
        <v>3943943</v>
      </c>
      <c r="F73" s="132">
        <f t="shared" si="8"/>
        <v>-0.11572023226502005</v>
      </c>
      <c r="G73" s="215">
        <f t="shared" si="9"/>
        <v>0.28076010816780256</v>
      </c>
      <c r="H73" s="123"/>
    </row>
    <row r="74" spans="1:8" ht="15" customHeight="1">
      <c r="A74" s="130"/>
      <c r="B74" s="131">
        <f>DATE(2022,12,1)</f>
        <v>44896</v>
      </c>
      <c r="C74" s="204">
        <v>11896885</v>
      </c>
      <c r="D74" s="204">
        <v>3689598</v>
      </c>
      <c r="E74" s="204">
        <v>2827634.5</v>
      </c>
      <c r="F74" s="132">
        <f t="shared" si="8"/>
        <v>0.3048355436319652</v>
      </c>
      <c r="G74" s="215">
        <f t="shared" si="9"/>
        <v>0.31013143356433215</v>
      </c>
      <c r="H74" s="123"/>
    </row>
    <row r="75" spans="1:8" ht="15" customHeight="1">
      <c r="A75" s="130"/>
      <c r="B75" s="131">
        <f>DATE(2023,1,1)</f>
        <v>44927</v>
      </c>
      <c r="C75" s="204">
        <v>12167419.75</v>
      </c>
      <c r="D75" s="204">
        <v>3432704.75</v>
      </c>
      <c r="E75" s="204">
        <v>3537082.5</v>
      </c>
      <c r="F75" s="132">
        <f t="shared" si="8"/>
        <v>-0.029509560492298383</v>
      </c>
      <c r="G75" s="215">
        <f t="shared" si="9"/>
        <v>0.2821226538190235</v>
      </c>
      <c r="H75" s="123"/>
    </row>
    <row r="76" spans="1:8" ht="15" customHeight="1">
      <c r="A76" s="130"/>
      <c r="B76" s="131">
        <f>DATE(2023,2,1)</f>
        <v>44958</v>
      </c>
      <c r="C76" s="204">
        <v>10601608</v>
      </c>
      <c r="D76" s="204">
        <v>3123761.5</v>
      </c>
      <c r="E76" s="204">
        <v>1988046.25</v>
      </c>
      <c r="F76" s="132">
        <f t="shared" si="8"/>
        <v>0.5712720466136036</v>
      </c>
      <c r="G76" s="215">
        <f t="shared" si="9"/>
        <v>0.2946497833158894</v>
      </c>
      <c r="H76" s="123"/>
    </row>
    <row r="77" spans="1:8" ht="15" customHeight="1">
      <c r="A77" s="130"/>
      <c r="B77" s="131">
        <f>DATE(2023,3,1)</f>
        <v>44986</v>
      </c>
      <c r="C77" s="204">
        <v>12873061</v>
      </c>
      <c r="D77" s="204">
        <v>3779533.5</v>
      </c>
      <c r="E77" s="204">
        <v>4616996.5</v>
      </c>
      <c r="F77" s="132">
        <f t="shared" si="8"/>
        <v>-0.18138696877937854</v>
      </c>
      <c r="G77" s="215">
        <f t="shared" si="9"/>
        <v>0.29360021676274195</v>
      </c>
      <c r="H77" s="123"/>
    </row>
    <row r="78" spans="1:8" ht="15" customHeight="1">
      <c r="A78" s="130"/>
      <c r="B78" s="131">
        <f>DATE(2023,4,1)</f>
        <v>45017</v>
      </c>
      <c r="C78" s="204">
        <v>11869521.5</v>
      </c>
      <c r="D78" s="204">
        <v>2915753.5</v>
      </c>
      <c r="E78" s="204">
        <v>3305603</v>
      </c>
      <c r="F78" s="132">
        <f t="shared" si="8"/>
        <v>-0.1179359711374899</v>
      </c>
      <c r="G78" s="215">
        <f t="shared" si="9"/>
        <v>0.24565046703862495</v>
      </c>
      <c r="H78" s="123"/>
    </row>
    <row r="79" spans="1:8" ht="15" customHeight="1">
      <c r="A79" s="130"/>
      <c r="B79" s="131">
        <f>DATE(2023,5,1)</f>
        <v>45047</v>
      </c>
      <c r="C79" s="204">
        <v>13364776</v>
      </c>
      <c r="D79" s="204">
        <v>3470947.5</v>
      </c>
      <c r="E79" s="204">
        <v>3165930</v>
      </c>
      <c r="F79" s="132">
        <f t="shared" si="8"/>
        <v>0.09634372838312913</v>
      </c>
      <c r="G79" s="215">
        <f t="shared" si="9"/>
        <v>0.25970861763788633</v>
      </c>
      <c r="H79" s="123"/>
    </row>
    <row r="80" spans="1:8" ht="15" customHeight="1">
      <c r="A80" s="130"/>
      <c r="B80" s="131">
        <f>DATE(2023,6,1)</f>
        <v>45078</v>
      </c>
      <c r="C80" s="204">
        <v>11700554</v>
      </c>
      <c r="D80" s="204">
        <v>2957620</v>
      </c>
      <c r="E80" s="204">
        <v>4006805</v>
      </c>
      <c r="F80" s="132">
        <f t="shared" si="8"/>
        <v>-0.2618507763667061</v>
      </c>
      <c r="G80" s="215">
        <f t="shared" si="9"/>
        <v>0.2527760651333262</v>
      </c>
      <c r="H80" s="123"/>
    </row>
    <row r="81" spans="1:8" ht="15" thickBot="1">
      <c r="A81" s="133"/>
      <c r="B81" s="131"/>
      <c r="C81" s="204"/>
      <c r="D81" s="204"/>
      <c r="E81" s="204"/>
      <c r="F81" s="132"/>
      <c r="G81" s="215"/>
      <c r="H81" s="123"/>
    </row>
    <row r="82" spans="1:8" ht="17.25" customHeight="1" thickBot="1" thickTop="1">
      <c r="A82" s="141" t="s">
        <v>14</v>
      </c>
      <c r="B82" s="142"/>
      <c r="C82" s="207">
        <f>SUM(C69:C81)</f>
        <v>148610408.25</v>
      </c>
      <c r="D82" s="261">
        <f>SUM(D69:D81)</f>
        <v>38974704.75</v>
      </c>
      <c r="E82" s="206">
        <f>SUM(E69:E81)</f>
        <v>39430406.25</v>
      </c>
      <c r="F82" s="268">
        <f>(+D82-E82)/E82</f>
        <v>-0.011557108925297974</v>
      </c>
      <c r="G82" s="267">
        <f>D82/C82</f>
        <v>0.2622609358856936</v>
      </c>
      <c r="H82" s="123"/>
    </row>
    <row r="83" spans="1:8" ht="15.75" customHeight="1" thickTop="1">
      <c r="A83" s="130"/>
      <c r="B83" s="134"/>
      <c r="C83" s="204"/>
      <c r="D83" s="204"/>
      <c r="E83" s="204"/>
      <c r="F83" s="132"/>
      <c r="G83" s="218"/>
      <c r="H83" s="123"/>
    </row>
    <row r="84" spans="1:8" ht="15">
      <c r="A84" s="130" t="s">
        <v>64</v>
      </c>
      <c r="B84" s="131">
        <f>DATE(2022,7,1)</f>
        <v>44743</v>
      </c>
      <c r="C84" s="204">
        <v>3016522</v>
      </c>
      <c r="D84" s="204">
        <v>700930</v>
      </c>
      <c r="E84" s="204">
        <v>729030</v>
      </c>
      <c r="F84" s="132">
        <f aca="true" t="shared" si="10" ref="F84:F95">(+D84-E84)/E84</f>
        <v>-0.03854436717281868</v>
      </c>
      <c r="G84" s="215">
        <f aca="true" t="shared" si="11" ref="G84:G95">D84/C84</f>
        <v>0.2323636293718395</v>
      </c>
      <c r="H84" s="123"/>
    </row>
    <row r="85" spans="1:8" ht="15">
      <c r="A85" s="130"/>
      <c r="B85" s="131">
        <f>DATE(2022,8,1)</f>
        <v>44774</v>
      </c>
      <c r="C85" s="204">
        <v>2699781</v>
      </c>
      <c r="D85" s="204">
        <v>630145.5</v>
      </c>
      <c r="E85" s="204">
        <v>844084.5</v>
      </c>
      <c r="F85" s="132">
        <f t="shared" si="10"/>
        <v>-0.25345685177254174</v>
      </c>
      <c r="G85" s="215">
        <f t="shared" si="11"/>
        <v>0.23340615405471776</v>
      </c>
      <c r="H85" s="123"/>
    </row>
    <row r="86" spans="1:8" ht="15">
      <c r="A86" s="130"/>
      <c r="B86" s="131">
        <f>DATE(2022,9,1)</f>
        <v>44805</v>
      </c>
      <c r="C86" s="204">
        <v>2497205</v>
      </c>
      <c r="D86" s="204">
        <v>538940</v>
      </c>
      <c r="E86" s="204">
        <v>707619</v>
      </c>
      <c r="F86" s="132">
        <f t="shared" si="10"/>
        <v>-0.23837545345729835</v>
      </c>
      <c r="G86" s="215">
        <f t="shared" si="11"/>
        <v>0.21581728372320255</v>
      </c>
      <c r="H86" s="123"/>
    </row>
    <row r="87" spans="1:8" ht="15">
      <c r="A87" s="130"/>
      <c r="B87" s="131">
        <f>DATE(2022,10,1)</f>
        <v>44835</v>
      </c>
      <c r="C87" s="204">
        <v>2946833</v>
      </c>
      <c r="D87" s="204">
        <v>664586</v>
      </c>
      <c r="E87" s="204">
        <v>435392</v>
      </c>
      <c r="F87" s="132">
        <f t="shared" si="10"/>
        <v>0.5264083860061738</v>
      </c>
      <c r="G87" s="215">
        <f t="shared" si="11"/>
        <v>0.22552550483858433</v>
      </c>
      <c r="H87" s="123"/>
    </row>
    <row r="88" spans="1:8" ht="15">
      <c r="A88" s="130"/>
      <c r="B88" s="131">
        <f>DATE(2022,11,1)</f>
        <v>44866</v>
      </c>
      <c r="C88" s="204">
        <v>2417115</v>
      </c>
      <c r="D88" s="204">
        <v>644592.5</v>
      </c>
      <c r="E88" s="204">
        <v>706210</v>
      </c>
      <c r="F88" s="132">
        <f t="shared" si="10"/>
        <v>-0.08725095934637006</v>
      </c>
      <c r="G88" s="215">
        <f t="shared" si="11"/>
        <v>0.2666784575826967</v>
      </c>
      <c r="H88" s="123"/>
    </row>
    <row r="89" spans="1:8" ht="15">
      <c r="A89" s="130"/>
      <c r="B89" s="131">
        <f>DATE(2022,12,1)</f>
        <v>44896</v>
      </c>
      <c r="C89" s="204">
        <v>2832616</v>
      </c>
      <c r="D89" s="204">
        <v>621789.5</v>
      </c>
      <c r="E89" s="204">
        <v>737876.5</v>
      </c>
      <c r="F89" s="132">
        <f t="shared" si="10"/>
        <v>-0.15732578554812357</v>
      </c>
      <c r="G89" s="215">
        <f t="shared" si="11"/>
        <v>0.219510692589465</v>
      </c>
      <c r="H89" s="123"/>
    </row>
    <row r="90" spans="1:8" ht="15">
      <c r="A90" s="130"/>
      <c r="B90" s="131">
        <f>DATE(2023,1,1)</f>
        <v>44927</v>
      </c>
      <c r="C90" s="204">
        <v>2596608</v>
      </c>
      <c r="D90" s="204">
        <v>561543</v>
      </c>
      <c r="E90" s="204">
        <v>670212</v>
      </c>
      <c r="F90" s="132">
        <f t="shared" si="10"/>
        <v>-0.1621412329233138</v>
      </c>
      <c r="G90" s="215">
        <f t="shared" si="11"/>
        <v>0.21626021332446022</v>
      </c>
      <c r="H90" s="123"/>
    </row>
    <row r="91" spans="1:8" ht="15">
      <c r="A91" s="130"/>
      <c r="B91" s="131">
        <f>DATE(2023,2,1)</f>
        <v>44958</v>
      </c>
      <c r="C91" s="204">
        <v>2565563</v>
      </c>
      <c r="D91" s="204">
        <v>653096</v>
      </c>
      <c r="E91" s="204">
        <v>521651.5</v>
      </c>
      <c r="F91" s="132">
        <f t="shared" si="10"/>
        <v>0.25197761340665176</v>
      </c>
      <c r="G91" s="215">
        <f t="shared" si="11"/>
        <v>0.2545624488659994</v>
      </c>
      <c r="H91" s="123"/>
    </row>
    <row r="92" spans="1:8" ht="15">
      <c r="A92" s="130"/>
      <c r="B92" s="131">
        <f>DATE(2023,3,1)</f>
        <v>44986</v>
      </c>
      <c r="C92" s="204">
        <v>2833877</v>
      </c>
      <c r="D92" s="204">
        <v>665245.5</v>
      </c>
      <c r="E92" s="204">
        <v>982292</v>
      </c>
      <c r="F92" s="132">
        <f t="shared" si="10"/>
        <v>-0.3227619689460975</v>
      </c>
      <c r="G92" s="215">
        <f t="shared" si="11"/>
        <v>0.23474748551189767</v>
      </c>
      <c r="H92" s="123"/>
    </row>
    <row r="93" spans="1:8" ht="15">
      <c r="A93" s="130"/>
      <c r="B93" s="131">
        <f>DATE(2023,4,1)</f>
        <v>45017</v>
      </c>
      <c r="C93" s="204">
        <v>2625256</v>
      </c>
      <c r="D93" s="204">
        <v>455284</v>
      </c>
      <c r="E93" s="204">
        <v>794810.5</v>
      </c>
      <c r="F93" s="132">
        <f t="shared" si="10"/>
        <v>-0.42717918296247975</v>
      </c>
      <c r="G93" s="215">
        <f t="shared" si="11"/>
        <v>0.17342461078081528</v>
      </c>
      <c r="H93" s="123"/>
    </row>
    <row r="94" spans="1:8" ht="15">
      <c r="A94" s="130"/>
      <c r="B94" s="131">
        <f>DATE(2023,5,1)</f>
        <v>45047</v>
      </c>
      <c r="C94" s="204">
        <v>2653249</v>
      </c>
      <c r="D94" s="204">
        <v>694793.5</v>
      </c>
      <c r="E94" s="204">
        <v>711360.5</v>
      </c>
      <c r="F94" s="132">
        <f t="shared" si="10"/>
        <v>-0.023289176163140912</v>
      </c>
      <c r="G94" s="215">
        <f t="shared" si="11"/>
        <v>0.2618651698351719</v>
      </c>
      <c r="H94" s="123"/>
    </row>
    <row r="95" spans="1:8" ht="15">
      <c r="A95" s="130"/>
      <c r="B95" s="131">
        <f>DATE(2023,6,1)</f>
        <v>45078</v>
      </c>
      <c r="C95" s="204">
        <v>2770950.5</v>
      </c>
      <c r="D95" s="204">
        <v>568688.5</v>
      </c>
      <c r="E95" s="204">
        <v>804629.5</v>
      </c>
      <c r="F95" s="132">
        <f t="shared" si="10"/>
        <v>-0.29322936829932283</v>
      </c>
      <c r="G95" s="215">
        <f t="shared" si="11"/>
        <v>0.2052322840122911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6.5" thickBot="1" thickTop="1">
      <c r="A97" s="141" t="s">
        <v>14</v>
      </c>
      <c r="B97" s="142"/>
      <c r="C97" s="207">
        <f>SUM(C84:C96)</f>
        <v>32455575.5</v>
      </c>
      <c r="D97" s="261">
        <f>SUM(D84:D96)</f>
        <v>7399634</v>
      </c>
      <c r="E97" s="207">
        <f>SUM(E84:E96)</f>
        <v>8645168</v>
      </c>
      <c r="F97" s="268">
        <f>(+D97-E97)/E97</f>
        <v>-0.14407285086883218</v>
      </c>
      <c r="G97" s="267">
        <f>D97/C97</f>
        <v>0.22799269111712409</v>
      </c>
      <c r="H97" s="123"/>
    </row>
    <row r="98" spans="1:8" ht="15.75" customHeight="1" thickTop="1">
      <c r="A98" s="130"/>
      <c r="B98" s="134"/>
      <c r="C98" s="204"/>
      <c r="D98" s="204"/>
      <c r="E98" s="204"/>
      <c r="F98" s="132"/>
      <c r="G98" s="218"/>
      <c r="H98" s="123"/>
    </row>
    <row r="99" spans="1:8" ht="15">
      <c r="A99" s="130" t="s">
        <v>67</v>
      </c>
      <c r="B99" s="131">
        <f>DATE(2022,7,1)</f>
        <v>44743</v>
      </c>
      <c r="C99" s="204">
        <v>6177101</v>
      </c>
      <c r="D99" s="204">
        <v>951854</v>
      </c>
      <c r="E99" s="204">
        <v>1067021</v>
      </c>
      <c r="F99" s="132">
        <f aca="true" t="shared" si="12" ref="F99:F110">(+D99-E99)/E99</f>
        <v>-0.10793320843732222</v>
      </c>
      <c r="G99" s="215">
        <f aca="true" t="shared" si="13" ref="G99:G110">D99/C99</f>
        <v>0.15409396738049128</v>
      </c>
      <c r="H99" s="123"/>
    </row>
    <row r="100" spans="1:8" ht="15">
      <c r="A100" s="130"/>
      <c r="B100" s="131">
        <f>DATE(2022,8,1)</f>
        <v>44774</v>
      </c>
      <c r="C100" s="204">
        <v>6063193</v>
      </c>
      <c r="D100" s="204">
        <v>1029739</v>
      </c>
      <c r="E100" s="204">
        <v>666603.5</v>
      </c>
      <c r="F100" s="132">
        <f t="shared" si="12"/>
        <v>0.5447548655235084</v>
      </c>
      <c r="G100" s="215">
        <f t="shared" si="13"/>
        <v>0.169834442017597</v>
      </c>
      <c r="H100" s="123"/>
    </row>
    <row r="101" spans="1:8" ht="15">
      <c r="A101" s="130"/>
      <c r="B101" s="131">
        <f>DATE(2022,9,1)</f>
        <v>44805</v>
      </c>
      <c r="C101" s="204">
        <v>6587163</v>
      </c>
      <c r="D101" s="204">
        <v>389281</v>
      </c>
      <c r="E101" s="204">
        <v>1135711.5</v>
      </c>
      <c r="F101" s="132">
        <f t="shared" si="12"/>
        <v>-0.657236014604061</v>
      </c>
      <c r="G101" s="215">
        <f t="shared" si="13"/>
        <v>0.05909691319313033</v>
      </c>
      <c r="H101" s="123"/>
    </row>
    <row r="102" spans="1:8" ht="15">
      <c r="A102" s="130"/>
      <c r="B102" s="131">
        <f>DATE(2022,10,1)</f>
        <v>44835</v>
      </c>
      <c r="C102" s="204">
        <v>6082166</v>
      </c>
      <c r="D102" s="204">
        <v>1134882.5</v>
      </c>
      <c r="E102" s="204">
        <v>1168170.5</v>
      </c>
      <c r="F102" s="132">
        <f t="shared" si="12"/>
        <v>-0.028495840290437054</v>
      </c>
      <c r="G102" s="215">
        <f t="shared" si="13"/>
        <v>0.18659183258069575</v>
      </c>
      <c r="H102" s="123"/>
    </row>
    <row r="103" spans="1:8" ht="15">
      <c r="A103" s="130"/>
      <c r="B103" s="131">
        <f>DATE(2022,11,1)</f>
        <v>44866</v>
      </c>
      <c r="C103" s="204">
        <v>5974545</v>
      </c>
      <c r="D103" s="204">
        <v>1197761</v>
      </c>
      <c r="E103" s="204">
        <v>1079072</v>
      </c>
      <c r="F103" s="132">
        <f t="shared" si="12"/>
        <v>0.10999173363779248</v>
      </c>
      <c r="G103" s="215">
        <f t="shared" si="13"/>
        <v>0.20047735852688364</v>
      </c>
      <c r="H103" s="123"/>
    </row>
    <row r="104" spans="1:8" ht="15">
      <c r="A104" s="130"/>
      <c r="B104" s="131">
        <f>DATE(2022,12,1)</f>
        <v>44896</v>
      </c>
      <c r="C104" s="204">
        <v>5430834</v>
      </c>
      <c r="D104" s="204">
        <v>867923</v>
      </c>
      <c r="E104" s="204">
        <v>924398</v>
      </c>
      <c r="F104" s="132">
        <f t="shared" si="12"/>
        <v>-0.06109381456904926</v>
      </c>
      <c r="G104" s="215">
        <f t="shared" si="13"/>
        <v>0.1598139438620293</v>
      </c>
      <c r="H104" s="123"/>
    </row>
    <row r="105" spans="1:8" ht="15">
      <c r="A105" s="130"/>
      <c r="B105" s="131">
        <f>DATE(2023,1,1)</f>
        <v>44927</v>
      </c>
      <c r="C105" s="204">
        <v>6222780</v>
      </c>
      <c r="D105" s="204">
        <v>1084536.5</v>
      </c>
      <c r="E105" s="204">
        <v>1117761</v>
      </c>
      <c r="F105" s="132">
        <f t="shared" si="12"/>
        <v>-0.02972415391125652</v>
      </c>
      <c r="G105" s="215">
        <f t="shared" si="13"/>
        <v>0.1742848855334754</v>
      </c>
      <c r="H105" s="123"/>
    </row>
    <row r="106" spans="1:8" ht="15">
      <c r="A106" s="130"/>
      <c r="B106" s="131">
        <f>DATE(2023,2,1)</f>
        <v>44958</v>
      </c>
      <c r="C106" s="204">
        <v>5787383</v>
      </c>
      <c r="D106" s="204">
        <v>924380.5</v>
      </c>
      <c r="E106" s="204">
        <v>933678</v>
      </c>
      <c r="F106" s="132">
        <f t="shared" si="12"/>
        <v>-0.009957929821630155</v>
      </c>
      <c r="G106" s="215">
        <f t="shared" si="13"/>
        <v>0.15972340175170713</v>
      </c>
      <c r="H106" s="123"/>
    </row>
    <row r="107" spans="1:8" ht="15">
      <c r="A107" s="130"/>
      <c r="B107" s="131">
        <f>DATE(2023,3,1)</f>
        <v>44986</v>
      </c>
      <c r="C107" s="204">
        <v>6706007</v>
      </c>
      <c r="D107" s="204">
        <v>1007842.5</v>
      </c>
      <c r="E107" s="204">
        <v>957431</v>
      </c>
      <c r="F107" s="132">
        <f t="shared" si="12"/>
        <v>0.05265288046867085</v>
      </c>
      <c r="G107" s="215">
        <f t="shared" si="13"/>
        <v>0.15028950909237046</v>
      </c>
      <c r="H107" s="123"/>
    </row>
    <row r="108" spans="1:8" ht="15">
      <c r="A108" s="130"/>
      <c r="B108" s="131">
        <f>DATE(2023,4,1)</f>
        <v>45017</v>
      </c>
      <c r="C108" s="204">
        <v>7597204</v>
      </c>
      <c r="D108" s="204">
        <v>1326409</v>
      </c>
      <c r="E108" s="204">
        <v>1196941.5</v>
      </c>
      <c r="F108" s="132">
        <f t="shared" si="12"/>
        <v>0.10816526956413493</v>
      </c>
      <c r="G108" s="215">
        <f t="shared" si="13"/>
        <v>0.1745917313790705</v>
      </c>
      <c r="H108" s="123"/>
    </row>
    <row r="109" spans="1:8" ht="15">
      <c r="A109" s="130"/>
      <c r="B109" s="131">
        <f>DATE(2023,5,1)</f>
        <v>45047</v>
      </c>
      <c r="C109" s="204">
        <v>8108546</v>
      </c>
      <c r="D109" s="204">
        <v>1152481.5</v>
      </c>
      <c r="E109" s="204">
        <v>846905</v>
      </c>
      <c r="F109" s="132">
        <f t="shared" si="12"/>
        <v>0.36081555782525787</v>
      </c>
      <c r="G109" s="215">
        <f t="shared" si="13"/>
        <v>0.1421317089401725</v>
      </c>
      <c r="H109" s="123"/>
    </row>
    <row r="110" spans="1:8" ht="15">
      <c r="A110" s="130"/>
      <c r="B110" s="131">
        <f>DATE(2023,6,1)</f>
        <v>45078</v>
      </c>
      <c r="C110" s="204">
        <v>8615051</v>
      </c>
      <c r="D110" s="204">
        <v>1443307.5</v>
      </c>
      <c r="E110" s="204">
        <v>489356</v>
      </c>
      <c r="F110" s="132">
        <f t="shared" si="12"/>
        <v>1.9494018669434932</v>
      </c>
      <c r="G110" s="215">
        <f t="shared" si="13"/>
        <v>0.16753325081882858</v>
      </c>
      <c r="H110" s="123"/>
    </row>
    <row r="111" spans="1:8" ht="15.75" customHeight="1" thickBot="1">
      <c r="A111" s="130"/>
      <c r="B111" s="131"/>
      <c r="C111" s="204"/>
      <c r="D111" s="204"/>
      <c r="E111" s="204"/>
      <c r="F111" s="132"/>
      <c r="G111" s="215"/>
      <c r="H111" s="123"/>
    </row>
    <row r="112" spans="1:8" ht="16.5" thickBot="1" thickTop="1">
      <c r="A112" s="141" t="s">
        <v>14</v>
      </c>
      <c r="B112" s="142"/>
      <c r="C112" s="207">
        <f>SUM(C99:C111)</f>
        <v>79351973</v>
      </c>
      <c r="D112" s="261">
        <f>SUM(D99:D111)</f>
        <v>12510398</v>
      </c>
      <c r="E112" s="207">
        <f>SUM(E99:E111)</f>
        <v>11583049</v>
      </c>
      <c r="F112" s="269">
        <f>(+D112-E112)/E112</f>
        <v>0.08006087171003075</v>
      </c>
      <c r="G112" s="267">
        <f>D112/C112</f>
        <v>0.15765705031682073</v>
      </c>
      <c r="H112" s="123"/>
    </row>
    <row r="113" spans="1:8" ht="15.75" customHeight="1" thickTop="1">
      <c r="A113" s="130"/>
      <c r="B113" s="139"/>
      <c r="C113" s="205"/>
      <c r="D113" s="205"/>
      <c r="E113" s="205"/>
      <c r="F113" s="140"/>
      <c r="G113" s="216"/>
      <c r="H113" s="123"/>
    </row>
    <row r="114" spans="1:8" ht="15">
      <c r="A114" s="130" t="s">
        <v>69</v>
      </c>
      <c r="B114" s="131">
        <f>DATE(2022,7,1)</f>
        <v>44743</v>
      </c>
      <c r="C114" s="204">
        <v>5606930</v>
      </c>
      <c r="D114" s="204">
        <v>1405783</v>
      </c>
      <c r="E114" s="204">
        <v>1287648</v>
      </c>
      <c r="F114" s="132">
        <f aca="true" t="shared" si="14" ref="F114:F125">(+D114-E114)/E114</f>
        <v>0.09174479360819106</v>
      </c>
      <c r="G114" s="215">
        <f aca="true" t="shared" si="15" ref="G114:G125">D114/C114</f>
        <v>0.2507224095895615</v>
      </c>
      <c r="H114" s="123"/>
    </row>
    <row r="115" spans="1:8" ht="15">
      <c r="A115" s="130"/>
      <c r="B115" s="131">
        <f>DATE(2022,8,1)</f>
        <v>44774</v>
      </c>
      <c r="C115" s="204">
        <v>5378141</v>
      </c>
      <c r="D115" s="204">
        <v>1387184.42</v>
      </c>
      <c r="E115" s="204">
        <v>1323019.5</v>
      </c>
      <c r="F115" s="132">
        <f t="shared" si="14"/>
        <v>0.04849884676680875</v>
      </c>
      <c r="G115" s="215">
        <f t="shared" si="15"/>
        <v>0.2579300951760097</v>
      </c>
      <c r="H115" s="123"/>
    </row>
    <row r="116" spans="1:8" ht="15">
      <c r="A116" s="130"/>
      <c r="B116" s="131">
        <f>DATE(2022,9,1)</f>
        <v>44805</v>
      </c>
      <c r="C116" s="204">
        <v>5602602</v>
      </c>
      <c r="D116" s="204">
        <v>1318470</v>
      </c>
      <c r="E116" s="204">
        <v>858985.36</v>
      </c>
      <c r="F116" s="132">
        <f t="shared" si="14"/>
        <v>0.5349155659649427</v>
      </c>
      <c r="G116" s="215">
        <f t="shared" si="15"/>
        <v>0.23533172622292284</v>
      </c>
      <c r="H116" s="123"/>
    </row>
    <row r="117" spans="1:8" ht="15">
      <c r="A117" s="130"/>
      <c r="B117" s="131">
        <f>DATE(2022,10,1)</f>
        <v>44835</v>
      </c>
      <c r="C117" s="204">
        <v>5424917</v>
      </c>
      <c r="D117" s="204">
        <v>1379988.01</v>
      </c>
      <c r="E117" s="204">
        <v>980676.58</v>
      </c>
      <c r="F117" s="132">
        <f t="shared" si="14"/>
        <v>0.4071795310947469</v>
      </c>
      <c r="G117" s="215">
        <f t="shared" si="15"/>
        <v>0.25437956193615496</v>
      </c>
      <c r="H117" s="123"/>
    </row>
    <row r="118" spans="1:8" ht="15">
      <c r="A118" s="130"/>
      <c r="B118" s="131">
        <f>DATE(2022,11,1)</f>
        <v>44866</v>
      </c>
      <c r="C118" s="204">
        <v>4989462</v>
      </c>
      <c r="D118" s="204">
        <v>1234881.42</v>
      </c>
      <c r="E118" s="204">
        <v>1337612.57</v>
      </c>
      <c r="F118" s="132">
        <f t="shared" si="14"/>
        <v>-0.07680187245848036</v>
      </c>
      <c r="G118" s="215">
        <f t="shared" si="15"/>
        <v>0.2474979105963729</v>
      </c>
      <c r="H118" s="123"/>
    </row>
    <row r="119" spans="1:8" ht="15">
      <c r="A119" s="130"/>
      <c r="B119" s="131">
        <f>DATE(2022,12,1)</f>
        <v>44896</v>
      </c>
      <c r="C119" s="204">
        <v>5823111</v>
      </c>
      <c r="D119" s="204">
        <v>1290058.78</v>
      </c>
      <c r="E119" s="204">
        <v>927044</v>
      </c>
      <c r="F119" s="132">
        <f t="shared" si="14"/>
        <v>0.39158311795340894</v>
      </c>
      <c r="G119" s="215">
        <f t="shared" si="15"/>
        <v>0.22154116244735847</v>
      </c>
      <c r="H119" s="123"/>
    </row>
    <row r="120" spans="1:8" ht="15">
      <c r="A120" s="130"/>
      <c r="B120" s="131">
        <f>DATE(2023,1,1)</f>
        <v>44927</v>
      </c>
      <c r="C120" s="204">
        <v>5534309</v>
      </c>
      <c r="D120" s="204">
        <v>1422588.36</v>
      </c>
      <c r="E120" s="204">
        <v>922135.79</v>
      </c>
      <c r="F120" s="132">
        <f t="shared" si="14"/>
        <v>0.5427102769755852</v>
      </c>
      <c r="G120" s="215">
        <f t="shared" si="15"/>
        <v>0.25704895769282127</v>
      </c>
      <c r="H120" s="123"/>
    </row>
    <row r="121" spans="1:8" ht="15">
      <c r="A121" s="130"/>
      <c r="B121" s="131">
        <f>DATE(2023,2,1)</f>
        <v>44958</v>
      </c>
      <c r="C121" s="204">
        <v>5528109</v>
      </c>
      <c r="D121" s="204">
        <v>1163658.3</v>
      </c>
      <c r="E121" s="204">
        <v>1013590.48</v>
      </c>
      <c r="F121" s="132">
        <f t="shared" si="14"/>
        <v>0.14805567234609393</v>
      </c>
      <c r="G121" s="215">
        <f t="shared" si="15"/>
        <v>0.21049843626455267</v>
      </c>
      <c r="H121" s="123"/>
    </row>
    <row r="122" spans="1:8" ht="15">
      <c r="A122" s="130"/>
      <c r="B122" s="131">
        <f>DATE(2023,3,1)</f>
        <v>44986</v>
      </c>
      <c r="C122" s="204">
        <v>6985921</v>
      </c>
      <c r="D122" s="204">
        <v>1328707.66</v>
      </c>
      <c r="E122" s="204">
        <v>1404872.12</v>
      </c>
      <c r="F122" s="132">
        <f t="shared" si="14"/>
        <v>-0.05421451455667025</v>
      </c>
      <c r="G122" s="215">
        <f t="shared" si="15"/>
        <v>0.1901979223641378</v>
      </c>
      <c r="H122" s="123"/>
    </row>
    <row r="123" spans="1:8" ht="15">
      <c r="A123" s="130"/>
      <c r="B123" s="131">
        <f>DATE(2023,4,1)</f>
        <v>45017</v>
      </c>
      <c r="C123" s="204">
        <v>6172202</v>
      </c>
      <c r="D123" s="204">
        <v>1720849.86</v>
      </c>
      <c r="E123" s="204">
        <v>1215863</v>
      </c>
      <c r="F123" s="132">
        <f t="shared" si="14"/>
        <v>0.41533203987620326</v>
      </c>
      <c r="G123" s="215">
        <f t="shared" si="15"/>
        <v>0.2788064713371338</v>
      </c>
      <c r="H123" s="123"/>
    </row>
    <row r="124" spans="1:8" ht="15">
      <c r="A124" s="130"/>
      <c r="B124" s="131">
        <f>DATE(2023,5,1)</f>
        <v>45047</v>
      </c>
      <c r="C124" s="204">
        <v>5822721</v>
      </c>
      <c r="D124" s="204">
        <v>1600180.71</v>
      </c>
      <c r="E124" s="204">
        <v>1456938.06</v>
      </c>
      <c r="F124" s="132">
        <f t="shared" si="14"/>
        <v>0.09831759766094648</v>
      </c>
      <c r="G124" s="215">
        <f t="shared" si="15"/>
        <v>0.2748166553059987</v>
      </c>
      <c r="H124" s="123"/>
    </row>
    <row r="125" spans="1:8" ht="15">
      <c r="A125" s="130"/>
      <c r="B125" s="131">
        <f>DATE(2023,6,1)</f>
        <v>45078</v>
      </c>
      <c r="C125" s="204">
        <v>6171196</v>
      </c>
      <c r="D125" s="204">
        <v>1463243.56</v>
      </c>
      <c r="E125" s="204">
        <v>1056443.97</v>
      </c>
      <c r="F125" s="132">
        <f t="shared" si="14"/>
        <v>0.38506499308240655</v>
      </c>
      <c r="G125" s="215">
        <f t="shared" si="15"/>
        <v>0.23710858640691368</v>
      </c>
      <c r="H125" s="123"/>
    </row>
    <row r="126" spans="1:8" ht="15.75" customHeight="1" thickBot="1">
      <c r="A126" s="130"/>
      <c r="B126" s="131"/>
      <c r="C126" s="204"/>
      <c r="D126" s="204"/>
      <c r="E126" s="204"/>
      <c r="F126" s="132"/>
      <c r="G126" s="215"/>
      <c r="H126" s="123"/>
    </row>
    <row r="127" spans="1:8" ht="16.5" thickBot="1" thickTop="1">
      <c r="A127" s="141" t="s">
        <v>14</v>
      </c>
      <c r="B127" s="142"/>
      <c r="C127" s="206">
        <f>SUM(C114:C126)</f>
        <v>69039621</v>
      </c>
      <c r="D127" s="206">
        <f>SUM(D114:D126)</f>
        <v>16715594.08</v>
      </c>
      <c r="E127" s="206">
        <f>SUM(E114:E126)</f>
        <v>13784829.43</v>
      </c>
      <c r="F127" s="143">
        <f>(+D127-E127)/E127</f>
        <v>0.2126079734887224</v>
      </c>
      <c r="G127" s="217">
        <f>D127/C127</f>
        <v>0.2421159594720255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6"/>
      <c r="H128" s="123"/>
    </row>
    <row r="129" spans="1:8" ht="15">
      <c r="A129" s="130" t="s">
        <v>16</v>
      </c>
      <c r="B129" s="131">
        <f>DATE(2022,7,1)</f>
        <v>44743</v>
      </c>
      <c r="C129" s="204">
        <v>10366880</v>
      </c>
      <c r="D129" s="204">
        <v>2289729.5</v>
      </c>
      <c r="E129" s="204">
        <v>1960105</v>
      </c>
      <c r="F129" s="132">
        <f aca="true" t="shared" si="16" ref="F129:F140">(+D129-E129)/E129</f>
        <v>0.16816675637274534</v>
      </c>
      <c r="G129" s="215">
        <f aca="true" t="shared" si="17" ref="G129:G140">D129/C129</f>
        <v>0.22086968306761534</v>
      </c>
      <c r="H129" s="123"/>
    </row>
    <row r="130" spans="1:8" ht="15">
      <c r="A130" s="130"/>
      <c r="B130" s="131">
        <f>DATE(2022,8,1)</f>
        <v>44774</v>
      </c>
      <c r="C130" s="204">
        <v>9734457</v>
      </c>
      <c r="D130" s="204">
        <v>2099615</v>
      </c>
      <c r="E130" s="204">
        <v>2275188.5</v>
      </c>
      <c r="F130" s="132">
        <f t="shared" si="16"/>
        <v>-0.0771687708512943</v>
      </c>
      <c r="G130" s="215">
        <f t="shared" si="17"/>
        <v>0.21568896960559794</v>
      </c>
      <c r="H130" s="123"/>
    </row>
    <row r="131" spans="1:8" ht="15">
      <c r="A131" s="130"/>
      <c r="B131" s="131">
        <f>DATE(2022,9,1)</f>
        <v>44805</v>
      </c>
      <c r="C131" s="204">
        <v>9237427</v>
      </c>
      <c r="D131" s="204">
        <v>1892853.5</v>
      </c>
      <c r="E131" s="204">
        <v>937001</v>
      </c>
      <c r="F131" s="132">
        <f t="shared" si="16"/>
        <v>1.0201189753266005</v>
      </c>
      <c r="G131" s="215">
        <f t="shared" si="17"/>
        <v>0.2049113351585891</v>
      </c>
      <c r="H131" s="123"/>
    </row>
    <row r="132" spans="1:8" ht="15">
      <c r="A132" s="130"/>
      <c r="B132" s="131">
        <f>DATE(2022,10,1)</f>
        <v>44835</v>
      </c>
      <c r="C132" s="204">
        <v>10140690</v>
      </c>
      <c r="D132" s="204">
        <v>1720920</v>
      </c>
      <c r="E132" s="204">
        <v>1775955</v>
      </c>
      <c r="F132" s="132">
        <f t="shared" si="16"/>
        <v>-0.030988960868940936</v>
      </c>
      <c r="G132" s="215">
        <f t="shared" si="17"/>
        <v>0.16970442839688424</v>
      </c>
      <c r="H132" s="123"/>
    </row>
    <row r="133" spans="1:8" ht="15">
      <c r="A133" s="130"/>
      <c r="B133" s="131">
        <f>DATE(2022,11,1)</f>
        <v>44866</v>
      </c>
      <c r="C133" s="204">
        <v>9461662</v>
      </c>
      <c r="D133" s="204">
        <v>1878662</v>
      </c>
      <c r="E133" s="204">
        <v>2248532.5</v>
      </c>
      <c r="F133" s="132">
        <f t="shared" si="16"/>
        <v>-0.16449417564567112</v>
      </c>
      <c r="G133" s="215">
        <f t="shared" si="17"/>
        <v>0.19855517984049736</v>
      </c>
      <c r="H133" s="123"/>
    </row>
    <row r="134" spans="1:8" ht="15">
      <c r="A134" s="130"/>
      <c r="B134" s="131">
        <f>DATE(2022,12,1)</f>
        <v>44896</v>
      </c>
      <c r="C134" s="204">
        <v>9800152.3</v>
      </c>
      <c r="D134" s="204">
        <v>2169033.8</v>
      </c>
      <c r="E134" s="204">
        <v>1877718</v>
      </c>
      <c r="F134" s="132">
        <f t="shared" si="16"/>
        <v>0.15514353060470198</v>
      </c>
      <c r="G134" s="215">
        <f t="shared" si="17"/>
        <v>0.22132653999673044</v>
      </c>
      <c r="H134" s="123"/>
    </row>
    <row r="135" spans="1:8" ht="15">
      <c r="A135" s="130"/>
      <c r="B135" s="131">
        <f>DATE(2023,1,1)</f>
        <v>44927</v>
      </c>
      <c r="C135" s="204">
        <v>9824285.04</v>
      </c>
      <c r="D135" s="204">
        <v>2093677.04</v>
      </c>
      <c r="E135" s="204">
        <v>1684861.5</v>
      </c>
      <c r="F135" s="132">
        <f t="shared" si="16"/>
        <v>0.24264044255269648</v>
      </c>
      <c r="G135" s="215">
        <f t="shared" si="17"/>
        <v>0.2131124078215874</v>
      </c>
      <c r="H135" s="123"/>
    </row>
    <row r="136" spans="1:8" ht="15">
      <c r="A136" s="130"/>
      <c r="B136" s="131">
        <f>DATE(2023,2,1)</f>
        <v>44958</v>
      </c>
      <c r="C136" s="204">
        <v>8427479</v>
      </c>
      <c r="D136" s="204">
        <v>1592170</v>
      </c>
      <c r="E136" s="204">
        <v>1881049</v>
      </c>
      <c r="F136" s="132">
        <f t="shared" si="16"/>
        <v>-0.1535733518903548</v>
      </c>
      <c r="G136" s="215">
        <f t="shared" si="17"/>
        <v>0.18892601215618574</v>
      </c>
      <c r="H136" s="123"/>
    </row>
    <row r="137" spans="1:8" ht="15">
      <c r="A137" s="130"/>
      <c r="B137" s="131">
        <f>DATE(2023,3,1)</f>
        <v>44986</v>
      </c>
      <c r="C137" s="204">
        <v>10673563</v>
      </c>
      <c r="D137" s="204">
        <v>1970288.5</v>
      </c>
      <c r="E137" s="204">
        <v>2361969</v>
      </c>
      <c r="F137" s="132">
        <f t="shared" si="16"/>
        <v>-0.16582795963875901</v>
      </c>
      <c r="G137" s="215">
        <f t="shared" si="17"/>
        <v>0.18459520030939996</v>
      </c>
      <c r="H137" s="123"/>
    </row>
    <row r="138" spans="1:8" ht="15">
      <c r="A138" s="130"/>
      <c r="B138" s="131">
        <f>DATE(2023,4,1)</f>
        <v>45017</v>
      </c>
      <c r="C138" s="204">
        <v>9849015.5</v>
      </c>
      <c r="D138" s="204">
        <v>2451828.5</v>
      </c>
      <c r="E138" s="204">
        <v>1614348</v>
      </c>
      <c r="F138" s="132">
        <f t="shared" si="16"/>
        <v>0.5187732137060906</v>
      </c>
      <c r="G138" s="215">
        <f t="shared" si="17"/>
        <v>0.24894148049619783</v>
      </c>
      <c r="H138" s="123"/>
    </row>
    <row r="139" spans="1:8" ht="15">
      <c r="A139" s="130"/>
      <c r="B139" s="131">
        <f>DATE(2023,5,1)</f>
        <v>45047</v>
      </c>
      <c r="C139" s="204">
        <v>10190636</v>
      </c>
      <c r="D139" s="204">
        <v>2247968.5</v>
      </c>
      <c r="E139" s="204">
        <v>1740049.5</v>
      </c>
      <c r="F139" s="132">
        <f t="shared" si="16"/>
        <v>0.29189916723633436</v>
      </c>
      <c r="G139" s="215">
        <f t="shared" si="17"/>
        <v>0.22059158034886145</v>
      </c>
      <c r="H139" s="123"/>
    </row>
    <row r="140" spans="1:8" ht="15">
      <c r="A140" s="130"/>
      <c r="B140" s="131">
        <f>DATE(2023,6,1)</f>
        <v>45078</v>
      </c>
      <c r="C140" s="204">
        <v>10717095</v>
      </c>
      <c r="D140" s="204">
        <v>2172972.5</v>
      </c>
      <c r="E140" s="204">
        <v>2051468</v>
      </c>
      <c r="F140" s="132">
        <f t="shared" si="16"/>
        <v>0.05922807472502618</v>
      </c>
      <c r="G140" s="215">
        <f t="shared" si="17"/>
        <v>0.20275760362299672</v>
      </c>
      <c r="H140" s="123"/>
    </row>
    <row r="141" spans="1:8" ht="15.75" customHeight="1" thickBot="1">
      <c r="A141" s="130"/>
      <c r="B141" s="131"/>
      <c r="C141" s="204"/>
      <c r="D141" s="204"/>
      <c r="E141" s="204"/>
      <c r="F141" s="132"/>
      <c r="G141" s="215"/>
      <c r="H141" s="123"/>
    </row>
    <row r="142" spans="1:8" ht="16.5" thickBot="1" thickTop="1">
      <c r="A142" s="141" t="s">
        <v>14</v>
      </c>
      <c r="B142" s="142"/>
      <c r="C142" s="206">
        <f>SUM(C129:C141)</f>
        <v>118423341.84</v>
      </c>
      <c r="D142" s="206">
        <f>SUM(D129:D141)</f>
        <v>24579718.84</v>
      </c>
      <c r="E142" s="206">
        <f>SUM(E129:E141)</f>
        <v>22408245</v>
      </c>
      <c r="F142" s="143">
        <f>(+D142-E142)/E142</f>
        <v>0.09690512755461214</v>
      </c>
      <c r="G142" s="217">
        <f>D142/C142</f>
        <v>0.20755805788025547</v>
      </c>
      <c r="H142" s="123"/>
    </row>
    <row r="143" spans="1:8" ht="15.75" customHeight="1" thickTop="1">
      <c r="A143" s="138"/>
      <c r="B143" s="139"/>
      <c r="C143" s="205"/>
      <c r="D143" s="205"/>
      <c r="E143" s="205"/>
      <c r="F143" s="140"/>
      <c r="G143" s="216"/>
      <c r="H143" s="123"/>
    </row>
    <row r="144" spans="1:8" ht="15">
      <c r="A144" s="130" t="s">
        <v>53</v>
      </c>
      <c r="B144" s="131">
        <f>DATE(2022,7,1)</f>
        <v>44743</v>
      </c>
      <c r="C144" s="204">
        <v>14277956</v>
      </c>
      <c r="D144" s="204">
        <v>2740415.54</v>
      </c>
      <c r="E144" s="204">
        <v>2503594.66</v>
      </c>
      <c r="F144" s="132">
        <f aca="true" t="shared" si="18" ref="F144:F155">(+D144-E144)/E144</f>
        <v>0.09459234107808805</v>
      </c>
      <c r="G144" s="215">
        <f aca="true" t="shared" si="19" ref="G144:G155">D144/C144</f>
        <v>0.19193332294902715</v>
      </c>
      <c r="H144" s="123"/>
    </row>
    <row r="145" spans="1:8" ht="15">
      <c r="A145" s="130"/>
      <c r="B145" s="131">
        <f>DATE(2022,8,1)</f>
        <v>44774</v>
      </c>
      <c r="C145" s="204">
        <v>14131755</v>
      </c>
      <c r="D145" s="204">
        <v>2942976.84</v>
      </c>
      <c r="E145" s="204">
        <v>2041955.48</v>
      </c>
      <c r="F145" s="132">
        <f t="shared" si="18"/>
        <v>0.4412541648557391</v>
      </c>
      <c r="G145" s="215">
        <f t="shared" si="19"/>
        <v>0.2082527499238417</v>
      </c>
      <c r="H145" s="123"/>
    </row>
    <row r="146" spans="1:8" ht="15">
      <c r="A146" s="130"/>
      <c r="B146" s="131">
        <f>DATE(2022,9,1)</f>
        <v>44805</v>
      </c>
      <c r="C146" s="204">
        <v>13855244</v>
      </c>
      <c r="D146" s="204">
        <v>2470080.11</v>
      </c>
      <c r="E146" s="204">
        <v>2713567.27</v>
      </c>
      <c r="F146" s="132">
        <f t="shared" si="18"/>
        <v>-0.0897295463030847</v>
      </c>
      <c r="G146" s="215">
        <f t="shared" si="19"/>
        <v>0.1782776333639451</v>
      </c>
      <c r="H146" s="123"/>
    </row>
    <row r="147" spans="1:8" ht="15">
      <c r="A147" s="130"/>
      <c r="B147" s="131">
        <f>DATE(2022,10,1)</f>
        <v>44835</v>
      </c>
      <c r="C147" s="204">
        <v>14256461</v>
      </c>
      <c r="D147" s="204">
        <v>3215532.42</v>
      </c>
      <c r="E147" s="204">
        <v>2659301.47</v>
      </c>
      <c r="F147" s="132">
        <f t="shared" si="18"/>
        <v>0.20916430734722216</v>
      </c>
      <c r="G147" s="215">
        <f t="shared" si="19"/>
        <v>0.22554913312637687</v>
      </c>
      <c r="H147" s="123"/>
    </row>
    <row r="148" spans="1:8" ht="15">
      <c r="A148" s="130"/>
      <c r="B148" s="131">
        <f>DATE(2022,11,1)</f>
        <v>44866</v>
      </c>
      <c r="C148" s="204">
        <v>13386623</v>
      </c>
      <c r="D148" s="204">
        <v>3265973.52</v>
      </c>
      <c r="E148" s="204">
        <v>2735220.29</v>
      </c>
      <c r="F148" s="132">
        <f t="shared" si="18"/>
        <v>0.19404405266385324</v>
      </c>
      <c r="G148" s="215">
        <f t="shared" si="19"/>
        <v>0.24397292132601328</v>
      </c>
      <c r="H148" s="123"/>
    </row>
    <row r="149" spans="1:8" ht="15">
      <c r="A149" s="130"/>
      <c r="B149" s="131">
        <f>DATE(2022,12,1)</f>
        <v>44896</v>
      </c>
      <c r="C149" s="204">
        <v>15242874</v>
      </c>
      <c r="D149" s="204">
        <v>2403855.66</v>
      </c>
      <c r="E149" s="204">
        <v>3180649.5</v>
      </c>
      <c r="F149" s="132">
        <f t="shared" si="18"/>
        <v>-0.24422491066683075</v>
      </c>
      <c r="G149" s="215">
        <f t="shared" si="19"/>
        <v>0.15770357086203035</v>
      </c>
      <c r="H149" s="123"/>
    </row>
    <row r="150" spans="1:8" ht="15">
      <c r="A150" s="130"/>
      <c r="B150" s="131">
        <f>DATE(2023,1,1)</f>
        <v>44927</v>
      </c>
      <c r="C150" s="204">
        <v>13415382</v>
      </c>
      <c r="D150" s="204">
        <v>3153729.45</v>
      </c>
      <c r="E150" s="204">
        <v>2491683.57</v>
      </c>
      <c r="F150" s="132">
        <f t="shared" si="18"/>
        <v>0.26570222959731615</v>
      </c>
      <c r="G150" s="215">
        <f t="shared" si="19"/>
        <v>0.23508308969509778</v>
      </c>
      <c r="H150" s="123"/>
    </row>
    <row r="151" spans="1:8" ht="15">
      <c r="A151" s="130"/>
      <c r="B151" s="131">
        <f>DATE(2023,2,1)</f>
        <v>44958</v>
      </c>
      <c r="C151" s="204">
        <v>12458702</v>
      </c>
      <c r="D151" s="204">
        <v>2846898.89</v>
      </c>
      <c r="E151" s="204">
        <v>2634766.65</v>
      </c>
      <c r="F151" s="132">
        <f t="shared" si="18"/>
        <v>0.08051272396361941</v>
      </c>
      <c r="G151" s="215">
        <f t="shared" si="19"/>
        <v>0.22850686130866604</v>
      </c>
      <c r="H151" s="123"/>
    </row>
    <row r="152" spans="1:8" ht="15">
      <c r="A152" s="130"/>
      <c r="B152" s="131">
        <f>DATE(2023,3,1)</f>
        <v>44986</v>
      </c>
      <c r="C152" s="204">
        <v>14663269</v>
      </c>
      <c r="D152" s="204">
        <v>3199533</v>
      </c>
      <c r="E152" s="204">
        <v>3434413.46</v>
      </c>
      <c r="F152" s="132">
        <f t="shared" si="18"/>
        <v>-0.06839026888742743</v>
      </c>
      <c r="G152" s="215">
        <f t="shared" si="19"/>
        <v>0.2182005254080792</v>
      </c>
      <c r="H152" s="123"/>
    </row>
    <row r="153" spans="1:8" ht="15">
      <c r="A153" s="130"/>
      <c r="B153" s="131">
        <f>DATE(2023,4,1)</f>
        <v>45017</v>
      </c>
      <c r="C153" s="204">
        <v>15071332</v>
      </c>
      <c r="D153" s="204">
        <v>2871825.14</v>
      </c>
      <c r="E153" s="204">
        <v>3588675.89</v>
      </c>
      <c r="F153" s="132">
        <f t="shared" si="18"/>
        <v>-0.19975355032688671</v>
      </c>
      <c r="G153" s="215">
        <f t="shared" si="19"/>
        <v>0.19054886057848106</v>
      </c>
      <c r="H153" s="123"/>
    </row>
    <row r="154" spans="1:8" ht="15">
      <c r="A154" s="130"/>
      <c r="B154" s="131">
        <f>DATE(2023,5,1)</f>
        <v>45047</v>
      </c>
      <c r="C154" s="204">
        <v>14875857</v>
      </c>
      <c r="D154" s="204">
        <v>2573031.38</v>
      </c>
      <c r="E154" s="204">
        <v>3389525.64</v>
      </c>
      <c r="F154" s="132">
        <f t="shared" si="18"/>
        <v>-0.24088747120378773</v>
      </c>
      <c r="G154" s="215">
        <f t="shared" si="19"/>
        <v>0.17296693427477824</v>
      </c>
      <c r="H154" s="123"/>
    </row>
    <row r="155" spans="1:8" ht="15">
      <c r="A155" s="130"/>
      <c r="B155" s="131">
        <f>DATE(2023,6,1)</f>
        <v>45078</v>
      </c>
      <c r="C155" s="204">
        <v>12468272</v>
      </c>
      <c r="D155" s="204">
        <v>2587273.37</v>
      </c>
      <c r="E155" s="204">
        <v>2388089.51</v>
      </c>
      <c r="F155" s="132">
        <f t="shared" si="18"/>
        <v>0.08340720026026174</v>
      </c>
      <c r="G155" s="215">
        <f t="shared" si="19"/>
        <v>0.20750857616837362</v>
      </c>
      <c r="H155" s="123"/>
    </row>
    <row r="156" spans="1:8" ht="15" thickBot="1">
      <c r="A156" s="133"/>
      <c r="B156" s="131"/>
      <c r="C156" s="204"/>
      <c r="D156" s="204"/>
      <c r="E156" s="204"/>
      <c r="F156" s="132"/>
      <c r="G156" s="215"/>
      <c r="H156" s="123"/>
    </row>
    <row r="157" spans="1:8" ht="16.5" thickBot="1" thickTop="1">
      <c r="A157" s="141" t="s">
        <v>14</v>
      </c>
      <c r="B157" s="142"/>
      <c r="C157" s="207">
        <f>SUM(C144:C156)</f>
        <v>168103727</v>
      </c>
      <c r="D157" s="207">
        <f>SUM(D144:D156)</f>
        <v>34271125.32</v>
      </c>
      <c r="E157" s="207">
        <f>SUM(E144:E156)</f>
        <v>33761443.39</v>
      </c>
      <c r="F157" s="143">
        <f>(+D157-E157)/E157</f>
        <v>0.015096568120987546</v>
      </c>
      <c r="G157" s="267">
        <f>D157/C157</f>
        <v>0.2038689202887215</v>
      </c>
      <c r="H157" s="123"/>
    </row>
    <row r="158" spans="1:8" ht="15.75" customHeight="1" thickTop="1">
      <c r="A158" s="138"/>
      <c r="B158" s="139"/>
      <c r="C158" s="205"/>
      <c r="D158" s="205"/>
      <c r="E158" s="205"/>
      <c r="F158" s="140"/>
      <c r="G158" s="219"/>
      <c r="H158" s="123"/>
    </row>
    <row r="159" spans="1:8" ht="15">
      <c r="A159" s="130" t="s">
        <v>54</v>
      </c>
      <c r="B159" s="131">
        <f>DATE(2022,7,1)</f>
        <v>44743</v>
      </c>
      <c r="C159" s="204">
        <v>138495</v>
      </c>
      <c r="D159" s="204">
        <v>33672.5</v>
      </c>
      <c r="E159" s="204">
        <v>95940.5</v>
      </c>
      <c r="F159" s="132">
        <f aca="true" t="shared" si="20" ref="F159:F170">(+D159-E159)/E159</f>
        <v>-0.6490272616882339</v>
      </c>
      <c r="G159" s="215">
        <f aca="true" t="shared" si="21" ref="G159:G170">D159/C159</f>
        <v>0.2431315209935377</v>
      </c>
      <c r="H159" s="123"/>
    </row>
    <row r="160" spans="1:8" ht="15">
      <c r="A160" s="130"/>
      <c r="B160" s="131">
        <f>DATE(2022,8,1)</f>
        <v>44774</v>
      </c>
      <c r="C160" s="204">
        <v>107572</v>
      </c>
      <c r="D160" s="204">
        <v>43554</v>
      </c>
      <c r="E160" s="204">
        <v>109429</v>
      </c>
      <c r="F160" s="132">
        <f t="shared" si="20"/>
        <v>-0.6019885039614727</v>
      </c>
      <c r="G160" s="215">
        <f t="shared" si="21"/>
        <v>0.40488231138214403</v>
      </c>
      <c r="H160" s="123"/>
    </row>
    <row r="161" spans="1:8" ht="15">
      <c r="A161" s="130"/>
      <c r="B161" s="131">
        <f>DATE(2022,9,1)</f>
        <v>44805</v>
      </c>
      <c r="C161" s="204">
        <v>96319</v>
      </c>
      <c r="D161" s="204">
        <v>21940.5</v>
      </c>
      <c r="E161" s="204">
        <v>101758.5</v>
      </c>
      <c r="F161" s="132">
        <f t="shared" si="20"/>
        <v>-0.7843865623019207</v>
      </c>
      <c r="G161" s="215">
        <f t="shared" si="21"/>
        <v>0.22778994798534039</v>
      </c>
      <c r="H161" s="123"/>
    </row>
    <row r="162" spans="1:8" ht="15">
      <c r="A162" s="130"/>
      <c r="B162" s="131">
        <f>DATE(2022,10,1)</f>
        <v>44835</v>
      </c>
      <c r="C162" s="204">
        <v>100492</v>
      </c>
      <c r="D162" s="204">
        <v>23452.5</v>
      </c>
      <c r="E162" s="204">
        <v>79721.5</v>
      </c>
      <c r="F162" s="132">
        <f t="shared" si="20"/>
        <v>-0.7058196346029616</v>
      </c>
      <c r="G162" s="215">
        <f t="shared" si="21"/>
        <v>0.23337678621183774</v>
      </c>
      <c r="H162" s="123"/>
    </row>
    <row r="163" spans="1:8" ht="15">
      <c r="A163" s="130"/>
      <c r="B163" s="131">
        <f>DATE(2022,11,1)</f>
        <v>44866</v>
      </c>
      <c r="C163" s="204">
        <v>84332</v>
      </c>
      <c r="D163" s="204">
        <v>27986</v>
      </c>
      <c r="E163" s="204">
        <v>65199</v>
      </c>
      <c r="F163" s="132">
        <f t="shared" si="20"/>
        <v>-0.5707602877344744</v>
      </c>
      <c r="G163" s="215">
        <f t="shared" si="21"/>
        <v>0.33185504909168523</v>
      </c>
      <c r="H163" s="123"/>
    </row>
    <row r="164" spans="1:8" ht="15">
      <c r="A164" s="130"/>
      <c r="B164" s="131">
        <f>DATE(2022,12,1)</f>
        <v>44896</v>
      </c>
      <c r="C164" s="204">
        <v>96692</v>
      </c>
      <c r="D164" s="204">
        <v>31936</v>
      </c>
      <c r="E164" s="204">
        <v>91444</v>
      </c>
      <c r="F164" s="132">
        <f t="shared" si="20"/>
        <v>-0.6507589344298149</v>
      </c>
      <c r="G164" s="215">
        <f t="shared" si="21"/>
        <v>0.33028585612046496</v>
      </c>
      <c r="H164" s="123"/>
    </row>
    <row r="165" spans="1:8" ht="15">
      <c r="A165" s="130"/>
      <c r="B165" s="131">
        <f>DATE(2023,1,1)</f>
        <v>44927</v>
      </c>
      <c r="C165" s="204">
        <v>84454</v>
      </c>
      <c r="D165" s="204">
        <v>19398.5</v>
      </c>
      <c r="E165" s="204">
        <v>130796.5</v>
      </c>
      <c r="F165" s="132">
        <f t="shared" si="20"/>
        <v>-0.8516894565221547</v>
      </c>
      <c r="G165" s="215">
        <f t="shared" si="21"/>
        <v>0.22969308736116703</v>
      </c>
      <c r="H165" s="123"/>
    </row>
    <row r="166" spans="1:8" ht="15">
      <c r="A166" s="130"/>
      <c r="B166" s="131">
        <f>DATE(2023,2,1)</f>
        <v>44958</v>
      </c>
      <c r="C166" s="204">
        <v>148656</v>
      </c>
      <c r="D166" s="204">
        <v>38642.5</v>
      </c>
      <c r="E166" s="204">
        <v>64197.5</v>
      </c>
      <c r="F166" s="132">
        <f t="shared" si="20"/>
        <v>-0.3980684606098368</v>
      </c>
      <c r="G166" s="215">
        <f t="shared" si="21"/>
        <v>0.25994578086320097</v>
      </c>
      <c r="H166" s="123"/>
    </row>
    <row r="167" spans="1:8" ht="15">
      <c r="A167" s="130"/>
      <c r="B167" s="131">
        <f>DATE(2023,3,1)</f>
        <v>44986</v>
      </c>
      <c r="C167" s="204">
        <v>138788</v>
      </c>
      <c r="D167" s="204">
        <v>57536.5</v>
      </c>
      <c r="E167" s="204">
        <v>83632.5</v>
      </c>
      <c r="F167" s="132">
        <f t="shared" si="20"/>
        <v>-0.31203180581711654</v>
      </c>
      <c r="G167" s="215">
        <f t="shared" si="21"/>
        <v>0.4145639392454679</v>
      </c>
      <c r="H167" s="123"/>
    </row>
    <row r="168" spans="1:8" ht="15">
      <c r="A168" s="130"/>
      <c r="B168" s="131">
        <f>DATE(2023,4,1)</f>
        <v>45017</v>
      </c>
      <c r="C168" s="204">
        <v>142343</v>
      </c>
      <c r="D168" s="204">
        <v>40604.5</v>
      </c>
      <c r="E168" s="204">
        <v>46651.5</v>
      </c>
      <c r="F168" s="132">
        <f t="shared" si="20"/>
        <v>-0.12962069815547195</v>
      </c>
      <c r="G168" s="215">
        <f t="shared" si="21"/>
        <v>0.2852581440604736</v>
      </c>
      <c r="H168" s="123"/>
    </row>
    <row r="169" spans="1:8" ht="15">
      <c r="A169" s="130"/>
      <c r="B169" s="131">
        <f>DATE(2023,5,1)</f>
        <v>45047</v>
      </c>
      <c r="C169" s="204">
        <v>145443</v>
      </c>
      <c r="D169" s="204">
        <v>34609</v>
      </c>
      <c r="E169" s="204">
        <v>43335</v>
      </c>
      <c r="F169" s="132">
        <f t="shared" si="20"/>
        <v>-0.20136148609668858</v>
      </c>
      <c r="G169" s="215">
        <f t="shared" si="21"/>
        <v>0.2379557627386674</v>
      </c>
      <c r="H169" s="123"/>
    </row>
    <row r="170" spans="1:8" ht="15">
      <c r="A170" s="130"/>
      <c r="B170" s="131">
        <f>DATE(2023,6,1)</f>
        <v>45078</v>
      </c>
      <c r="C170" s="204">
        <v>182000</v>
      </c>
      <c r="D170" s="204">
        <v>60719</v>
      </c>
      <c r="E170" s="204">
        <v>38364</v>
      </c>
      <c r="F170" s="132">
        <f t="shared" si="20"/>
        <v>0.5827077468460015</v>
      </c>
      <c r="G170" s="215">
        <f t="shared" si="21"/>
        <v>0.3336208791208791</v>
      </c>
      <c r="H170" s="123"/>
    </row>
    <row r="171" spans="1:8" ht="15" thickBot="1">
      <c r="A171" s="133"/>
      <c r="B171" s="134"/>
      <c r="C171" s="204"/>
      <c r="D171" s="204"/>
      <c r="E171" s="204"/>
      <c r="F171" s="132"/>
      <c r="G171" s="215"/>
      <c r="H171" s="123"/>
    </row>
    <row r="172" spans="1:8" ht="16.5" thickBot="1" thickTop="1">
      <c r="A172" s="144" t="s">
        <v>14</v>
      </c>
      <c r="B172" s="145"/>
      <c r="C172" s="207">
        <f>SUM(C159:C171)</f>
        <v>1465586</v>
      </c>
      <c r="D172" s="207">
        <f>SUM(D159:D171)</f>
        <v>434051.5</v>
      </c>
      <c r="E172" s="207">
        <f>SUM(E159:E171)</f>
        <v>950469.5</v>
      </c>
      <c r="F172" s="143">
        <f>(+D172-E172)/E172</f>
        <v>-0.5433293756401442</v>
      </c>
      <c r="G172" s="217">
        <f>D172/C172</f>
        <v>0.2961624224030524</v>
      </c>
      <c r="H172" s="123"/>
    </row>
    <row r="173" spans="1:8" ht="15.75" customHeight="1" thickTop="1">
      <c r="A173" s="130"/>
      <c r="B173" s="134"/>
      <c r="C173" s="204"/>
      <c r="D173" s="204"/>
      <c r="E173" s="204"/>
      <c r="F173" s="132"/>
      <c r="G173" s="218"/>
      <c r="H173" s="123"/>
    </row>
    <row r="174" spans="1:8" ht="15">
      <c r="A174" s="130" t="s">
        <v>37</v>
      </c>
      <c r="B174" s="131">
        <f>DATE(2022,7,1)</f>
        <v>44743</v>
      </c>
      <c r="C174" s="204">
        <v>23474853</v>
      </c>
      <c r="D174" s="204">
        <v>4747644.93</v>
      </c>
      <c r="E174" s="204">
        <v>4828759.44</v>
      </c>
      <c r="F174" s="132">
        <f aca="true" t="shared" si="22" ref="F174:F185">(+D174-E174)/E174</f>
        <v>-0.01679820894121839</v>
      </c>
      <c r="G174" s="215">
        <f aca="true" t="shared" si="23" ref="G174:G185">D174/C174</f>
        <v>0.20224386197434335</v>
      </c>
      <c r="H174" s="123"/>
    </row>
    <row r="175" spans="1:8" ht="15">
      <c r="A175" s="130"/>
      <c r="B175" s="131">
        <f>DATE(2022,8,1)</f>
        <v>44774</v>
      </c>
      <c r="C175" s="204">
        <v>21618581</v>
      </c>
      <c r="D175" s="204">
        <v>5944421.23</v>
      </c>
      <c r="E175" s="204">
        <v>4617763.22</v>
      </c>
      <c r="F175" s="132">
        <f t="shared" si="22"/>
        <v>0.28729450749101004</v>
      </c>
      <c r="G175" s="215">
        <f t="shared" si="23"/>
        <v>0.2749681503147686</v>
      </c>
      <c r="H175" s="123"/>
    </row>
    <row r="176" spans="1:8" ht="15">
      <c r="A176" s="130"/>
      <c r="B176" s="131">
        <f>DATE(2022,9,1)</f>
        <v>44805</v>
      </c>
      <c r="C176" s="204">
        <v>22214362</v>
      </c>
      <c r="D176" s="204">
        <v>4482002.35</v>
      </c>
      <c r="E176" s="204">
        <v>4146063.59</v>
      </c>
      <c r="F176" s="132">
        <f t="shared" si="22"/>
        <v>0.08102595454885432</v>
      </c>
      <c r="G176" s="215">
        <f t="shared" si="23"/>
        <v>0.20176147079983658</v>
      </c>
      <c r="H176" s="123"/>
    </row>
    <row r="177" spans="1:8" ht="15">
      <c r="A177" s="130"/>
      <c r="B177" s="131">
        <f>DATE(2022,10,1)</f>
        <v>44835</v>
      </c>
      <c r="C177" s="204">
        <v>22521885</v>
      </c>
      <c r="D177" s="204">
        <v>4856222.42</v>
      </c>
      <c r="E177" s="204">
        <v>5459139.57</v>
      </c>
      <c r="F177" s="132">
        <f t="shared" si="22"/>
        <v>-0.11044179073809618</v>
      </c>
      <c r="G177" s="215">
        <f t="shared" si="23"/>
        <v>0.21562237885505586</v>
      </c>
      <c r="H177" s="123"/>
    </row>
    <row r="178" spans="1:8" ht="15">
      <c r="A178" s="130"/>
      <c r="B178" s="131">
        <f>DATE(2022,11,1)</f>
        <v>44866</v>
      </c>
      <c r="C178" s="204">
        <v>19717008</v>
      </c>
      <c r="D178" s="204">
        <v>4475648.35</v>
      </c>
      <c r="E178" s="204">
        <v>4253233.65</v>
      </c>
      <c r="F178" s="132">
        <f t="shared" si="22"/>
        <v>0.05229308293467471</v>
      </c>
      <c r="G178" s="215">
        <f t="shared" si="23"/>
        <v>0.22699429599054785</v>
      </c>
      <c r="H178" s="123"/>
    </row>
    <row r="179" spans="1:8" ht="15">
      <c r="A179" s="130"/>
      <c r="B179" s="131">
        <f>DATE(2022,12,1)</f>
        <v>44896</v>
      </c>
      <c r="C179" s="204">
        <v>20731313</v>
      </c>
      <c r="D179" s="204">
        <v>4385866.74</v>
      </c>
      <c r="E179" s="204">
        <v>5369859.74</v>
      </c>
      <c r="F179" s="132">
        <f t="shared" si="22"/>
        <v>-0.18324370610097163</v>
      </c>
      <c r="G179" s="215">
        <f t="shared" si="23"/>
        <v>0.21155759599018162</v>
      </c>
      <c r="H179" s="123"/>
    </row>
    <row r="180" spans="1:8" ht="15">
      <c r="A180" s="130"/>
      <c r="B180" s="131">
        <f>DATE(2023,1,1)</f>
        <v>44927</v>
      </c>
      <c r="C180" s="204">
        <v>21378482</v>
      </c>
      <c r="D180" s="204">
        <v>4079109.4</v>
      </c>
      <c r="E180" s="204">
        <v>5388467.76</v>
      </c>
      <c r="F180" s="132">
        <f t="shared" si="22"/>
        <v>-0.24299270559243355</v>
      </c>
      <c r="G180" s="215">
        <f t="shared" si="23"/>
        <v>0.19080444532965438</v>
      </c>
      <c r="H180" s="123"/>
    </row>
    <row r="181" spans="1:8" ht="15">
      <c r="A181" s="130"/>
      <c r="B181" s="131">
        <f>DATE(2023,2,1)</f>
        <v>44958</v>
      </c>
      <c r="C181" s="204">
        <v>22040003</v>
      </c>
      <c r="D181" s="204">
        <v>5567189.93</v>
      </c>
      <c r="E181" s="204">
        <v>4784961.13</v>
      </c>
      <c r="F181" s="132">
        <f t="shared" si="22"/>
        <v>0.16347652128158455</v>
      </c>
      <c r="G181" s="215">
        <f t="shared" si="23"/>
        <v>0.2525947900279324</v>
      </c>
      <c r="H181" s="123"/>
    </row>
    <row r="182" spans="1:8" ht="15">
      <c r="A182" s="130"/>
      <c r="B182" s="131">
        <f>DATE(2023,3,1)</f>
        <v>44986</v>
      </c>
      <c r="C182" s="204">
        <v>23383513.5</v>
      </c>
      <c r="D182" s="204">
        <v>4791404.64</v>
      </c>
      <c r="E182" s="204">
        <v>4993811.12</v>
      </c>
      <c r="F182" s="132">
        <f t="shared" si="22"/>
        <v>-0.040531464874466544</v>
      </c>
      <c r="G182" s="215">
        <f t="shared" si="23"/>
        <v>0.20490524830667553</v>
      </c>
      <c r="H182" s="123"/>
    </row>
    <row r="183" spans="1:8" ht="15">
      <c r="A183" s="130"/>
      <c r="B183" s="131">
        <f>DATE(2023,4,1)</f>
        <v>45017</v>
      </c>
      <c r="C183" s="204">
        <v>21542662</v>
      </c>
      <c r="D183" s="204">
        <v>4936530.01</v>
      </c>
      <c r="E183" s="204">
        <v>5496853.59</v>
      </c>
      <c r="F183" s="132">
        <f t="shared" si="22"/>
        <v>-0.10193532915254526</v>
      </c>
      <c r="G183" s="215">
        <f t="shared" si="23"/>
        <v>0.22915134675556809</v>
      </c>
      <c r="H183" s="123"/>
    </row>
    <row r="184" spans="1:8" ht="15">
      <c r="A184" s="130"/>
      <c r="B184" s="131">
        <f>DATE(2023,5,1)</f>
        <v>45047</v>
      </c>
      <c r="C184" s="204">
        <v>20466885</v>
      </c>
      <c r="D184" s="204">
        <v>4532568.07</v>
      </c>
      <c r="E184" s="204">
        <v>4553328.82</v>
      </c>
      <c r="F184" s="132">
        <f t="shared" si="22"/>
        <v>-0.004559466452062647</v>
      </c>
      <c r="G184" s="215">
        <f t="shared" si="23"/>
        <v>0.2214586181531777</v>
      </c>
      <c r="H184" s="123"/>
    </row>
    <row r="185" spans="1:8" ht="15">
      <c r="A185" s="130"/>
      <c r="B185" s="131">
        <f>DATE(2023,6,1)</f>
        <v>45078</v>
      </c>
      <c r="C185" s="204">
        <v>19881509</v>
      </c>
      <c r="D185" s="204">
        <v>4279617.6</v>
      </c>
      <c r="E185" s="204">
        <v>4645341.32</v>
      </c>
      <c r="F185" s="132">
        <f t="shared" si="22"/>
        <v>-0.07872913846511512</v>
      </c>
      <c r="G185" s="215">
        <f t="shared" si="23"/>
        <v>0.2152561759773868</v>
      </c>
      <c r="H185" s="123"/>
    </row>
    <row r="186" spans="1:8" ht="15" thickBot="1">
      <c r="A186" s="133"/>
      <c r="B186" s="134"/>
      <c r="C186" s="204"/>
      <c r="D186" s="204"/>
      <c r="E186" s="204"/>
      <c r="F186" s="132"/>
      <c r="G186" s="215"/>
      <c r="H186" s="123"/>
    </row>
    <row r="187" spans="1:8" ht="16.5" thickBot="1" thickTop="1">
      <c r="A187" s="141" t="s">
        <v>14</v>
      </c>
      <c r="B187" s="142"/>
      <c r="C187" s="206">
        <f>SUM(C174:C186)</f>
        <v>258971056.5</v>
      </c>
      <c r="D187" s="207">
        <f>SUM(D174:D186)</f>
        <v>57078225.67</v>
      </c>
      <c r="E187" s="206">
        <f>SUM(E174:E186)</f>
        <v>58537582.95</v>
      </c>
      <c r="F187" s="143">
        <f>(+D187-E187)/E187</f>
        <v>-0.02493026200358348</v>
      </c>
      <c r="G187" s="217">
        <f>D187/C187</f>
        <v>0.22040388003745895</v>
      </c>
      <c r="H187" s="123"/>
    </row>
    <row r="188" spans="1:8" ht="15.75" customHeight="1" thickTop="1">
      <c r="A188" s="130"/>
      <c r="B188" s="134"/>
      <c r="C188" s="204"/>
      <c r="D188" s="204"/>
      <c r="E188" s="204"/>
      <c r="F188" s="132"/>
      <c r="G188" s="218"/>
      <c r="H188" s="123"/>
    </row>
    <row r="189" spans="1:8" ht="15">
      <c r="A189" s="130" t="s">
        <v>57</v>
      </c>
      <c r="B189" s="131">
        <f>DATE(2022,7,1)</f>
        <v>44743</v>
      </c>
      <c r="C189" s="204">
        <v>726679</v>
      </c>
      <c r="D189" s="204">
        <v>196833</v>
      </c>
      <c r="E189" s="204">
        <v>127439.5</v>
      </c>
      <c r="F189" s="132">
        <f aca="true" t="shared" si="24" ref="F189:F200">(+D189-E189)/E189</f>
        <v>0.5445211257106313</v>
      </c>
      <c r="G189" s="215">
        <f aca="true" t="shared" si="25" ref="G189:G200">D189/C189</f>
        <v>0.27086650364191067</v>
      </c>
      <c r="H189" s="123"/>
    </row>
    <row r="190" spans="1:8" ht="15">
      <c r="A190" s="130"/>
      <c r="B190" s="131">
        <f>DATE(2022,8,1)</f>
        <v>44774</v>
      </c>
      <c r="C190" s="204">
        <v>607303</v>
      </c>
      <c r="D190" s="204">
        <v>151280.5</v>
      </c>
      <c r="E190" s="204">
        <v>132624</v>
      </c>
      <c r="F190" s="132">
        <f t="shared" si="24"/>
        <v>0.14067212570877066</v>
      </c>
      <c r="G190" s="215">
        <f t="shared" si="25"/>
        <v>0.24910217799022893</v>
      </c>
      <c r="H190" s="123"/>
    </row>
    <row r="191" spans="1:8" ht="15">
      <c r="A191" s="130"/>
      <c r="B191" s="131">
        <f>DATE(2022,9,1)</f>
        <v>44805</v>
      </c>
      <c r="C191" s="204">
        <v>597896</v>
      </c>
      <c r="D191" s="204">
        <v>193974</v>
      </c>
      <c r="E191" s="204">
        <v>116203.5</v>
      </c>
      <c r="F191" s="132">
        <f t="shared" si="24"/>
        <v>0.6692612528882521</v>
      </c>
      <c r="G191" s="215">
        <f t="shared" si="25"/>
        <v>0.32442765965987397</v>
      </c>
      <c r="H191" s="123"/>
    </row>
    <row r="192" spans="1:8" ht="15">
      <c r="A192" s="130"/>
      <c r="B192" s="131">
        <f>DATE(2022,10,1)</f>
        <v>44835</v>
      </c>
      <c r="C192" s="204">
        <v>616111</v>
      </c>
      <c r="D192" s="204">
        <v>196489.5</v>
      </c>
      <c r="E192" s="204">
        <v>167500.5</v>
      </c>
      <c r="F192" s="132">
        <f t="shared" si="24"/>
        <v>0.17306814009510418</v>
      </c>
      <c r="G192" s="215">
        <f t="shared" si="25"/>
        <v>0.31891899349305564</v>
      </c>
      <c r="H192" s="123"/>
    </row>
    <row r="193" spans="1:8" ht="15">
      <c r="A193" s="130"/>
      <c r="B193" s="131">
        <f>DATE(2022,11,1)</f>
        <v>44866</v>
      </c>
      <c r="C193" s="204">
        <v>588129</v>
      </c>
      <c r="D193" s="204">
        <v>205853.5</v>
      </c>
      <c r="E193" s="204">
        <v>144385.5</v>
      </c>
      <c r="F193" s="132">
        <f t="shared" si="24"/>
        <v>0.4257214193946068</v>
      </c>
      <c r="G193" s="215">
        <f t="shared" si="25"/>
        <v>0.35001419756550006</v>
      </c>
      <c r="H193" s="123"/>
    </row>
    <row r="194" spans="1:8" ht="15">
      <c r="A194" s="130"/>
      <c r="B194" s="131">
        <f>DATE(2022,12,1)</f>
        <v>44896</v>
      </c>
      <c r="C194" s="204">
        <v>601617</v>
      </c>
      <c r="D194" s="204">
        <v>179648</v>
      </c>
      <c r="E194" s="204">
        <v>189046.5</v>
      </c>
      <c r="F194" s="132">
        <f t="shared" si="24"/>
        <v>-0.04971528168995459</v>
      </c>
      <c r="G194" s="215">
        <f t="shared" si="25"/>
        <v>0.298608583201605</v>
      </c>
      <c r="H194" s="123"/>
    </row>
    <row r="195" spans="1:8" ht="15">
      <c r="A195" s="130"/>
      <c r="B195" s="131">
        <f>DATE(2023,1,1)</f>
        <v>44927</v>
      </c>
      <c r="C195" s="204">
        <v>562727</v>
      </c>
      <c r="D195" s="204">
        <v>120250</v>
      </c>
      <c r="E195" s="204">
        <v>129604</v>
      </c>
      <c r="F195" s="132">
        <f t="shared" si="24"/>
        <v>-0.07217369834264374</v>
      </c>
      <c r="G195" s="215">
        <f t="shared" si="25"/>
        <v>0.21369154136908305</v>
      </c>
      <c r="H195" s="123"/>
    </row>
    <row r="196" spans="1:8" ht="15">
      <c r="A196" s="130"/>
      <c r="B196" s="131">
        <f>DATE(2023,2,1)</f>
        <v>44958</v>
      </c>
      <c r="C196" s="204">
        <v>577741</v>
      </c>
      <c r="D196" s="204">
        <v>189664</v>
      </c>
      <c r="E196" s="204">
        <v>141185</v>
      </c>
      <c r="F196" s="132">
        <f t="shared" si="24"/>
        <v>0.34337217126465275</v>
      </c>
      <c r="G196" s="215">
        <f t="shared" si="25"/>
        <v>0.32828551202009204</v>
      </c>
      <c r="H196" s="123"/>
    </row>
    <row r="197" spans="1:8" ht="15">
      <c r="A197" s="130"/>
      <c r="B197" s="131">
        <f>DATE(2023,3,1)</f>
        <v>44986</v>
      </c>
      <c r="C197" s="204">
        <v>693599</v>
      </c>
      <c r="D197" s="204">
        <v>187974</v>
      </c>
      <c r="E197" s="204">
        <v>258133.5</v>
      </c>
      <c r="F197" s="132">
        <f t="shared" si="24"/>
        <v>-0.27179540818994824</v>
      </c>
      <c r="G197" s="215">
        <f t="shared" si="25"/>
        <v>0.2710125014597772</v>
      </c>
      <c r="H197" s="123"/>
    </row>
    <row r="198" spans="1:8" ht="15">
      <c r="A198" s="130"/>
      <c r="B198" s="131">
        <f>DATE(2023,4,1)</f>
        <v>45017</v>
      </c>
      <c r="C198" s="204">
        <v>733569</v>
      </c>
      <c r="D198" s="204">
        <v>218310</v>
      </c>
      <c r="E198" s="204">
        <v>197147</v>
      </c>
      <c r="F198" s="132">
        <f t="shared" si="24"/>
        <v>0.10734629489670144</v>
      </c>
      <c r="G198" s="215">
        <f t="shared" si="25"/>
        <v>0.297599816786151</v>
      </c>
      <c r="H198" s="123"/>
    </row>
    <row r="199" spans="1:8" ht="15">
      <c r="A199" s="130"/>
      <c r="B199" s="131">
        <f>DATE(2023,5,1)</f>
        <v>45047</v>
      </c>
      <c r="C199" s="204">
        <v>585870</v>
      </c>
      <c r="D199" s="204">
        <v>141377</v>
      </c>
      <c r="E199" s="204">
        <v>164271.5</v>
      </c>
      <c r="F199" s="132">
        <f t="shared" si="24"/>
        <v>-0.13936988461175553</v>
      </c>
      <c r="G199" s="215">
        <f t="shared" si="25"/>
        <v>0.24131121238500008</v>
      </c>
      <c r="H199" s="123"/>
    </row>
    <row r="200" spans="1:8" ht="15">
      <c r="A200" s="130"/>
      <c r="B200" s="131">
        <f>DATE(2023,6,1)</f>
        <v>45078</v>
      </c>
      <c r="C200" s="204">
        <v>629447</v>
      </c>
      <c r="D200" s="204">
        <v>176726</v>
      </c>
      <c r="E200" s="204">
        <v>155131.5</v>
      </c>
      <c r="F200" s="132">
        <f t="shared" si="24"/>
        <v>0.139201258287324</v>
      </c>
      <c r="G200" s="215">
        <f t="shared" si="25"/>
        <v>0.28076390863726414</v>
      </c>
      <c r="H200" s="123"/>
    </row>
    <row r="201" spans="1:8" ht="15" thickBot="1">
      <c r="A201" s="133"/>
      <c r="B201" s="134"/>
      <c r="C201" s="204"/>
      <c r="D201" s="204"/>
      <c r="E201" s="204"/>
      <c r="F201" s="132"/>
      <c r="G201" s="215"/>
      <c r="H201" s="123"/>
    </row>
    <row r="202" spans="1:8" ht="16.5" thickBot="1" thickTop="1">
      <c r="A202" s="135" t="s">
        <v>14</v>
      </c>
      <c r="B202" s="136"/>
      <c r="C202" s="201">
        <f>SUM(C189:C201)</f>
        <v>7520688</v>
      </c>
      <c r="D202" s="207">
        <f>SUM(D189:D201)</f>
        <v>2158379.5</v>
      </c>
      <c r="E202" s="207">
        <f>SUM(E189:E201)</f>
        <v>1922672</v>
      </c>
      <c r="F202" s="143">
        <f>(+D202-E202)/E202</f>
        <v>0.12259371333227924</v>
      </c>
      <c r="G202" s="217">
        <f>D202/C202</f>
        <v>0.2869922937901426</v>
      </c>
      <c r="H202" s="123"/>
    </row>
    <row r="203" spans="1:8" ht="15.75" thickBot="1" thickTop="1">
      <c r="A203" s="146"/>
      <c r="B203" s="139"/>
      <c r="C203" s="205"/>
      <c r="D203" s="205"/>
      <c r="E203" s="205"/>
      <c r="F203" s="140"/>
      <c r="G203" s="216"/>
      <c r="H203" s="123"/>
    </row>
    <row r="204" spans="1:8" ht="16.5" thickBot="1" thickTop="1">
      <c r="A204" s="147" t="s">
        <v>38</v>
      </c>
      <c r="B204" s="121"/>
      <c r="C204" s="201">
        <f>C202+C187+C142+C112+C82+C52+C22+C67+C172+C37+C127+C157+C97</f>
        <v>1281830732.3400002</v>
      </c>
      <c r="D204" s="201">
        <f>D202+D187+D142+D112+D82+D52+D22+D67+D172+D37+D127+D157+D97</f>
        <v>273416202.76</v>
      </c>
      <c r="E204" s="201">
        <f>E202+E187+E142+E112+E82+E52+E22+E67+E172+E37+E127+E157+E97</f>
        <v>266921067.74</v>
      </c>
      <c r="F204" s="137">
        <f>(+D204-E204)/E204</f>
        <v>0.024333542027962743</v>
      </c>
      <c r="G204" s="212">
        <f>D204/C204</f>
        <v>0.2133013321196277</v>
      </c>
      <c r="H204" s="123"/>
    </row>
    <row r="205" spans="1:8" ht="16.5" thickBot="1" thickTop="1">
      <c r="A205" s="147"/>
      <c r="B205" s="121"/>
      <c r="C205" s="201"/>
      <c r="D205" s="201"/>
      <c r="E205" s="201"/>
      <c r="F205" s="137"/>
      <c r="G205" s="212"/>
      <c r="H205" s="123"/>
    </row>
    <row r="206" spans="1:8" ht="16.5" thickBot="1" thickTop="1">
      <c r="A206" s="265" t="s">
        <v>39</v>
      </c>
      <c r="B206" s="266"/>
      <c r="C206" s="206">
        <f>+C20+C35+C50+C65+C80+C95+C110+C125+C140+C155+C170+C185+C200</f>
        <v>107183329.5</v>
      </c>
      <c r="D206" s="206">
        <f>+D20+D35+D50+D65+D80+D95+D110+D125+D140+D155+D170+D185+D200</f>
        <v>21450998.03</v>
      </c>
      <c r="E206" s="206">
        <f>+E20+E35+E50+E65+E80+E95+E110+E125+E140+E155+E170+E185+E200</f>
        <v>22301640.3</v>
      </c>
      <c r="F206" s="268">
        <f>(+D206-E206)/E206</f>
        <v>-0.03814258765531249</v>
      </c>
      <c r="G206" s="217">
        <f>D206/C206</f>
        <v>0.20013371603650362</v>
      </c>
      <c r="H206" s="123"/>
    </row>
    <row r="207" spans="1:8" ht="15.75" thickTop="1">
      <c r="A207" s="256"/>
      <c r="B207" s="258"/>
      <c r="C207" s="259"/>
      <c r="D207" s="259"/>
      <c r="E207" s="259"/>
      <c r="F207" s="260"/>
      <c r="G207" s="257"/>
      <c r="H207" s="257"/>
    </row>
    <row r="208" spans="1:7" ht="17.25">
      <c r="A208" s="263" t="s">
        <v>40</v>
      </c>
      <c r="B208" s="117"/>
      <c r="C208" s="208"/>
      <c r="D208" s="208"/>
      <c r="E208" s="208"/>
      <c r="F208" s="148"/>
      <c r="G208" s="220"/>
    </row>
    <row r="209" ht="15">
      <c r="A20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52" max="7" man="1"/>
    <brk id="97" max="7" man="1"/>
    <brk id="142" max="7" man="1"/>
    <brk id="1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0.041740423437317854</v>
      </c>
      <c r="H12" s="289">
        <f>1-G12</f>
        <v>0.9582595765626821</v>
      </c>
    </row>
    <row r="13" spans="1:8" ht="1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0.04735969853906982</v>
      </c>
      <c r="H13" s="289">
        <f>1-G13</f>
        <v>0.9526403014609302</v>
      </c>
    </row>
    <row r="14" spans="1:8" ht="1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</v>
      </c>
      <c r="G14" s="241">
        <f>+D14/C14</f>
        <v>0.05069968847392133</v>
      </c>
      <c r="H14" s="289">
        <f>1-G14</f>
        <v>0.9493003115260786</v>
      </c>
    </row>
    <row r="15" spans="1:8" ht="15">
      <c r="A15" s="164"/>
      <c r="B15" s="165">
        <f>DATE(22,12,1)</f>
        <v>8371</v>
      </c>
      <c r="C15" s="226">
        <v>0</v>
      </c>
      <c r="D15" s="226">
        <v>0</v>
      </c>
      <c r="E15" s="226">
        <v>90195.59</v>
      </c>
      <c r="F15" s="166">
        <v>-1</v>
      </c>
      <c r="G15" s="241">
        <v>0</v>
      </c>
      <c r="H15" s="289">
        <v>0</v>
      </c>
    </row>
    <row r="16" spans="1:8" ht="15">
      <c r="A16" s="164"/>
      <c r="B16" s="165">
        <f>DATE(23,1,1)</f>
        <v>8402</v>
      </c>
      <c r="C16" s="226">
        <v>0</v>
      </c>
      <c r="D16" s="226">
        <v>0</v>
      </c>
      <c r="E16" s="226">
        <v>119559.87</v>
      </c>
      <c r="F16" s="166">
        <v>-1</v>
      </c>
      <c r="G16" s="241">
        <v>0</v>
      </c>
      <c r="H16" s="289">
        <v>0</v>
      </c>
    </row>
    <row r="17" spans="1:8" ht="15">
      <c r="A17" s="164"/>
      <c r="B17" s="165">
        <f>DATE(23,2,1)</f>
        <v>8433</v>
      </c>
      <c r="C17" s="226">
        <v>0</v>
      </c>
      <c r="D17" s="226">
        <v>0</v>
      </c>
      <c r="E17" s="226">
        <v>134655.35</v>
      </c>
      <c r="F17" s="166">
        <v>-1</v>
      </c>
      <c r="G17" s="241">
        <v>0</v>
      </c>
      <c r="H17" s="289">
        <v>0</v>
      </c>
    </row>
    <row r="18" spans="1:8" ht="15">
      <c r="A18" s="164"/>
      <c r="B18" s="165">
        <f>DATE(23,3,1)</f>
        <v>8461</v>
      </c>
      <c r="C18" s="226">
        <v>0</v>
      </c>
      <c r="D18" s="226">
        <v>0</v>
      </c>
      <c r="E18" s="226">
        <v>138761.57</v>
      </c>
      <c r="F18" s="166">
        <v>-1</v>
      </c>
      <c r="G18" s="241">
        <v>0</v>
      </c>
      <c r="H18" s="289">
        <v>0</v>
      </c>
    </row>
    <row r="19" spans="1:8" ht="15">
      <c r="A19" s="164"/>
      <c r="B19" s="165">
        <f>DATE(23,4,1)</f>
        <v>8492</v>
      </c>
      <c r="C19" s="226">
        <v>0</v>
      </c>
      <c r="D19" s="226">
        <v>0</v>
      </c>
      <c r="E19" s="226">
        <v>96442.88</v>
      </c>
      <c r="F19" s="166">
        <v>-1</v>
      </c>
      <c r="G19" s="241">
        <v>0</v>
      </c>
      <c r="H19" s="289">
        <v>0</v>
      </c>
    </row>
    <row r="20" spans="1:8" ht="15">
      <c r="A20" s="164"/>
      <c r="B20" s="165">
        <f>DATE(23,5,1)</f>
        <v>8522</v>
      </c>
      <c r="C20" s="226">
        <v>0</v>
      </c>
      <c r="D20" s="226">
        <v>0</v>
      </c>
      <c r="E20" s="226">
        <v>101555.65</v>
      </c>
      <c r="F20" s="166">
        <v>-1</v>
      </c>
      <c r="G20" s="241">
        <v>0</v>
      </c>
      <c r="H20" s="289">
        <v>0</v>
      </c>
    </row>
    <row r="21" spans="1:8" ht="15">
      <c r="A21" s="164"/>
      <c r="B21" s="165">
        <f>DATE(23,6,1)</f>
        <v>8553</v>
      </c>
      <c r="C21" s="226">
        <v>0</v>
      </c>
      <c r="D21" s="226">
        <v>0</v>
      </c>
      <c r="E21" s="226">
        <v>108246.42</v>
      </c>
      <c r="F21" s="166">
        <v>-1</v>
      </c>
      <c r="G21" s="241">
        <v>0</v>
      </c>
      <c r="H21" s="289">
        <v>0</v>
      </c>
    </row>
    <row r="22" spans="1:8" ht="15" thickBot="1">
      <c r="A22" s="167"/>
      <c r="B22" s="168"/>
      <c r="C22" s="226"/>
      <c r="D22" s="226"/>
      <c r="E22" s="226"/>
      <c r="F22" s="166"/>
      <c r="G22" s="241"/>
      <c r="H22" s="242"/>
    </row>
    <row r="23" spans="1:8" ht="16.5" thickBot="1" thickTop="1">
      <c r="A23" s="169" t="s">
        <v>14</v>
      </c>
      <c r="B23" s="155"/>
      <c r="C23" s="223">
        <f>SUM(C10:C22)</f>
        <v>10220732.540000001</v>
      </c>
      <c r="D23" s="223">
        <f>SUM(D10:D22)</f>
        <v>506770.29000000004</v>
      </c>
      <c r="E23" s="223">
        <f>SUM(E10:E22)</f>
        <v>840518.36</v>
      </c>
      <c r="F23" s="176">
        <f>+(D23-E23)/E23</f>
        <v>-0.39707409841707675</v>
      </c>
      <c r="G23" s="245">
        <f>+D23/C23</f>
        <v>0.0495825801151431</v>
      </c>
      <c r="H23" s="246">
        <f>1-G23</f>
        <v>0.950417419884857</v>
      </c>
    </row>
    <row r="24" spans="1:8" ht="15" thickTop="1">
      <c r="A24" s="171"/>
      <c r="B24" s="172"/>
      <c r="C24" s="227"/>
      <c r="D24" s="227"/>
      <c r="E24" s="227"/>
      <c r="F24" s="173"/>
      <c r="G24" s="243"/>
      <c r="H24" s="244"/>
    </row>
    <row r="25" spans="1:8" ht="15">
      <c r="A25" s="19" t="s">
        <v>48</v>
      </c>
      <c r="B25" s="165">
        <f>DATE(22,7,1)</f>
        <v>8218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">
      <c r="A26" s="19"/>
      <c r="B26" s="165">
        <f>DATE(22,8,1)</f>
        <v>8249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>
      <c r="A27" s="19"/>
      <c r="B27" s="165">
        <f>DATE(22,9,1)</f>
        <v>8280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">
      <c r="A28" s="19"/>
      <c r="B28" s="165">
        <f>DATE(22,10,1)</f>
        <v>8310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">
      <c r="A29" s="19"/>
      <c r="B29" s="165">
        <f>DATE(22,11,1)</f>
        <v>8341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">
      <c r="A30" s="19"/>
      <c r="B30" s="165">
        <f>DATE(22,12,1)</f>
        <v>8371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>
      <c r="A31" s="19"/>
      <c r="B31" s="165">
        <f>DATE(23,1,1)</f>
        <v>8402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">
      <c r="A32" s="19"/>
      <c r="B32" s="165">
        <f>DATE(23,2,1)</f>
        <v>8433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">
      <c r="A33" s="19"/>
      <c r="B33" s="165">
        <f>DATE(23,3,1)</f>
        <v>8461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">
      <c r="A34" s="19"/>
      <c r="B34" s="165">
        <f>DATE(23,4,1)</f>
        <v>8492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">
      <c r="A35" s="19"/>
      <c r="B35" s="165">
        <f>DATE(23,5,1)</f>
        <v>8522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">
      <c r="A36" s="19"/>
      <c r="B36" s="165">
        <f>DATE(23,6,1)</f>
        <v>8553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" thickBot="1">
      <c r="A37" s="167"/>
      <c r="B37" s="165"/>
      <c r="C37" s="226"/>
      <c r="D37" s="226"/>
      <c r="E37" s="226"/>
      <c r="F37" s="166"/>
      <c r="G37" s="241"/>
      <c r="H37" s="242"/>
    </row>
    <row r="38" spans="1:8" ht="16.5" thickBot="1" thickTop="1">
      <c r="A38" s="169" t="s">
        <v>14</v>
      </c>
      <c r="B38" s="155"/>
      <c r="C38" s="223">
        <f>SUM(C25:C37)</f>
        <v>0</v>
      </c>
      <c r="D38" s="223">
        <f>SUM(D25:D37)</f>
        <v>0</v>
      </c>
      <c r="E38" s="223">
        <f>SUM(E25:E37)</f>
        <v>0</v>
      </c>
      <c r="F38" s="170">
        <v>0</v>
      </c>
      <c r="G38" s="236">
        <v>0</v>
      </c>
      <c r="H38" s="237">
        <v>0</v>
      </c>
    </row>
    <row r="39" spans="1:8" ht="15" thickTop="1">
      <c r="A39" s="171"/>
      <c r="B39" s="172"/>
      <c r="C39" s="227"/>
      <c r="D39" s="227"/>
      <c r="E39" s="227"/>
      <c r="F39" s="173"/>
      <c r="G39" s="243"/>
      <c r="H39" s="244"/>
    </row>
    <row r="40" spans="1:8" ht="15">
      <c r="A40" s="19" t="s">
        <v>62</v>
      </c>
      <c r="B40" s="165">
        <f>DATE(22,7,1)</f>
        <v>8218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">
      <c r="A41" s="19"/>
      <c r="B41" s="165">
        <f>DATE(22,8,1)</f>
        <v>8249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">
      <c r="A42" s="19"/>
      <c r="B42" s="165">
        <f>DATE(22,9,1)</f>
        <v>8280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">
      <c r="A43" s="19"/>
      <c r="B43" s="165">
        <f>DATE(22,10,1)</f>
        <v>8310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">
      <c r="A44" s="19"/>
      <c r="B44" s="165">
        <f>DATE(22,11,1)</f>
        <v>8341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">
      <c r="A45" s="19"/>
      <c r="B45" s="165">
        <f>DATE(22,12,1)</f>
        <v>8371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">
      <c r="A46" s="19"/>
      <c r="B46" s="165">
        <f>DATE(23,1,1)</f>
        <v>8402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">
      <c r="A47" s="19"/>
      <c r="B47" s="165">
        <f>DATE(23,2,1)</f>
        <v>8433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">
      <c r="A48" s="19"/>
      <c r="B48" s="165">
        <f>DATE(23,3,1)</f>
        <v>8461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">
      <c r="A49" s="19"/>
      <c r="B49" s="165">
        <f>DATE(23,4,1)</f>
        <v>8492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">
      <c r="A50" s="19"/>
      <c r="B50" s="165">
        <f>DATE(23,5,1)</f>
        <v>8522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">
      <c r="A51" s="19"/>
      <c r="B51" s="165">
        <f>DATE(23,6,1)</f>
        <v>8553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" thickBot="1">
      <c r="A52" s="167"/>
      <c r="B52" s="165"/>
      <c r="C52" s="226"/>
      <c r="D52" s="226"/>
      <c r="E52" s="226"/>
      <c r="F52" s="166"/>
      <c r="G52" s="241"/>
      <c r="H52" s="242"/>
    </row>
    <row r="53" spans="1:8" ht="16.5" thickBot="1" thickTop="1">
      <c r="A53" s="174" t="s">
        <v>14</v>
      </c>
      <c r="B53" s="175"/>
      <c r="C53" s="228">
        <f>SUM(C40:C52)</f>
        <v>0</v>
      </c>
      <c r="D53" s="228">
        <f>SUM(D40:D52)</f>
        <v>0</v>
      </c>
      <c r="E53" s="228">
        <f>SUM(E40:E52)</f>
        <v>0</v>
      </c>
      <c r="F53" s="176">
        <v>0</v>
      </c>
      <c r="G53" s="245">
        <v>0</v>
      </c>
      <c r="H53" s="246">
        <v>0</v>
      </c>
    </row>
    <row r="54" spans="1:8" ht="15" thickTop="1">
      <c r="A54" s="167"/>
      <c r="B54" s="168"/>
      <c r="C54" s="226"/>
      <c r="D54" s="226"/>
      <c r="E54" s="226"/>
      <c r="F54" s="166"/>
      <c r="G54" s="241"/>
      <c r="H54" s="242"/>
    </row>
    <row r="55" spans="1:8" ht="15">
      <c r="A55" s="177" t="s">
        <v>58</v>
      </c>
      <c r="B55" s="165">
        <f>DATE(22,7,1)</f>
        <v>8218</v>
      </c>
      <c r="C55" s="226">
        <v>3178065.75</v>
      </c>
      <c r="D55" s="226">
        <v>133555.04</v>
      </c>
      <c r="E55" s="226">
        <v>0</v>
      </c>
      <c r="F55" s="166">
        <v>1</v>
      </c>
      <c r="G55" s="241">
        <f aca="true" t="shared" si="0" ref="G55:G61">+D55/C55</f>
        <v>0.04202400154874077</v>
      </c>
      <c r="H55" s="289">
        <f aca="true" t="shared" si="1" ref="H55:H61">1-G55</f>
        <v>0.9579759984512592</v>
      </c>
    </row>
    <row r="56" spans="1:8" ht="15">
      <c r="A56" s="177"/>
      <c r="B56" s="165">
        <f>DATE(22,8,1)</f>
        <v>8249</v>
      </c>
      <c r="C56" s="226">
        <v>3240013.32</v>
      </c>
      <c r="D56" s="226">
        <v>183477.77</v>
      </c>
      <c r="E56" s="226">
        <v>0</v>
      </c>
      <c r="F56" s="166">
        <v>1</v>
      </c>
      <c r="G56" s="241">
        <f t="shared" si="0"/>
        <v>0.05662870855111176</v>
      </c>
      <c r="H56" s="289">
        <f t="shared" si="1"/>
        <v>0.9433712914488882</v>
      </c>
    </row>
    <row r="57" spans="1:8" ht="15">
      <c r="A57" s="177"/>
      <c r="B57" s="165">
        <f>DATE(22,9,1)</f>
        <v>8280</v>
      </c>
      <c r="C57" s="226">
        <v>3318547.55</v>
      </c>
      <c r="D57" s="226">
        <v>155342.66</v>
      </c>
      <c r="E57" s="226">
        <v>0</v>
      </c>
      <c r="F57" s="166">
        <v>1</v>
      </c>
      <c r="G57" s="241">
        <f t="shared" si="0"/>
        <v>0.04681043669240177</v>
      </c>
      <c r="H57" s="289">
        <f t="shared" si="1"/>
        <v>0.9531895633075982</v>
      </c>
    </row>
    <row r="58" spans="1:8" ht="15">
      <c r="A58" s="177"/>
      <c r="B58" s="165">
        <f>DATE(22,10,1)</f>
        <v>8310</v>
      </c>
      <c r="C58" s="226">
        <v>2155526.53</v>
      </c>
      <c r="D58" s="226">
        <v>95342.11</v>
      </c>
      <c r="E58" s="226">
        <v>0</v>
      </c>
      <c r="F58" s="166">
        <v>1</v>
      </c>
      <c r="G58" s="241">
        <f t="shared" si="0"/>
        <v>0.044231471370477636</v>
      </c>
      <c r="H58" s="289">
        <f t="shared" si="1"/>
        <v>0.9557685286295223</v>
      </c>
    </row>
    <row r="59" spans="1:8" ht="15">
      <c r="A59" s="177"/>
      <c r="B59" s="165">
        <f>DATE(22,11,1)</f>
        <v>8341</v>
      </c>
      <c r="C59" s="226">
        <v>2999410.04</v>
      </c>
      <c r="D59" s="226">
        <v>123201.53</v>
      </c>
      <c r="E59" s="226">
        <v>0</v>
      </c>
      <c r="F59" s="166">
        <v>1</v>
      </c>
      <c r="G59" s="241">
        <f t="shared" si="0"/>
        <v>0.0410752542523329</v>
      </c>
      <c r="H59" s="289">
        <f t="shared" si="1"/>
        <v>0.9589247457476671</v>
      </c>
    </row>
    <row r="60" spans="1:8" ht="15">
      <c r="A60" s="177"/>
      <c r="B60" s="165">
        <f>DATE(22,12,1)</f>
        <v>8371</v>
      </c>
      <c r="C60" s="226">
        <v>3580735.96</v>
      </c>
      <c r="D60" s="226">
        <v>124084.02</v>
      </c>
      <c r="E60" s="226">
        <v>0</v>
      </c>
      <c r="F60" s="166">
        <v>1</v>
      </c>
      <c r="G60" s="241">
        <f t="shared" si="0"/>
        <v>0.034653216932532496</v>
      </c>
      <c r="H60" s="289">
        <f t="shared" si="1"/>
        <v>0.9653467830674675</v>
      </c>
    </row>
    <row r="61" spans="1:8" ht="15">
      <c r="A61" s="177"/>
      <c r="B61" s="165">
        <f>DATE(23,1,1)</f>
        <v>8402</v>
      </c>
      <c r="C61" s="226">
        <v>811007.52</v>
      </c>
      <c r="D61" s="226">
        <v>43801.09</v>
      </c>
      <c r="E61" s="226">
        <v>0</v>
      </c>
      <c r="F61" s="166">
        <v>1</v>
      </c>
      <c r="G61" s="241">
        <f t="shared" si="0"/>
        <v>0.05400824150187904</v>
      </c>
      <c r="H61" s="289">
        <f t="shared" si="1"/>
        <v>0.945991758498121</v>
      </c>
    </row>
    <row r="62" spans="1:8" ht="15">
      <c r="A62" s="177"/>
      <c r="B62" s="165">
        <f>DATE(23,2,1)</f>
        <v>8433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89">
        <v>0</v>
      </c>
    </row>
    <row r="63" spans="1:8" ht="15">
      <c r="A63" s="177"/>
      <c r="B63" s="165">
        <f>DATE(23,3,1)</f>
        <v>8461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89">
        <v>0</v>
      </c>
    </row>
    <row r="64" spans="1:8" ht="15">
      <c r="A64" s="177"/>
      <c r="B64" s="165">
        <f>DATE(23,4,1)</f>
        <v>8492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89">
        <v>0</v>
      </c>
    </row>
    <row r="65" spans="1:8" ht="15">
      <c r="A65" s="177"/>
      <c r="B65" s="165">
        <f>DATE(23,5,1)</f>
        <v>8522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89">
        <v>0</v>
      </c>
    </row>
    <row r="66" spans="1:8" ht="15">
      <c r="A66" s="177"/>
      <c r="B66" s="165">
        <f>DATE(23,6,1)</f>
        <v>8553</v>
      </c>
      <c r="C66" s="226">
        <v>0</v>
      </c>
      <c r="D66" s="226">
        <v>0</v>
      </c>
      <c r="E66" s="226">
        <v>88418.85</v>
      </c>
      <c r="F66" s="166">
        <v>-1</v>
      </c>
      <c r="G66" s="241">
        <v>0</v>
      </c>
      <c r="H66" s="289">
        <v>0</v>
      </c>
    </row>
    <row r="67" spans="1:8" ht="15" thickBot="1">
      <c r="A67" s="167"/>
      <c r="B67" s="168"/>
      <c r="C67" s="226"/>
      <c r="D67" s="226"/>
      <c r="E67" s="226"/>
      <c r="F67" s="166"/>
      <c r="G67" s="241"/>
      <c r="H67" s="242"/>
    </row>
    <row r="68" spans="1:8" ht="16.5" thickBot="1" thickTop="1">
      <c r="A68" s="174" t="s">
        <v>14</v>
      </c>
      <c r="B68" s="178"/>
      <c r="C68" s="228">
        <f>SUM(C55:C67)</f>
        <v>19283306.67</v>
      </c>
      <c r="D68" s="228">
        <f>SUM(D55:D67)</f>
        <v>858804.22</v>
      </c>
      <c r="E68" s="228">
        <f>SUM(E55:E67)</f>
        <v>88418.85</v>
      </c>
      <c r="F68" s="176">
        <f>+(D68-E68)/E68</f>
        <v>8.712908729303763</v>
      </c>
      <c r="G68" s="245">
        <f>+D68/C68</f>
        <v>0.044536149048341606</v>
      </c>
      <c r="H68" s="246">
        <f>1-G68</f>
        <v>0.9554638509516584</v>
      </c>
    </row>
    <row r="69" spans="1:8" ht="15" thickTop="1">
      <c r="A69" s="167"/>
      <c r="B69" s="168"/>
      <c r="C69" s="226"/>
      <c r="D69" s="226"/>
      <c r="E69" s="226"/>
      <c r="F69" s="166"/>
      <c r="G69" s="241"/>
      <c r="H69" s="242"/>
    </row>
    <row r="70" spans="1:8" ht="15">
      <c r="A70" s="164" t="s">
        <v>60</v>
      </c>
      <c r="B70" s="165">
        <f>DATE(22,7,1)</f>
        <v>8218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DATE(22,8,1)</f>
        <v>8249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>
      <c r="A72" s="164"/>
      <c r="B72" s="165">
        <f>DATE(22,9,1)</f>
        <v>8280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">
      <c r="A73" s="164"/>
      <c r="B73" s="165">
        <f>DATE(22,10,1)</f>
        <v>8310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">
      <c r="A74" s="164"/>
      <c r="B74" s="165">
        <f>DATE(22,11,1)</f>
        <v>8341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">
      <c r="A75" s="164"/>
      <c r="B75" s="165">
        <f>DATE(22,12,1)</f>
        <v>8371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">
      <c r="A76" s="164"/>
      <c r="B76" s="165">
        <f>DATE(23,1,1)</f>
        <v>8402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">
      <c r="A77" s="164"/>
      <c r="B77" s="165">
        <f>DATE(23,2,1)</f>
        <v>8433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">
      <c r="A78" s="164"/>
      <c r="B78" s="165">
        <f>DATE(23,3,1)</f>
        <v>8461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">
      <c r="A79" s="164"/>
      <c r="B79" s="165">
        <f>DATE(23,4,1)</f>
        <v>8492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">
      <c r="A80" s="164"/>
      <c r="B80" s="165">
        <f>DATE(23,5,1)</f>
        <v>8522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">
      <c r="A81" s="164"/>
      <c r="B81" s="165">
        <f>DATE(23,6,1)</f>
        <v>8553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" thickBot="1">
      <c r="A82" s="167"/>
      <c r="B82" s="165"/>
      <c r="C82" s="226"/>
      <c r="D82" s="226"/>
      <c r="E82" s="226"/>
      <c r="F82" s="166"/>
      <c r="G82" s="241"/>
      <c r="H82" s="242"/>
    </row>
    <row r="83" spans="1:8" ht="16.5" thickBot="1" thickTop="1">
      <c r="A83" s="174" t="s">
        <v>14</v>
      </c>
      <c r="B83" s="175"/>
      <c r="C83" s="228">
        <f>SUM(C70:C82)</f>
        <v>0</v>
      </c>
      <c r="D83" s="230">
        <f>SUM(D70:D82)</f>
        <v>0</v>
      </c>
      <c r="E83" s="271">
        <f>SUM(E70:E82)</f>
        <v>0</v>
      </c>
      <c r="F83" s="176">
        <v>0</v>
      </c>
      <c r="G83" s="245">
        <v>0</v>
      </c>
      <c r="H83" s="246">
        <v>0</v>
      </c>
    </row>
    <row r="84" spans="1:8" ht="15" thickTop="1">
      <c r="A84" s="167"/>
      <c r="B84" s="168"/>
      <c r="C84" s="226"/>
      <c r="D84" s="226"/>
      <c r="E84" s="226"/>
      <c r="F84" s="166"/>
      <c r="G84" s="241"/>
      <c r="H84" s="242"/>
    </row>
    <row r="85" spans="1:8" ht="15">
      <c r="A85" s="164" t="s">
        <v>64</v>
      </c>
      <c r="B85" s="165">
        <f>DATE(22,7,1)</f>
        <v>8218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">
      <c r="A86" s="164"/>
      <c r="B86" s="165">
        <f>DATE(22,8,1)</f>
        <v>8249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">
      <c r="A87" s="164"/>
      <c r="B87" s="165">
        <f>DATE(22,9,1)</f>
        <v>8280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">
      <c r="A88" s="164"/>
      <c r="B88" s="165">
        <f>DATE(22,10,1)</f>
        <v>8310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">
      <c r="A89" s="164"/>
      <c r="B89" s="165">
        <f>DATE(22,11,1)</f>
        <v>8341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">
      <c r="A90" s="164"/>
      <c r="B90" s="165">
        <f>DATE(22,12,1)</f>
        <v>8371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">
      <c r="A91" s="164"/>
      <c r="B91" s="165">
        <f>DATE(23,1,1)</f>
        <v>8402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">
      <c r="A92" s="164"/>
      <c r="B92" s="165">
        <f>DATE(23,2,1)</f>
        <v>8433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">
      <c r="A93" s="164"/>
      <c r="B93" s="165">
        <f>DATE(23,3,1)</f>
        <v>8461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">
      <c r="A94" s="164"/>
      <c r="B94" s="165">
        <f>DATE(23,4,1)</f>
        <v>8492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">
      <c r="A95" s="164"/>
      <c r="B95" s="165">
        <f>DATE(23,5,1)</f>
        <v>8522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">
      <c r="A96" s="164"/>
      <c r="B96" s="165">
        <f>DATE(23,6,1)</f>
        <v>8553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" thickBot="1">
      <c r="A97" s="167"/>
      <c r="B97" s="165"/>
      <c r="C97" s="226"/>
      <c r="D97" s="226"/>
      <c r="E97" s="226"/>
      <c r="F97" s="166"/>
      <c r="G97" s="241"/>
      <c r="H97" s="242"/>
    </row>
    <row r="98" spans="1:8" ht="16.5" thickBot="1" thickTop="1">
      <c r="A98" s="174" t="s">
        <v>14</v>
      </c>
      <c r="B98" s="175"/>
      <c r="C98" s="228">
        <f>SUM(C85:C97)</f>
        <v>0</v>
      </c>
      <c r="D98" s="230">
        <f>SUM(D85:D97)</f>
        <v>0</v>
      </c>
      <c r="E98" s="271">
        <f>SUM(E85:E97)</f>
        <v>0</v>
      </c>
      <c r="F98" s="176">
        <v>0</v>
      </c>
      <c r="G98" s="245">
        <v>0</v>
      </c>
      <c r="H98" s="246">
        <v>0</v>
      </c>
    </row>
    <row r="99" spans="1:8" ht="15" thickTop="1">
      <c r="A99" s="167"/>
      <c r="B99" s="168"/>
      <c r="C99" s="226"/>
      <c r="D99" s="226"/>
      <c r="E99" s="226"/>
      <c r="F99" s="166"/>
      <c r="G99" s="241"/>
      <c r="H99" s="242"/>
    </row>
    <row r="100" spans="1:8" ht="15">
      <c r="A100" s="164" t="s">
        <v>67</v>
      </c>
      <c r="B100" s="165">
        <f>DATE(22,7,1)</f>
        <v>8218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">
      <c r="A101" s="164"/>
      <c r="B101" s="165">
        <f>DATE(22,8,1)</f>
        <v>8249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">
      <c r="A102" s="164"/>
      <c r="B102" s="165">
        <f>DATE(22,9,1)</f>
        <v>8280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">
      <c r="A103" s="164"/>
      <c r="B103" s="165">
        <f>DATE(22,10,1)</f>
        <v>8310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">
      <c r="A104" s="164"/>
      <c r="B104" s="165">
        <f>DATE(22,11,1)</f>
        <v>8341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">
      <c r="A105" s="164"/>
      <c r="B105" s="165">
        <f>DATE(22,12,1)</f>
        <v>8371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">
      <c r="A106" s="164"/>
      <c r="B106" s="165">
        <f>DATE(23,1,1)</f>
        <v>8402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">
      <c r="A107" s="164"/>
      <c r="B107" s="165">
        <f>DATE(23,2,1)</f>
        <v>8433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">
      <c r="A108" s="164"/>
      <c r="B108" s="165">
        <f>DATE(23,3,1)</f>
        <v>8461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">
      <c r="A109" s="164"/>
      <c r="B109" s="165">
        <f>DATE(23,4,1)</f>
        <v>8492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">
      <c r="A110" s="164"/>
      <c r="B110" s="165">
        <f>DATE(23,5,1)</f>
        <v>8522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">
      <c r="A111" s="164"/>
      <c r="B111" s="165">
        <f>DATE(23,6,1)</f>
        <v>8553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" thickBot="1">
      <c r="A112" s="167"/>
      <c r="B112" s="165"/>
      <c r="C112" s="226"/>
      <c r="D112" s="226"/>
      <c r="E112" s="226"/>
      <c r="F112" s="166"/>
      <c r="G112" s="241"/>
      <c r="H112" s="242"/>
    </row>
    <row r="113" spans="1:8" ht="16.5" thickBot="1" thickTop="1">
      <c r="A113" s="174" t="s">
        <v>14</v>
      </c>
      <c r="B113" s="175"/>
      <c r="C113" s="228">
        <f>SUM(C100:C112)</f>
        <v>0</v>
      </c>
      <c r="D113" s="230">
        <f>SUM(D100:D112)</f>
        <v>0</v>
      </c>
      <c r="E113" s="271">
        <f>SUM(E100:E112)</f>
        <v>0</v>
      </c>
      <c r="F113" s="176">
        <v>0</v>
      </c>
      <c r="G113" s="245">
        <v>0</v>
      </c>
      <c r="H113" s="246">
        <v>0</v>
      </c>
    </row>
    <row r="114" spans="1:8" ht="15" thickTop="1">
      <c r="A114" s="167"/>
      <c r="B114" s="168"/>
      <c r="C114" s="226"/>
      <c r="D114" s="226"/>
      <c r="E114" s="226"/>
      <c r="F114" s="166"/>
      <c r="G114" s="241"/>
      <c r="H114" s="242"/>
    </row>
    <row r="115" spans="1:8" ht="15">
      <c r="A115" s="164" t="s">
        <v>69</v>
      </c>
      <c r="B115" s="165">
        <f>DATE(22,7,1)</f>
        <v>8218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">
      <c r="A116" s="164"/>
      <c r="B116" s="165">
        <f>DATE(22,8,1)</f>
        <v>8249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">
      <c r="A117" s="164"/>
      <c r="B117" s="165">
        <f>DATE(22,9,1)</f>
        <v>8280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">
      <c r="A118" s="164"/>
      <c r="B118" s="165">
        <f>DATE(22,10,1)</f>
        <v>8310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">
      <c r="A119" s="164"/>
      <c r="B119" s="165">
        <f>DATE(22,11,1)</f>
        <v>8341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">
      <c r="A120" s="164"/>
      <c r="B120" s="165">
        <f>DATE(22,12,1)</f>
        <v>8371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">
      <c r="A121" s="164"/>
      <c r="B121" s="165">
        <f>DATE(23,1,1)</f>
        <v>8402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">
      <c r="A122" s="164"/>
      <c r="B122" s="165">
        <f>DATE(23,2,1)</f>
        <v>8433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">
      <c r="A123" s="164"/>
      <c r="B123" s="165">
        <f>DATE(23,3,1)</f>
        <v>8461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">
      <c r="A124" s="164"/>
      <c r="B124" s="165">
        <f>DATE(23,4,1)</f>
        <v>8492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">
      <c r="A125" s="164"/>
      <c r="B125" s="165">
        <f>DATE(23,5,1)</f>
        <v>8522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">
      <c r="A126" s="164"/>
      <c r="B126" s="165">
        <f>DATE(23,6,1)</f>
        <v>8553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" thickBot="1">
      <c r="A127" s="167"/>
      <c r="B127" s="165"/>
      <c r="C127" s="226"/>
      <c r="D127" s="226"/>
      <c r="E127" s="226"/>
      <c r="F127" s="166"/>
      <c r="G127" s="241"/>
      <c r="H127" s="242"/>
    </row>
    <row r="128" spans="1:8" ht="16.5" thickBot="1" thickTop="1">
      <c r="A128" s="174" t="s">
        <v>14</v>
      </c>
      <c r="B128" s="175"/>
      <c r="C128" s="228">
        <f>SUM(C115:C127)</f>
        <v>0</v>
      </c>
      <c r="D128" s="230">
        <f>SUM(D115:D127)</f>
        <v>0</v>
      </c>
      <c r="E128" s="271">
        <f>SUM(E115:E127)</f>
        <v>0</v>
      </c>
      <c r="F128" s="176">
        <v>0</v>
      </c>
      <c r="G128" s="249">
        <v>0</v>
      </c>
      <c r="H128" s="270">
        <v>0</v>
      </c>
    </row>
    <row r="129" spans="1:8" ht="15" thickTop="1">
      <c r="A129" s="167"/>
      <c r="B129" s="179"/>
      <c r="C129" s="229"/>
      <c r="D129" s="229"/>
      <c r="E129" s="229"/>
      <c r="F129" s="180"/>
      <c r="G129" s="247"/>
      <c r="H129" s="248"/>
    </row>
    <row r="130" spans="1:8" ht="15">
      <c r="A130" s="164" t="s">
        <v>16</v>
      </c>
      <c r="B130" s="165">
        <f>DATE(22,7,1)</f>
        <v>8218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">
      <c r="A131" s="164"/>
      <c r="B131" s="165">
        <f>DATE(22,8,1)</f>
        <v>8249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">
      <c r="A132" s="164"/>
      <c r="B132" s="165">
        <f>DATE(22,9,1)</f>
        <v>8280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">
      <c r="A133" s="164"/>
      <c r="B133" s="165">
        <f>DATE(22,10,1)</f>
        <v>8310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">
      <c r="A134" s="164"/>
      <c r="B134" s="165">
        <f>DATE(22,11,1)</f>
        <v>8341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">
      <c r="A135" s="164"/>
      <c r="B135" s="165">
        <f>DATE(22,12,1)</f>
        <v>8371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">
      <c r="A136" s="164"/>
      <c r="B136" s="165">
        <f>DATE(23,1,1)</f>
        <v>8402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">
      <c r="A137" s="164"/>
      <c r="B137" s="165">
        <f>DATE(23,2,1)</f>
        <v>8433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">
      <c r="A138" s="164"/>
      <c r="B138" s="165">
        <f>DATE(23,3,1)</f>
        <v>8461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">
      <c r="A139" s="164"/>
      <c r="B139" s="165">
        <f>DATE(23,4,1)</f>
        <v>8492</v>
      </c>
      <c r="C139" s="226">
        <v>0</v>
      </c>
      <c r="D139" s="226">
        <v>0</v>
      </c>
      <c r="E139" s="226">
        <v>0</v>
      </c>
      <c r="F139" s="166">
        <v>0</v>
      </c>
      <c r="G139" s="241">
        <v>0</v>
      </c>
      <c r="H139" s="242">
        <v>0</v>
      </c>
    </row>
    <row r="140" spans="1:8" ht="15">
      <c r="A140" s="164"/>
      <c r="B140" s="165">
        <f>DATE(23,5,1)</f>
        <v>8522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">
      <c r="A141" s="164"/>
      <c r="B141" s="165">
        <f>DATE(23,6,1)</f>
        <v>8553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.75" thickBot="1">
      <c r="A142" s="164"/>
      <c r="B142" s="165"/>
      <c r="C142" s="226"/>
      <c r="D142" s="226"/>
      <c r="E142" s="226"/>
      <c r="F142" s="166"/>
      <c r="G142" s="241"/>
      <c r="H142" s="242"/>
    </row>
    <row r="143" spans="1:8" ht="16.5" thickBot="1" thickTop="1">
      <c r="A143" s="174" t="s">
        <v>14</v>
      </c>
      <c r="B143" s="181"/>
      <c r="C143" s="228">
        <f>SUM(C130:C142)</f>
        <v>0</v>
      </c>
      <c r="D143" s="228">
        <f>SUM(D130:D142)</f>
        <v>0</v>
      </c>
      <c r="E143" s="228">
        <f>SUM(E130:E142)</f>
        <v>0</v>
      </c>
      <c r="F143" s="176">
        <v>0</v>
      </c>
      <c r="G143" s="245">
        <v>0</v>
      </c>
      <c r="H143" s="246">
        <v>0</v>
      </c>
    </row>
    <row r="144" spans="1:8" ht="15" thickTop="1">
      <c r="A144" s="171"/>
      <c r="B144" s="172"/>
      <c r="C144" s="227"/>
      <c r="D144" s="227"/>
      <c r="E144" s="227"/>
      <c r="F144" s="173"/>
      <c r="G144" s="243"/>
      <c r="H144" s="244"/>
    </row>
    <row r="145" spans="1:8" ht="15">
      <c r="A145" s="164" t="s">
        <v>53</v>
      </c>
      <c r="B145" s="165">
        <f>DATE(22,7,1)</f>
        <v>8218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">
      <c r="A146" s="164"/>
      <c r="B146" s="165">
        <f>DATE(22,8,1)</f>
        <v>8249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">
      <c r="A147" s="164"/>
      <c r="B147" s="165">
        <f>DATE(22,9,1)</f>
        <v>8280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">
      <c r="A148" s="164"/>
      <c r="B148" s="165">
        <f>DATE(22,10,1)</f>
        <v>8310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">
      <c r="A149" s="164"/>
      <c r="B149" s="165">
        <f>DATE(22,11,1)</f>
        <v>8341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">
      <c r="A150" s="164"/>
      <c r="B150" s="165">
        <f>DATE(22,12,1)</f>
        <v>8371</v>
      </c>
      <c r="C150" s="226">
        <v>0</v>
      </c>
      <c r="D150" s="226">
        <v>0</v>
      </c>
      <c r="E150" s="226">
        <v>0</v>
      </c>
      <c r="F150" s="166">
        <v>0</v>
      </c>
      <c r="G150" s="241">
        <v>0</v>
      </c>
      <c r="H150" s="242">
        <v>0</v>
      </c>
    </row>
    <row r="151" spans="1:8" ht="15">
      <c r="A151" s="164"/>
      <c r="B151" s="165">
        <f>DATE(23,1,1)</f>
        <v>8402</v>
      </c>
      <c r="C151" s="226">
        <v>0</v>
      </c>
      <c r="D151" s="226">
        <v>0</v>
      </c>
      <c r="E151" s="226">
        <v>0</v>
      </c>
      <c r="F151" s="166">
        <v>0</v>
      </c>
      <c r="G151" s="241">
        <v>0</v>
      </c>
      <c r="H151" s="242">
        <v>0</v>
      </c>
    </row>
    <row r="152" spans="1:8" ht="15">
      <c r="A152" s="164"/>
      <c r="B152" s="165">
        <f>DATE(23,2,1)</f>
        <v>8433</v>
      </c>
      <c r="C152" s="226">
        <v>0</v>
      </c>
      <c r="D152" s="226">
        <v>0</v>
      </c>
      <c r="E152" s="226">
        <v>0</v>
      </c>
      <c r="F152" s="166">
        <v>0</v>
      </c>
      <c r="G152" s="241">
        <v>0</v>
      </c>
      <c r="H152" s="242">
        <v>0</v>
      </c>
    </row>
    <row r="153" spans="1:8" ht="15">
      <c r="A153" s="164"/>
      <c r="B153" s="165">
        <f>DATE(23,3,1)</f>
        <v>8461</v>
      </c>
      <c r="C153" s="226">
        <v>0</v>
      </c>
      <c r="D153" s="226">
        <v>0</v>
      </c>
      <c r="E153" s="226">
        <v>0</v>
      </c>
      <c r="F153" s="166">
        <v>0</v>
      </c>
      <c r="G153" s="241">
        <v>0</v>
      </c>
      <c r="H153" s="242">
        <v>0</v>
      </c>
    </row>
    <row r="154" spans="1:8" ht="15">
      <c r="A154" s="164"/>
      <c r="B154" s="165">
        <f>DATE(23,4,1)</f>
        <v>8492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">
      <c r="A155" s="164"/>
      <c r="B155" s="165">
        <f>DATE(23,5,1)</f>
        <v>8522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">
      <c r="A156" s="164"/>
      <c r="B156" s="165">
        <f>DATE(23,6,1)</f>
        <v>8553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" thickBot="1">
      <c r="A157" s="167"/>
      <c r="B157" s="168"/>
      <c r="C157" s="226"/>
      <c r="D157" s="226"/>
      <c r="E157" s="226"/>
      <c r="F157" s="166"/>
      <c r="G157" s="241"/>
      <c r="H157" s="242"/>
    </row>
    <row r="158" spans="1:8" ht="16.5" thickBot="1" thickTop="1">
      <c r="A158" s="174" t="s">
        <v>14</v>
      </c>
      <c r="B158" s="175"/>
      <c r="C158" s="228">
        <f>SUM(C145:C157)</f>
        <v>0</v>
      </c>
      <c r="D158" s="228">
        <f>SUM(D145:D157)</f>
        <v>0</v>
      </c>
      <c r="E158" s="228">
        <f>SUM(E145:E157)</f>
        <v>0</v>
      </c>
      <c r="F158" s="176">
        <v>0</v>
      </c>
      <c r="G158" s="245">
        <v>0</v>
      </c>
      <c r="H158" s="246">
        <v>0</v>
      </c>
    </row>
    <row r="159" spans="1:8" ht="15" thickTop="1">
      <c r="A159" s="167"/>
      <c r="B159" s="168"/>
      <c r="C159" s="226"/>
      <c r="D159" s="226"/>
      <c r="E159" s="226"/>
      <c r="F159" s="166"/>
      <c r="G159" s="241"/>
      <c r="H159" s="242"/>
    </row>
    <row r="160" spans="1:8" ht="15">
      <c r="A160" s="164" t="s">
        <v>54</v>
      </c>
      <c r="B160" s="165">
        <f>DATE(22,7,1)</f>
        <v>8218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">
      <c r="A161" s="164"/>
      <c r="B161" s="165">
        <f>DATE(22,8,1)</f>
        <v>8249</v>
      </c>
      <c r="C161" s="226">
        <v>0</v>
      </c>
      <c r="D161" s="226">
        <v>0</v>
      </c>
      <c r="E161" s="226">
        <v>0</v>
      </c>
      <c r="F161" s="166">
        <v>0</v>
      </c>
      <c r="G161" s="241">
        <v>0</v>
      </c>
      <c r="H161" s="242">
        <v>0</v>
      </c>
    </row>
    <row r="162" spans="1:8" ht="15">
      <c r="A162" s="164"/>
      <c r="B162" s="165">
        <f>DATE(22,9,1)</f>
        <v>8280</v>
      </c>
      <c r="C162" s="226">
        <v>0</v>
      </c>
      <c r="D162" s="226">
        <v>0</v>
      </c>
      <c r="E162" s="226">
        <v>0</v>
      </c>
      <c r="F162" s="166">
        <v>0</v>
      </c>
      <c r="G162" s="241">
        <v>0</v>
      </c>
      <c r="H162" s="242">
        <v>0</v>
      </c>
    </row>
    <row r="163" spans="1:8" ht="15">
      <c r="A163" s="164"/>
      <c r="B163" s="165">
        <f>DATE(22,10,1)</f>
        <v>8310</v>
      </c>
      <c r="C163" s="226">
        <v>0</v>
      </c>
      <c r="D163" s="226">
        <v>0</v>
      </c>
      <c r="E163" s="226">
        <v>0</v>
      </c>
      <c r="F163" s="166">
        <v>0</v>
      </c>
      <c r="G163" s="241">
        <v>0</v>
      </c>
      <c r="H163" s="242">
        <v>0</v>
      </c>
    </row>
    <row r="164" spans="1:8" ht="15">
      <c r="A164" s="164"/>
      <c r="B164" s="165">
        <f>DATE(22,11,1)</f>
        <v>8341</v>
      </c>
      <c r="C164" s="226">
        <v>0</v>
      </c>
      <c r="D164" s="226">
        <v>0</v>
      </c>
      <c r="E164" s="226">
        <v>0</v>
      </c>
      <c r="F164" s="166">
        <v>0</v>
      </c>
      <c r="G164" s="241">
        <v>0</v>
      </c>
      <c r="H164" s="242">
        <v>0</v>
      </c>
    </row>
    <row r="165" spans="1:8" ht="15">
      <c r="A165" s="164"/>
      <c r="B165" s="165">
        <f>DATE(22,12,1)</f>
        <v>8371</v>
      </c>
      <c r="C165" s="226">
        <v>0</v>
      </c>
      <c r="D165" s="226">
        <v>0</v>
      </c>
      <c r="E165" s="226">
        <v>0</v>
      </c>
      <c r="F165" s="166">
        <v>0</v>
      </c>
      <c r="G165" s="241">
        <v>0</v>
      </c>
      <c r="H165" s="242">
        <v>0</v>
      </c>
    </row>
    <row r="166" spans="1:8" ht="15">
      <c r="A166" s="164"/>
      <c r="B166" s="165">
        <f>DATE(23,1,1)</f>
        <v>8402</v>
      </c>
      <c r="C166" s="226">
        <v>0</v>
      </c>
      <c r="D166" s="226">
        <v>0</v>
      </c>
      <c r="E166" s="226">
        <v>0</v>
      </c>
      <c r="F166" s="166">
        <v>0</v>
      </c>
      <c r="G166" s="241">
        <v>0</v>
      </c>
      <c r="H166" s="242">
        <v>0</v>
      </c>
    </row>
    <row r="167" spans="1:8" ht="15">
      <c r="A167" s="164"/>
      <c r="B167" s="165">
        <f>DATE(23,2,1)</f>
        <v>8433</v>
      </c>
      <c r="C167" s="226">
        <v>0</v>
      </c>
      <c r="D167" s="226">
        <v>0</v>
      </c>
      <c r="E167" s="226">
        <v>0</v>
      </c>
      <c r="F167" s="166">
        <v>0</v>
      </c>
      <c r="G167" s="241">
        <v>0</v>
      </c>
      <c r="H167" s="242">
        <v>0</v>
      </c>
    </row>
    <row r="168" spans="1:8" ht="15">
      <c r="A168" s="164"/>
      <c r="B168" s="165">
        <f>DATE(23,3,1)</f>
        <v>8461</v>
      </c>
      <c r="C168" s="226">
        <v>0</v>
      </c>
      <c r="D168" s="226">
        <v>0</v>
      </c>
      <c r="E168" s="226">
        <v>0</v>
      </c>
      <c r="F168" s="166">
        <v>0</v>
      </c>
      <c r="G168" s="241">
        <v>0</v>
      </c>
      <c r="H168" s="242">
        <v>0</v>
      </c>
    </row>
    <row r="169" spans="1:8" ht="15">
      <c r="A169" s="164"/>
      <c r="B169" s="165">
        <f>DATE(23,4,1)</f>
        <v>8492</v>
      </c>
      <c r="C169" s="226">
        <v>0</v>
      </c>
      <c r="D169" s="226">
        <v>0</v>
      </c>
      <c r="E169" s="226">
        <v>0</v>
      </c>
      <c r="F169" s="166">
        <v>0</v>
      </c>
      <c r="G169" s="241">
        <v>0</v>
      </c>
      <c r="H169" s="242">
        <v>0</v>
      </c>
    </row>
    <row r="170" spans="1:8" ht="15">
      <c r="A170" s="164"/>
      <c r="B170" s="165">
        <f>DATE(23,5,1)</f>
        <v>8522</v>
      </c>
      <c r="C170" s="226">
        <v>0</v>
      </c>
      <c r="D170" s="226">
        <v>0</v>
      </c>
      <c r="E170" s="226">
        <v>0</v>
      </c>
      <c r="F170" s="166">
        <v>0</v>
      </c>
      <c r="G170" s="241">
        <v>0</v>
      </c>
      <c r="H170" s="242">
        <v>0</v>
      </c>
    </row>
    <row r="171" spans="1:8" ht="15">
      <c r="A171" s="164"/>
      <c r="B171" s="165">
        <f>DATE(23,6,1)</f>
        <v>8553</v>
      </c>
      <c r="C171" s="226">
        <v>0</v>
      </c>
      <c r="D171" s="226">
        <v>0</v>
      </c>
      <c r="E171" s="226">
        <v>0</v>
      </c>
      <c r="F171" s="166">
        <v>0</v>
      </c>
      <c r="G171" s="241">
        <v>0</v>
      </c>
      <c r="H171" s="242">
        <v>0</v>
      </c>
    </row>
    <row r="172" spans="1:8" ht="15" thickBot="1">
      <c r="A172" s="167"/>
      <c r="B172" s="168"/>
      <c r="C172" s="226"/>
      <c r="D172" s="226"/>
      <c r="E172" s="226"/>
      <c r="F172" s="166"/>
      <c r="G172" s="241"/>
      <c r="H172" s="242"/>
    </row>
    <row r="173" spans="1:8" ht="16.5" thickBot="1" thickTop="1">
      <c r="A173" s="182" t="s">
        <v>14</v>
      </c>
      <c r="B173" s="183"/>
      <c r="C173" s="230">
        <f>SUM(C160:C172)</f>
        <v>0</v>
      </c>
      <c r="D173" s="230">
        <f>SUM(D160:D172)</f>
        <v>0</v>
      </c>
      <c r="E173" s="230">
        <f>SUM(E160:E172)</f>
        <v>0</v>
      </c>
      <c r="F173" s="176">
        <v>0</v>
      </c>
      <c r="G173" s="245">
        <v>0</v>
      </c>
      <c r="H173" s="246">
        <v>0</v>
      </c>
    </row>
    <row r="174" spans="1:8" ht="15" thickTop="1">
      <c r="A174" s="167"/>
      <c r="B174" s="168"/>
      <c r="C174" s="226"/>
      <c r="D174" s="226"/>
      <c r="E174" s="226"/>
      <c r="F174" s="166"/>
      <c r="G174" s="241"/>
      <c r="H174" s="242"/>
    </row>
    <row r="175" spans="1:8" ht="15">
      <c r="A175" s="164" t="s">
        <v>37</v>
      </c>
      <c r="B175" s="165">
        <f>DATE(22,7,1)</f>
        <v>8218</v>
      </c>
      <c r="C175" s="226">
        <v>5095922.64</v>
      </c>
      <c r="D175" s="226">
        <v>215844.68</v>
      </c>
      <c r="E175" s="226">
        <v>209181.95</v>
      </c>
      <c r="F175" s="166">
        <f aca="true" t="shared" si="2" ref="F175:F186">+(D175-E175)/E175</f>
        <v>0.03185136193634289</v>
      </c>
      <c r="G175" s="241">
        <f aca="true" t="shared" si="3" ref="G175:G186">+D175/C175</f>
        <v>0.042356349428412834</v>
      </c>
      <c r="H175" s="289">
        <f aca="true" t="shared" si="4" ref="H175:H186">1-G175</f>
        <v>0.9576436505715872</v>
      </c>
    </row>
    <row r="176" spans="1:8" ht="15">
      <c r="A176" s="164"/>
      <c r="B176" s="165">
        <f>DATE(22,8,1)</f>
        <v>8249</v>
      </c>
      <c r="C176" s="226">
        <v>4684772.5</v>
      </c>
      <c r="D176" s="226">
        <v>222475.66</v>
      </c>
      <c r="E176" s="226">
        <v>126701.54</v>
      </c>
      <c r="F176" s="166">
        <f t="shared" si="2"/>
        <v>0.7559033615534587</v>
      </c>
      <c r="G176" s="241">
        <f t="shared" si="3"/>
        <v>0.047489106461413015</v>
      </c>
      <c r="H176" s="289">
        <f t="shared" si="4"/>
        <v>0.952510893538587</v>
      </c>
    </row>
    <row r="177" spans="1:8" ht="15">
      <c r="A177" s="164"/>
      <c r="B177" s="165">
        <f>DATE(22,9,1)</f>
        <v>8280</v>
      </c>
      <c r="C177" s="226">
        <v>4372547.5</v>
      </c>
      <c r="D177" s="226">
        <v>213180.35</v>
      </c>
      <c r="E177" s="226">
        <v>145306.89</v>
      </c>
      <c r="F177" s="166">
        <f t="shared" si="2"/>
        <v>0.46710420958015125</v>
      </c>
      <c r="G177" s="241">
        <f t="shared" si="3"/>
        <v>0.048754267392178134</v>
      </c>
      <c r="H177" s="289">
        <f t="shared" si="4"/>
        <v>0.9512457326078219</v>
      </c>
    </row>
    <row r="178" spans="1:8" ht="15">
      <c r="A178" s="164"/>
      <c r="B178" s="165">
        <f>DATE(22,10,1)</f>
        <v>8310</v>
      </c>
      <c r="C178" s="226">
        <v>4954774</v>
      </c>
      <c r="D178" s="226">
        <v>197241.83</v>
      </c>
      <c r="E178" s="226">
        <v>179665.17</v>
      </c>
      <c r="F178" s="166">
        <f t="shared" si="2"/>
        <v>0.09783009138610435</v>
      </c>
      <c r="G178" s="241">
        <f t="shared" si="3"/>
        <v>0.03980844131336767</v>
      </c>
      <c r="H178" s="289">
        <f t="shared" si="4"/>
        <v>0.9601915586866323</v>
      </c>
    </row>
    <row r="179" spans="1:8" ht="15">
      <c r="A179" s="164"/>
      <c r="B179" s="165">
        <f>DATE(22,11,1)</f>
        <v>8341</v>
      </c>
      <c r="C179" s="226">
        <v>3855288</v>
      </c>
      <c r="D179" s="226">
        <v>191836.78</v>
      </c>
      <c r="E179" s="226">
        <v>200635.43</v>
      </c>
      <c r="F179" s="166">
        <f t="shared" si="2"/>
        <v>-0.04385391951959828</v>
      </c>
      <c r="G179" s="241">
        <f t="shared" si="3"/>
        <v>0.049759390219355853</v>
      </c>
      <c r="H179" s="289">
        <f t="shared" si="4"/>
        <v>0.9502406097806442</v>
      </c>
    </row>
    <row r="180" spans="1:8" ht="15">
      <c r="A180" s="164"/>
      <c r="B180" s="165">
        <f>DATE(22,12,1)</f>
        <v>8371</v>
      </c>
      <c r="C180" s="226">
        <v>4154017.5</v>
      </c>
      <c r="D180" s="226">
        <v>198418.76</v>
      </c>
      <c r="E180" s="226">
        <v>258639.24</v>
      </c>
      <c r="F180" s="166">
        <f t="shared" si="2"/>
        <v>-0.2328358218188392</v>
      </c>
      <c r="G180" s="241">
        <f t="shared" si="3"/>
        <v>0.04776550893201582</v>
      </c>
      <c r="H180" s="289">
        <f t="shared" si="4"/>
        <v>0.9522344910679842</v>
      </c>
    </row>
    <row r="181" spans="1:8" ht="15">
      <c r="A181" s="164"/>
      <c r="B181" s="165">
        <f>DATE(23,1,1)</f>
        <v>8402</v>
      </c>
      <c r="C181" s="226">
        <v>3997710</v>
      </c>
      <c r="D181" s="226">
        <v>161229.07</v>
      </c>
      <c r="E181" s="226">
        <v>255321.86</v>
      </c>
      <c r="F181" s="166">
        <f t="shared" si="2"/>
        <v>-0.36852618103283435</v>
      </c>
      <c r="G181" s="241">
        <f t="shared" si="3"/>
        <v>0.0403303566291702</v>
      </c>
      <c r="H181" s="289">
        <f t="shared" si="4"/>
        <v>0.9596696433708298</v>
      </c>
    </row>
    <row r="182" spans="1:8" ht="15">
      <c r="A182" s="164"/>
      <c r="B182" s="165">
        <f>DATE(23,2,1)</f>
        <v>8433</v>
      </c>
      <c r="C182" s="226">
        <v>4393515.5</v>
      </c>
      <c r="D182" s="226">
        <v>159252.82</v>
      </c>
      <c r="E182" s="226">
        <v>283659.46</v>
      </c>
      <c r="F182" s="166">
        <f t="shared" si="2"/>
        <v>-0.4385774407100683</v>
      </c>
      <c r="G182" s="241">
        <f t="shared" si="3"/>
        <v>0.03624724210031807</v>
      </c>
      <c r="H182" s="289">
        <f t="shared" si="4"/>
        <v>0.963752757899682</v>
      </c>
    </row>
    <row r="183" spans="1:8" ht="15">
      <c r="A183" s="164"/>
      <c r="B183" s="165">
        <f>DATE(23,3,1)</f>
        <v>8461</v>
      </c>
      <c r="C183" s="226">
        <v>5520741</v>
      </c>
      <c r="D183" s="226">
        <v>210856.45</v>
      </c>
      <c r="E183" s="226">
        <v>172733.04</v>
      </c>
      <c r="F183" s="166">
        <f t="shared" si="2"/>
        <v>0.22070710965313875</v>
      </c>
      <c r="G183" s="241">
        <f t="shared" si="3"/>
        <v>0.03819350518345273</v>
      </c>
      <c r="H183" s="289">
        <f t="shared" si="4"/>
        <v>0.9618064948165472</v>
      </c>
    </row>
    <row r="184" spans="1:8" ht="15">
      <c r="A184" s="164"/>
      <c r="B184" s="165">
        <f>DATE(23,4,1)</f>
        <v>8492</v>
      </c>
      <c r="C184" s="226">
        <v>5008431.5</v>
      </c>
      <c r="D184" s="226">
        <v>191780.04</v>
      </c>
      <c r="E184" s="226">
        <v>178952.38</v>
      </c>
      <c r="F184" s="166">
        <f t="shared" si="2"/>
        <v>0.07168197483598711</v>
      </c>
      <c r="G184" s="241">
        <f t="shared" si="3"/>
        <v>0.03829143714953474</v>
      </c>
      <c r="H184" s="289">
        <f t="shared" si="4"/>
        <v>0.9617085628504652</v>
      </c>
    </row>
    <row r="185" spans="1:8" ht="15">
      <c r="A185" s="164"/>
      <c r="B185" s="165">
        <f>DATE(23,5,1)</f>
        <v>8522</v>
      </c>
      <c r="C185" s="226">
        <v>4069190.5</v>
      </c>
      <c r="D185" s="226">
        <v>172569.71</v>
      </c>
      <c r="E185" s="226">
        <v>248111.88</v>
      </c>
      <c r="F185" s="166">
        <f t="shared" si="2"/>
        <v>-0.30446816976276997</v>
      </c>
      <c r="G185" s="241">
        <f t="shared" si="3"/>
        <v>0.0424088550290285</v>
      </c>
      <c r="H185" s="289">
        <f t="shared" si="4"/>
        <v>0.9575911449709715</v>
      </c>
    </row>
    <row r="186" spans="1:8" ht="15">
      <c r="A186" s="164"/>
      <c r="B186" s="165">
        <f>DATE(23,6,1)</f>
        <v>8553</v>
      </c>
      <c r="C186" s="226">
        <v>4152878</v>
      </c>
      <c r="D186" s="226">
        <v>172470.29</v>
      </c>
      <c r="E186" s="226">
        <v>183601.17</v>
      </c>
      <c r="F186" s="166">
        <f t="shared" si="2"/>
        <v>-0.06062532172316769</v>
      </c>
      <c r="G186" s="241">
        <f t="shared" si="3"/>
        <v>0.04153030500775607</v>
      </c>
      <c r="H186" s="289">
        <f t="shared" si="4"/>
        <v>0.9584696949922439</v>
      </c>
    </row>
    <row r="187" spans="1:8" ht="15" thickBot="1">
      <c r="A187" s="167"/>
      <c r="B187" s="168"/>
      <c r="C187" s="226"/>
      <c r="D187" s="226"/>
      <c r="E187" s="226"/>
      <c r="F187" s="166"/>
      <c r="G187" s="241"/>
      <c r="H187" s="242"/>
    </row>
    <row r="188" spans="1:8" ht="16.5" thickBot="1" thickTop="1">
      <c r="A188" s="174" t="s">
        <v>14</v>
      </c>
      <c r="B188" s="175"/>
      <c r="C188" s="228">
        <f>SUM(C175:C187)</f>
        <v>54259788.64</v>
      </c>
      <c r="D188" s="228">
        <f>SUM(D175:D187)</f>
        <v>2307156.4400000004</v>
      </c>
      <c r="E188" s="228">
        <f>SUM(E175:E187)</f>
        <v>2442510.01</v>
      </c>
      <c r="F188" s="176">
        <f>+(D188-E188)/E188</f>
        <v>-0.055415768797606436</v>
      </c>
      <c r="G188" s="245">
        <f>+D188/C188</f>
        <v>0.04252055707970779</v>
      </c>
      <c r="H188" s="246">
        <f>1-G188</f>
        <v>0.9574794429202922</v>
      </c>
    </row>
    <row r="189" spans="1:8" ht="15" thickTop="1">
      <c r="A189" s="167"/>
      <c r="B189" s="168"/>
      <c r="C189" s="226"/>
      <c r="D189" s="226"/>
      <c r="E189" s="226"/>
      <c r="F189" s="166"/>
      <c r="G189" s="241"/>
      <c r="H189" s="242"/>
    </row>
    <row r="190" spans="1:8" ht="15">
      <c r="A190" s="164" t="s">
        <v>57</v>
      </c>
      <c r="B190" s="165">
        <f>DATE(22,7,1)</f>
        <v>8218</v>
      </c>
      <c r="C190" s="226">
        <v>0</v>
      </c>
      <c r="D190" s="226">
        <v>0</v>
      </c>
      <c r="E190" s="226">
        <v>0</v>
      </c>
      <c r="F190" s="166">
        <v>0</v>
      </c>
      <c r="G190" s="241">
        <v>0</v>
      </c>
      <c r="H190" s="242">
        <v>0</v>
      </c>
    </row>
    <row r="191" spans="1:8" ht="15">
      <c r="A191" s="164"/>
      <c r="B191" s="165">
        <f>DATE(22,8,1)</f>
        <v>8249</v>
      </c>
      <c r="C191" s="226">
        <v>0</v>
      </c>
      <c r="D191" s="226">
        <v>0</v>
      </c>
      <c r="E191" s="226">
        <v>0</v>
      </c>
      <c r="F191" s="166">
        <v>0</v>
      </c>
      <c r="G191" s="241">
        <v>0</v>
      </c>
      <c r="H191" s="242">
        <v>0</v>
      </c>
    </row>
    <row r="192" spans="1:8" ht="15">
      <c r="A192" s="164"/>
      <c r="B192" s="165">
        <f>DATE(22,9,1)</f>
        <v>8280</v>
      </c>
      <c r="C192" s="226">
        <v>0</v>
      </c>
      <c r="D192" s="226">
        <v>0</v>
      </c>
      <c r="E192" s="226">
        <v>0</v>
      </c>
      <c r="F192" s="166">
        <v>0</v>
      </c>
      <c r="G192" s="241">
        <v>0</v>
      </c>
      <c r="H192" s="242">
        <v>0</v>
      </c>
    </row>
    <row r="193" spans="1:8" ht="15">
      <c r="A193" s="164"/>
      <c r="B193" s="165">
        <f>DATE(22,10,1)</f>
        <v>8310</v>
      </c>
      <c r="C193" s="226">
        <v>0</v>
      </c>
      <c r="D193" s="226">
        <v>0</v>
      </c>
      <c r="E193" s="226">
        <v>0</v>
      </c>
      <c r="F193" s="166">
        <v>0</v>
      </c>
      <c r="G193" s="241">
        <v>0</v>
      </c>
      <c r="H193" s="242">
        <v>0</v>
      </c>
    </row>
    <row r="194" spans="1:8" ht="15">
      <c r="A194" s="164"/>
      <c r="B194" s="165">
        <f>DATE(22,11,1)</f>
        <v>8341</v>
      </c>
      <c r="C194" s="226">
        <v>0</v>
      </c>
      <c r="D194" s="226">
        <v>0</v>
      </c>
      <c r="E194" s="226">
        <v>0</v>
      </c>
      <c r="F194" s="166">
        <v>0</v>
      </c>
      <c r="G194" s="241">
        <v>0</v>
      </c>
      <c r="H194" s="242">
        <v>0</v>
      </c>
    </row>
    <row r="195" spans="1:8" ht="15">
      <c r="A195" s="164"/>
      <c r="B195" s="165">
        <f>DATE(22,12,1)</f>
        <v>8371</v>
      </c>
      <c r="C195" s="226">
        <v>0</v>
      </c>
      <c r="D195" s="226">
        <v>0</v>
      </c>
      <c r="E195" s="226">
        <v>0</v>
      </c>
      <c r="F195" s="166">
        <v>0</v>
      </c>
      <c r="G195" s="241">
        <v>0</v>
      </c>
      <c r="H195" s="242">
        <v>0</v>
      </c>
    </row>
    <row r="196" spans="1:8" ht="15">
      <c r="A196" s="164"/>
      <c r="B196" s="165">
        <f>DATE(23,1,1)</f>
        <v>8402</v>
      </c>
      <c r="C196" s="226">
        <v>0</v>
      </c>
      <c r="D196" s="226">
        <v>0</v>
      </c>
      <c r="E196" s="226">
        <v>0</v>
      </c>
      <c r="F196" s="166">
        <v>0</v>
      </c>
      <c r="G196" s="241">
        <v>0</v>
      </c>
      <c r="H196" s="242">
        <v>0</v>
      </c>
    </row>
    <row r="197" spans="1:8" ht="15">
      <c r="A197" s="164"/>
      <c r="B197" s="165">
        <f>DATE(23,2,1)</f>
        <v>8433</v>
      </c>
      <c r="C197" s="226">
        <v>0</v>
      </c>
      <c r="D197" s="226">
        <v>0</v>
      </c>
      <c r="E197" s="226">
        <v>0</v>
      </c>
      <c r="F197" s="166">
        <v>0</v>
      </c>
      <c r="G197" s="241">
        <v>0</v>
      </c>
      <c r="H197" s="242">
        <v>0</v>
      </c>
    </row>
    <row r="198" spans="1:8" ht="15">
      <c r="A198" s="164"/>
      <c r="B198" s="165">
        <f>DATE(23,3,1)</f>
        <v>8461</v>
      </c>
      <c r="C198" s="226">
        <v>0</v>
      </c>
      <c r="D198" s="226">
        <v>0</v>
      </c>
      <c r="E198" s="226">
        <v>0</v>
      </c>
      <c r="F198" s="166">
        <v>0</v>
      </c>
      <c r="G198" s="241">
        <v>0</v>
      </c>
      <c r="H198" s="242">
        <v>0</v>
      </c>
    </row>
    <row r="199" spans="1:8" ht="15">
      <c r="A199" s="164"/>
      <c r="B199" s="165">
        <f>DATE(23,4,1)</f>
        <v>8492</v>
      </c>
      <c r="C199" s="226">
        <v>0</v>
      </c>
      <c r="D199" s="226">
        <v>0</v>
      </c>
      <c r="E199" s="226">
        <v>0</v>
      </c>
      <c r="F199" s="166">
        <v>0</v>
      </c>
      <c r="G199" s="241">
        <v>0</v>
      </c>
      <c r="H199" s="242">
        <v>0</v>
      </c>
    </row>
    <row r="200" spans="1:8" ht="15">
      <c r="A200" s="164"/>
      <c r="B200" s="165">
        <f>DATE(23,5,1)</f>
        <v>8522</v>
      </c>
      <c r="C200" s="226">
        <v>0</v>
      </c>
      <c r="D200" s="226">
        <v>0</v>
      </c>
      <c r="E200" s="226">
        <v>0</v>
      </c>
      <c r="F200" s="166">
        <v>0</v>
      </c>
      <c r="G200" s="241">
        <v>0</v>
      </c>
      <c r="H200" s="242">
        <v>0</v>
      </c>
    </row>
    <row r="201" spans="1:8" ht="15">
      <c r="A201" s="164"/>
      <c r="B201" s="165">
        <f>DATE(23,6,1)</f>
        <v>8553</v>
      </c>
      <c r="C201" s="226">
        <v>0</v>
      </c>
      <c r="D201" s="226">
        <v>0</v>
      </c>
      <c r="E201" s="226">
        <v>0</v>
      </c>
      <c r="F201" s="166">
        <v>0</v>
      </c>
      <c r="G201" s="241">
        <v>0</v>
      </c>
      <c r="H201" s="242">
        <v>0</v>
      </c>
    </row>
    <row r="202" spans="1:8" ht="15" thickBot="1">
      <c r="A202" s="167"/>
      <c r="B202" s="168"/>
      <c r="C202" s="226"/>
      <c r="D202" s="226"/>
      <c r="E202" s="226"/>
      <c r="F202" s="166"/>
      <c r="G202" s="241"/>
      <c r="H202" s="242"/>
    </row>
    <row r="203" spans="1:8" ht="16.5" thickBot="1" thickTop="1">
      <c r="A203" s="169" t="s">
        <v>14</v>
      </c>
      <c r="B203" s="155"/>
      <c r="C203" s="223">
        <f>SUM(C190:C202)</f>
        <v>0</v>
      </c>
      <c r="D203" s="223">
        <f>SUM(D190:D202)</f>
        <v>0</v>
      </c>
      <c r="E203" s="223">
        <f>SUM(E190:E202)</f>
        <v>0</v>
      </c>
      <c r="F203" s="176">
        <v>0</v>
      </c>
      <c r="G203" s="245">
        <v>0</v>
      </c>
      <c r="H203" s="246">
        <v>0</v>
      </c>
    </row>
    <row r="204" spans="1:8" ht="15.75" thickBot="1" thickTop="1">
      <c r="A204" s="171"/>
      <c r="B204" s="172"/>
      <c r="C204" s="227"/>
      <c r="D204" s="227"/>
      <c r="E204" s="227"/>
      <c r="F204" s="173"/>
      <c r="G204" s="243"/>
      <c r="H204" s="244"/>
    </row>
    <row r="205" spans="1:8" ht="16.5" thickBot="1" thickTop="1">
      <c r="A205" s="184" t="s">
        <v>38</v>
      </c>
      <c r="B205" s="155"/>
      <c r="C205" s="223">
        <f>C203+C188+C143+C113+C83+C53+C23+C68+C173+C38+C128+C158+C98</f>
        <v>83763827.85</v>
      </c>
      <c r="D205" s="223">
        <f>D203+D188+D143+D113+D83+D53+D23+D68+D173+D38+D128+D158+D98</f>
        <v>3672730.95</v>
      </c>
      <c r="E205" s="223">
        <f>E203+E188+E143+E113+E83+E53+E23+E68+E173+E38+E128+E158+E98</f>
        <v>3371447.2199999997</v>
      </c>
      <c r="F205" s="176">
        <f>+(D205-E205)/E205</f>
        <v>0.08936332391998723</v>
      </c>
      <c r="G205" s="236">
        <f>D205/C205</f>
        <v>0.04384626448276624</v>
      </c>
      <c r="H205" s="237">
        <f>1-G205</f>
        <v>0.9561537355172338</v>
      </c>
    </row>
    <row r="206" spans="1:8" ht="16.5" thickBot="1" thickTop="1">
      <c r="A206" s="184"/>
      <c r="B206" s="155"/>
      <c r="C206" s="223"/>
      <c r="D206" s="223"/>
      <c r="E206" s="223"/>
      <c r="F206" s="170"/>
      <c r="G206" s="236"/>
      <c r="H206" s="237"/>
    </row>
    <row r="207" spans="1:8" ht="16.5" thickBot="1" thickTop="1">
      <c r="A207" s="184" t="s">
        <v>39</v>
      </c>
      <c r="B207" s="155"/>
      <c r="C207" s="223">
        <f>+C21+C36+C51+C66+C81+C96+C111+C126+C141+C156+C171+C186+C201</f>
        <v>4152878</v>
      </c>
      <c r="D207" s="223">
        <f>+D21+D36+D51+D66+D81+D96+D111+D126+D141+D156+D171+D186+D201</f>
        <v>172470.29</v>
      </c>
      <c r="E207" s="223">
        <f>+E21+E36+E51+E66+E81+E96+E111+E126+E141+E156+E171+E186+E201</f>
        <v>380266.44000000006</v>
      </c>
      <c r="F207" s="176">
        <f>+(D207-E207)/E207</f>
        <v>-0.5464488267752474</v>
      </c>
      <c r="G207" s="236">
        <f>D207/C207</f>
        <v>0.04153030500775607</v>
      </c>
      <c r="H207" s="246">
        <f>1-G207</f>
        <v>0.9584696949922439</v>
      </c>
    </row>
    <row r="208" spans="1:8" ht="15.75" thickTop="1">
      <c r="A208" s="185"/>
      <c r="B208" s="186"/>
      <c r="C208" s="231"/>
      <c r="D208" s="231"/>
      <c r="E208" s="231"/>
      <c r="F208" s="187"/>
      <c r="G208" s="250"/>
      <c r="H208" s="250"/>
    </row>
    <row r="209" spans="1:8" ht="17.25">
      <c r="A209" s="188" t="s">
        <v>49</v>
      </c>
      <c r="B209" s="189"/>
      <c r="C209" s="232"/>
      <c r="D209" s="232"/>
      <c r="E209" s="232"/>
      <c r="F209" s="190"/>
      <c r="G209" s="251"/>
      <c r="H209" s="251"/>
    </row>
    <row r="210" spans="1:8" ht="15">
      <c r="A210" s="191"/>
      <c r="B210" s="189"/>
      <c r="C210" s="232"/>
      <c r="D210" s="232"/>
      <c r="E210" s="232"/>
      <c r="F210" s="190"/>
      <c r="G210" s="257"/>
      <c r="H210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4" manualBreakCount="4">
    <brk id="53" max="255" man="1"/>
    <brk id="98" max="255" man="1"/>
    <brk id="143" max="255" man="1"/>
    <brk id="1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 aca="true" t="shared" si="0" ref="F10:F21">(+D10-E10)/E10</f>
        <v>-0.050274622998703784</v>
      </c>
      <c r="G10" s="241">
        <f aca="true" t="shared" si="1" ref="G10:G21">D10/C10</f>
        <v>0.09543807894024711</v>
      </c>
      <c r="H10" s="242">
        <f aca="true" t="shared" si="2" ref="H10:H21">1-G10</f>
        <v>0.9045619210597529</v>
      </c>
      <c r="I10" s="157"/>
    </row>
    <row r="11" spans="1:9" ht="15">
      <c r="A11" s="164"/>
      <c r="B11" s="165">
        <f>DATE(22,8,1)</f>
        <v>8249</v>
      </c>
      <c r="C11" s="226">
        <v>124862515.53</v>
      </c>
      <c r="D11" s="226">
        <v>11827521.81</v>
      </c>
      <c r="E11" s="226">
        <v>12571995.62</v>
      </c>
      <c r="F11" s="166">
        <f t="shared" si="0"/>
        <v>-0.05921683657093087</v>
      </c>
      <c r="G11" s="241">
        <f t="shared" si="1"/>
        <v>0.09472435950690317</v>
      </c>
      <c r="H11" s="242">
        <f t="shared" si="2"/>
        <v>0.9052756404930968</v>
      </c>
      <c r="I11" s="157"/>
    </row>
    <row r="12" spans="1:9" ht="15">
      <c r="A12" s="164"/>
      <c r="B12" s="165">
        <f>DATE(22,9,1)</f>
        <v>8280</v>
      </c>
      <c r="C12" s="226">
        <v>120845603.62</v>
      </c>
      <c r="D12" s="226">
        <v>11779242.13</v>
      </c>
      <c r="E12" s="226">
        <v>11932276.22</v>
      </c>
      <c r="F12" s="166">
        <f t="shared" si="0"/>
        <v>-0.012825221875395023</v>
      </c>
      <c r="G12" s="241">
        <f t="shared" si="1"/>
        <v>0.09747348498535309</v>
      </c>
      <c r="H12" s="242">
        <f t="shared" si="2"/>
        <v>0.9025265150146469</v>
      </c>
      <c r="I12" s="157"/>
    </row>
    <row r="13" spans="1:9" ht="1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 t="shared" si="0"/>
        <v>-0.0598119061606977</v>
      </c>
      <c r="G13" s="241">
        <f t="shared" si="1"/>
        <v>0.09629289624789654</v>
      </c>
      <c r="H13" s="242">
        <f t="shared" si="2"/>
        <v>0.9037071037521035</v>
      </c>
      <c r="I13" s="157"/>
    </row>
    <row r="14" spans="1:9" ht="15">
      <c r="A14" s="164"/>
      <c r="B14" s="165">
        <f>DATE(22,11,1)</f>
        <v>8341</v>
      </c>
      <c r="C14" s="226">
        <v>116767090.33</v>
      </c>
      <c r="D14" s="226">
        <v>10518258.62</v>
      </c>
      <c r="E14" s="226">
        <v>11228260.11</v>
      </c>
      <c r="F14" s="166">
        <f t="shared" si="0"/>
        <v>-0.06323343804332301</v>
      </c>
      <c r="G14" s="241">
        <f t="shared" si="1"/>
        <v>0.09007896480313024</v>
      </c>
      <c r="H14" s="242">
        <f t="shared" si="2"/>
        <v>0.9099210351968697</v>
      </c>
      <c r="I14" s="157"/>
    </row>
    <row r="15" spans="1:9" ht="15">
      <c r="A15" s="164"/>
      <c r="B15" s="165">
        <f>DATE(22,12,1)</f>
        <v>8371</v>
      </c>
      <c r="C15" s="226">
        <v>124025911.41</v>
      </c>
      <c r="D15" s="226">
        <v>11200076.72</v>
      </c>
      <c r="E15" s="226">
        <v>12242955.61</v>
      </c>
      <c r="F15" s="166">
        <f t="shared" si="0"/>
        <v>-0.08518195468651207</v>
      </c>
      <c r="G15" s="241">
        <f t="shared" si="1"/>
        <v>0.09030432909277503</v>
      </c>
      <c r="H15" s="242">
        <f t="shared" si="2"/>
        <v>0.909695670907225</v>
      </c>
      <c r="I15" s="157"/>
    </row>
    <row r="16" spans="1:9" ht="15">
      <c r="A16" s="164"/>
      <c r="B16" s="165">
        <f>DATE(23,1,1)</f>
        <v>8402</v>
      </c>
      <c r="C16" s="226">
        <v>125379167.7</v>
      </c>
      <c r="D16" s="226">
        <v>11398304.84</v>
      </c>
      <c r="E16" s="226">
        <v>10440396.67</v>
      </c>
      <c r="F16" s="166">
        <f t="shared" si="0"/>
        <v>0.09175017006322231</v>
      </c>
      <c r="G16" s="241">
        <f t="shared" si="1"/>
        <v>0.0909106755858613</v>
      </c>
      <c r="H16" s="242">
        <f t="shared" si="2"/>
        <v>0.9090893244141387</v>
      </c>
      <c r="I16" s="157"/>
    </row>
    <row r="17" spans="1:9" ht="15">
      <c r="A17" s="164"/>
      <c r="B17" s="165">
        <f>DATE(23,2,1)</f>
        <v>8433</v>
      </c>
      <c r="C17" s="226">
        <v>121609968.19</v>
      </c>
      <c r="D17" s="226">
        <v>11481138.22</v>
      </c>
      <c r="E17" s="226">
        <v>11511927.22</v>
      </c>
      <c r="F17" s="166">
        <f t="shared" si="0"/>
        <v>-0.0026745304597226246</v>
      </c>
      <c r="G17" s="241">
        <f t="shared" si="1"/>
        <v>0.09440951585533015</v>
      </c>
      <c r="H17" s="242">
        <f t="shared" si="2"/>
        <v>0.9055904841446698</v>
      </c>
      <c r="I17" s="157"/>
    </row>
    <row r="18" spans="1:9" ht="15">
      <c r="A18" s="164"/>
      <c r="B18" s="165">
        <f>DATE(23,3,1)</f>
        <v>8461</v>
      </c>
      <c r="C18" s="226">
        <v>141302932.53</v>
      </c>
      <c r="D18" s="226">
        <v>13341210.53</v>
      </c>
      <c r="E18" s="226">
        <v>13030966.17</v>
      </c>
      <c r="F18" s="166">
        <f t="shared" si="0"/>
        <v>0.02380823923204149</v>
      </c>
      <c r="G18" s="241">
        <f t="shared" si="1"/>
        <v>0.09441566633564048</v>
      </c>
      <c r="H18" s="242">
        <f t="shared" si="2"/>
        <v>0.9055843336643595</v>
      </c>
      <c r="I18" s="157"/>
    </row>
    <row r="19" spans="1:9" ht="15">
      <c r="A19" s="164"/>
      <c r="B19" s="165">
        <f>DATE(23,4,1)</f>
        <v>8492</v>
      </c>
      <c r="C19" s="226">
        <v>128653756.41</v>
      </c>
      <c r="D19" s="226">
        <v>12102886.37</v>
      </c>
      <c r="E19" s="226">
        <v>13210334.82</v>
      </c>
      <c r="F19" s="166">
        <f t="shared" si="0"/>
        <v>-0.08383197436626372</v>
      </c>
      <c r="G19" s="241">
        <f t="shared" si="1"/>
        <v>0.0940733229073385</v>
      </c>
      <c r="H19" s="242">
        <f t="shared" si="2"/>
        <v>0.9059266770926615</v>
      </c>
      <c r="I19" s="157"/>
    </row>
    <row r="20" spans="1:9" ht="15">
      <c r="A20" s="164"/>
      <c r="B20" s="165">
        <f>DATE(23,5,1)</f>
        <v>8522</v>
      </c>
      <c r="C20" s="226">
        <v>129125504.07</v>
      </c>
      <c r="D20" s="226">
        <v>12234027.8</v>
      </c>
      <c r="E20" s="226">
        <v>12488700.45</v>
      </c>
      <c r="F20" s="166">
        <f t="shared" si="0"/>
        <v>-0.020392245856132977</v>
      </c>
      <c r="G20" s="241">
        <f t="shared" si="1"/>
        <v>0.09474524717725659</v>
      </c>
      <c r="H20" s="242">
        <f t="shared" si="2"/>
        <v>0.9052547528227434</v>
      </c>
      <c r="I20" s="157"/>
    </row>
    <row r="21" spans="1:9" ht="15">
      <c r="A21" s="164"/>
      <c r="B21" s="165">
        <f>DATE(23,6,1)</f>
        <v>8553</v>
      </c>
      <c r="C21" s="226">
        <v>122755311.83</v>
      </c>
      <c r="D21" s="226">
        <v>11667506.34</v>
      </c>
      <c r="E21" s="226">
        <v>11617618.9</v>
      </c>
      <c r="F21" s="166">
        <f t="shared" si="0"/>
        <v>0.004294119167568793</v>
      </c>
      <c r="G21" s="241">
        <f t="shared" si="1"/>
        <v>0.09504685513045631</v>
      </c>
      <c r="H21" s="242">
        <f t="shared" si="2"/>
        <v>0.9049531448695437</v>
      </c>
      <c r="I21" s="157"/>
    </row>
    <row r="22" spans="1:9" ht="15" thickBot="1">
      <c r="A22" s="167"/>
      <c r="B22" s="168"/>
      <c r="C22" s="226"/>
      <c r="D22" s="226"/>
      <c r="E22" s="226"/>
      <c r="F22" s="166"/>
      <c r="G22" s="241"/>
      <c r="H22" s="242"/>
      <c r="I22" s="157"/>
    </row>
    <row r="23" spans="1:9" ht="16.5" thickBot="1" thickTop="1">
      <c r="A23" s="169" t="s">
        <v>14</v>
      </c>
      <c r="B23" s="155"/>
      <c r="C23" s="223">
        <f>SUM(C10:C22)</f>
        <v>1512992816.6</v>
      </c>
      <c r="D23" s="223">
        <f>SUM(D10:D22)</f>
        <v>142246330.33</v>
      </c>
      <c r="E23" s="223">
        <f>SUM(E10:E22)</f>
        <v>146405357.25</v>
      </c>
      <c r="F23" s="170">
        <f>(+D23-E23)/E23</f>
        <v>-0.028407614298553867</v>
      </c>
      <c r="G23" s="236">
        <f>D23/C23</f>
        <v>0.0940165272229489</v>
      </c>
      <c r="H23" s="237">
        <f>1-G23</f>
        <v>0.905983472777051</v>
      </c>
      <c r="I23" s="157"/>
    </row>
    <row r="24" spans="1:9" ht="15" thickTop="1">
      <c r="A24" s="171"/>
      <c r="B24" s="172"/>
      <c r="C24" s="227"/>
      <c r="D24" s="227"/>
      <c r="E24" s="227"/>
      <c r="F24" s="173"/>
      <c r="G24" s="243"/>
      <c r="H24" s="244"/>
      <c r="I24" s="157"/>
    </row>
    <row r="25" spans="1:9" ht="15">
      <c r="A25" s="19" t="s">
        <v>48</v>
      </c>
      <c r="B25" s="165">
        <f>DATE(22,7,1)</f>
        <v>8218</v>
      </c>
      <c r="C25" s="226">
        <v>76496067.98</v>
      </c>
      <c r="D25" s="226">
        <v>7757914.71</v>
      </c>
      <c r="E25" s="226">
        <v>7305624.15</v>
      </c>
      <c r="F25" s="166">
        <f aca="true" t="shared" si="3" ref="F25:F36">(+D25-E25)/E25</f>
        <v>0.06190991361087191</v>
      </c>
      <c r="G25" s="241">
        <f aca="true" t="shared" si="4" ref="G25:G36">D25/C25</f>
        <v>0.10141586247319688</v>
      </c>
      <c r="H25" s="242">
        <f aca="true" t="shared" si="5" ref="H25:H36">1-G25</f>
        <v>0.8985841375268031</v>
      </c>
      <c r="I25" s="157"/>
    </row>
    <row r="26" spans="1:9" ht="15">
      <c r="A26" s="19"/>
      <c r="B26" s="165">
        <f>DATE(22,8,1)</f>
        <v>8249</v>
      </c>
      <c r="C26" s="226">
        <v>71699704.19</v>
      </c>
      <c r="D26" s="226">
        <v>6870200.03</v>
      </c>
      <c r="E26" s="226">
        <v>6574172.11</v>
      </c>
      <c r="F26" s="166">
        <f t="shared" si="3"/>
        <v>0.04502892760439153</v>
      </c>
      <c r="G26" s="241">
        <f t="shared" si="4"/>
        <v>0.09581908471748188</v>
      </c>
      <c r="H26" s="242">
        <f t="shared" si="5"/>
        <v>0.9041809152825181</v>
      </c>
      <c r="I26" s="157"/>
    </row>
    <row r="27" spans="1:9" ht="15">
      <c r="A27" s="19"/>
      <c r="B27" s="165">
        <f>DATE(22,9,1)</f>
        <v>8280</v>
      </c>
      <c r="C27" s="226">
        <v>72118161.13</v>
      </c>
      <c r="D27" s="226">
        <v>7013550.54</v>
      </c>
      <c r="E27" s="226">
        <v>6771046.11</v>
      </c>
      <c r="F27" s="166">
        <f t="shared" si="3"/>
        <v>0.03581491339157336</v>
      </c>
      <c r="G27" s="241">
        <f t="shared" si="4"/>
        <v>0.09725082323379534</v>
      </c>
      <c r="H27" s="242">
        <f t="shared" si="5"/>
        <v>0.9027491767662047</v>
      </c>
      <c r="I27" s="157"/>
    </row>
    <row r="28" spans="1:9" ht="15">
      <c r="A28" s="19"/>
      <c r="B28" s="165">
        <f>DATE(22,10,1)</f>
        <v>8310</v>
      </c>
      <c r="C28" s="226">
        <v>69505120.64</v>
      </c>
      <c r="D28" s="226">
        <v>6793373.34</v>
      </c>
      <c r="E28" s="226">
        <v>7189129.76</v>
      </c>
      <c r="F28" s="166">
        <f t="shared" si="3"/>
        <v>-0.05504928040135972</v>
      </c>
      <c r="G28" s="241">
        <f t="shared" si="4"/>
        <v>0.09773917773894823</v>
      </c>
      <c r="H28" s="242">
        <f t="shared" si="5"/>
        <v>0.9022608222610518</v>
      </c>
      <c r="I28" s="157"/>
    </row>
    <row r="29" spans="1:9" ht="15">
      <c r="A29" s="19"/>
      <c r="B29" s="165">
        <f>DATE(22,11,1)</f>
        <v>8341</v>
      </c>
      <c r="C29" s="226">
        <v>63859122.32</v>
      </c>
      <c r="D29" s="226">
        <v>6317939.56</v>
      </c>
      <c r="E29" s="226">
        <v>6088324.14</v>
      </c>
      <c r="F29" s="166">
        <f t="shared" si="3"/>
        <v>0.037714059685396435</v>
      </c>
      <c r="G29" s="241">
        <f t="shared" si="4"/>
        <v>0.09893558399284934</v>
      </c>
      <c r="H29" s="242">
        <f t="shared" si="5"/>
        <v>0.9010644160071507</v>
      </c>
      <c r="I29" s="157"/>
    </row>
    <row r="30" spans="1:9" ht="15">
      <c r="A30" s="19"/>
      <c r="B30" s="165">
        <f>DATE(22,12,1)</f>
        <v>8371</v>
      </c>
      <c r="C30" s="226">
        <v>67796886.08</v>
      </c>
      <c r="D30" s="226">
        <v>6662914.52</v>
      </c>
      <c r="E30" s="226">
        <v>6682194.9</v>
      </c>
      <c r="F30" s="166">
        <f t="shared" si="3"/>
        <v>-0.0028853363735321185</v>
      </c>
      <c r="G30" s="241">
        <f t="shared" si="4"/>
        <v>0.09827758921166073</v>
      </c>
      <c r="H30" s="242">
        <f t="shared" si="5"/>
        <v>0.9017224107883393</v>
      </c>
      <c r="I30" s="157"/>
    </row>
    <row r="31" spans="1:9" ht="15">
      <c r="A31" s="19"/>
      <c r="B31" s="165">
        <f>DATE(23,1,1)</f>
        <v>8402</v>
      </c>
      <c r="C31" s="226">
        <v>64800171.4</v>
      </c>
      <c r="D31" s="226">
        <v>6582615.02</v>
      </c>
      <c r="E31" s="226">
        <v>5978134.69</v>
      </c>
      <c r="F31" s="166">
        <f t="shared" si="3"/>
        <v>0.10111520755983487</v>
      </c>
      <c r="G31" s="241">
        <f t="shared" si="4"/>
        <v>0.10158329642936716</v>
      </c>
      <c r="H31" s="242">
        <f t="shared" si="5"/>
        <v>0.8984167035706329</v>
      </c>
      <c r="I31" s="157"/>
    </row>
    <row r="32" spans="1:9" ht="15">
      <c r="A32" s="19"/>
      <c r="B32" s="165">
        <f>DATE(23,2,1)</f>
        <v>8433</v>
      </c>
      <c r="C32" s="226">
        <v>69503787.55</v>
      </c>
      <c r="D32" s="226">
        <v>7086159.27</v>
      </c>
      <c r="E32" s="226">
        <v>6104570.21</v>
      </c>
      <c r="F32" s="166">
        <f t="shared" si="3"/>
        <v>0.16079576878189425</v>
      </c>
      <c r="G32" s="241">
        <f t="shared" si="4"/>
        <v>0.10195357001087633</v>
      </c>
      <c r="H32" s="242">
        <f t="shared" si="5"/>
        <v>0.8980464299891237</v>
      </c>
      <c r="I32" s="157"/>
    </row>
    <row r="33" spans="1:9" ht="15">
      <c r="A33" s="19"/>
      <c r="B33" s="165">
        <f>DATE(23,3,1)</f>
        <v>8461</v>
      </c>
      <c r="C33" s="226">
        <v>75562804.87</v>
      </c>
      <c r="D33" s="226">
        <v>7680727.17</v>
      </c>
      <c r="E33" s="226">
        <v>7172828.29</v>
      </c>
      <c r="F33" s="166">
        <f t="shared" si="3"/>
        <v>0.07080873254809225</v>
      </c>
      <c r="G33" s="241">
        <f t="shared" si="4"/>
        <v>0.10164693043375111</v>
      </c>
      <c r="H33" s="242">
        <f t="shared" si="5"/>
        <v>0.8983530695662489</v>
      </c>
      <c r="I33" s="157"/>
    </row>
    <row r="34" spans="1:9" ht="15">
      <c r="A34" s="19"/>
      <c r="B34" s="165">
        <f>DATE(23,4,1)</f>
        <v>8492</v>
      </c>
      <c r="C34" s="226">
        <v>72655852.51</v>
      </c>
      <c r="D34" s="226">
        <v>7426831.61</v>
      </c>
      <c r="E34" s="226">
        <v>7550260.26</v>
      </c>
      <c r="F34" s="166">
        <f t="shared" si="3"/>
        <v>-0.016347602036171326</v>
      </c>
      <c r="G34" s="241">
        <f t="shared" si="4"/>
        <v>0.10221931686752704</v>
      </c>
      <c r="H34" s="242">
        <f t="shared" si="5"/>
        <v>0.897780683132473</v>
      </c>
      <c r="I34" s="157"/>
    </row>
    <row r="35" spans="1:9" ht="15">
      <c r="A35" s="19"/>
      <c r="B35" s="165">
        <f>DATE(23,5,1)</f>
        <v>8522</v>
      </c>
      <c r="C35" s="226">
        <v>68194308.52</v>
      </c>
      <c r="D35" s="226">
        <v>7036672.11</v>
      </c>
      <c r="E35" s="226">
        <v>6555808.29</v>
      </c>
      <c r="F35" s="166">
        <f t="shared" si="3"/>
        <v>0.07334928032192355</v>
      </c>
      <c r="G35" s="241">
        <f t="shared" si="4"/>
        <v>0.10318562153814183</v>
      </c>
      <c r="H35" s="242">
        <f t="shared" si="5"/>
        <v>0.8968143784618582</v>
      </c>
      <c r="I35" s="157"/>
    </row>
    <row r="36" spans="1:9" ht="15">
      <c r="A36" s="19"/>
      <c r="B36" s="165">
        <f>DATE(23,6,1)</f>
        <v>8553</v>
      </c>
      <c r="C36" s="226">
        <v>65152217.85</v>
      </c>
      <c r="D36" s="226">
        <v>6592363.36</v>
      </c>
      <c r="E36" s="226">
        <v>6076334.75</v>
      </c>
      <c r="F36" s="166">
        <f t="shared" si="3"/>
        <v>0.08492432218287518</v>
      </c>
      <c r="G36" s="241">
        <f t="shared" si="4"/>
        <v>0.10118402070636495</v>
      </c>
      <c r="H36" s="242">
        <f t="shared" si="5"/>
        <v>0.898815979293635</v>
      </c>
      <c r="I36" s="157"/>
    </row>
    <row r="37" spans="1:9" ht="1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6.5" thickBot="1" thickTop="1">
      <c r="A38" s="169" t="s">
        <v>14</v>
      </c>
      <c r="B38" s="155"/>
      <c r="C38" s="223">
        <f>SUM(C25:C37)</f>
        <v>837344205.04</v>
      </c>
      <c r="D38" s="223">
        <f>SUM(D25:D37)</f>
        <v>83821261.24</v>
      </c>
      <c r="E38" s="223">
        <f>SUM(E25:E37)</f>
        <v>80048427.66000001</v>
      </c>
      <c r="F38" s="170">
        <f>(+D38-E38)/E38</f>
        <v>0.047131888661509067</v>
      </c>
      <c r="G38" s="236">
        <f>D38/C38</f>
        <v>0.10010370972352504</v>
      </c>
      <c r="H38" s="237">
        <f>1-G38</f>
        <v>0.899896290276475</v>
      </c>
      <c r="I38" s="157"/>
    </row>
    <row r="39" spans="1:9" ht="15" thickTop="1">
      <c r="A39" s="171"/>
      <c r="B39" s="172"/>
      <c r="C39" s="227"/>
      <c r="D39" s="227"/>
      <c r="E39" s="227"/>
      <c r="F39" s="173"/>
      <c r="G39" s="243"/>
      <c r="H39" s="244"/>
      <c r="I39" s="157"/>
    </row>
    <row r="40" spans="1:9" ht="15">
      <c r="A40" s="19" t="s">
        <v>62</v>
      </c>
      <c r="B40" s="165">
        <f>DATE(22,7,1)</f>
        <v>8218</v>
      </c>
      <c r="C40" s="226">
        <v>35430502.56</v>
      </c>
      <c r="D40" s="226">
        <v>3537425.2</v>
      </c>
      <c r="E40" s="226">
        <v>4179858.95</v>
      </c>
      <c r="F40" s="166">
        <f aca="true" t="shared" si="6" ref="F40:F51">(+D40-E40)/E40</f>
        <v>-0.1536974710594002</v>
      </c>
      <c r="G40" s="241">
        <f aca="true" t="shared" si="7" ref="G40:G47">D40/C40</f>
        <v>0.09984123691188194</v>
      </c>
      <c r="H40" s="242">
        <f aca="true" t="shared" si="8" ref="H40:H47">1-G40</f>
        <v>0.900158763088118</v>
      </c>
      <c r="I40" s="157"/>
    </row>
    <row r="41" spans="1:9" ht="15">
      <c r="A41" s="19"/>
      <c r="B41" s="165">
        <f>DATE(22,8,1)</f>
        <v>8249</v>
      </c>
      <c r="C41" s="226">
        <v>31830509.12</v>
      </c>
      <c r="D41" s="226">
        <v>3224518.01</v>
      </c>
      <c r="E41" s="226">
        <v>3554355.99</v>
      </c>
      <c r="F41" s="166">
        <f t="shared" si="6"/>
        <v>-0.09279823994219567</v>
      </c>
      <c r="G41" s="241">
        <f t="shared" si="7"/>
        <v>0.1013027469288559</v>
      </c>
      <c r="H41" s="242">
        <f t="shared" si="8"/>
        <v>0.8986972530711441</v>
      </c>
      <c r="I41" s="157"/>
    </row>
    <row r="42" spans="1:9" ht="15">
      <c r="A42" s="19"/>
      <c r="B42" s="165">
        <f>DATE(22,9,1)</f>
        <v>8280</v>
      </c>
      <c r="C42" s="226">
        <v>31336078.07</v>
      </c>
      <c r="D42" s="226">
        <v>3285954.25</v>
      </c>
      <c r="E42" s="226">
        <v>3815155.29</v>
      </c>
      <c r="F42" s="166">
        <f t="shared" si="6"/>
        <v>-0.13871022272333247</v>
      </c>
      <c r="G42" s="241">
        <f t="shared" si="7"/>
        <v>0.10486169464665238</v>
      </c>
      <c r="H42" s="242">
        <f t="shared" si="8"/>
        <v>0.8951383053533476</v>
      </c>
      <c r="I42" s="157"/>
    </row>
    <row r="43" spans="1:9" ht="15">
      <c r="A43" s="19"/>
      <c r="B43" s="165">
        <f>DATE(22,10,1)</f>
        <v>8310</v>
      </c>
      <c r="C43" s="226">
        <v>31389480.81</v>
      </c>
      <c r="D43" s="226">
        <v>3155435.74</v>
      </c>
      <c r="E43" s="226">
        <v>3758784.61</v>
      </c>
      <c r="F43" s="166">
        <f t="shared" si="6"/>
        <v>-0.1605170108430341</v>
      </c>
      <c r="G43" s="241">
        <f t="shared" si="7"/>
        <v>0.10052526064702376</v>
      </c>
      <c r="H43" s="242">
        <f t="shared" si="8"/>
        <v>0.8994747393529763</v>
      </c>
      <c r="I43" s="157"/>
    </row>
    <row r="44" spans="1:9" ht="15">
      <c r="A44" s="19"/>
      <c r="B44" s="165">
        <f>DATE(22,11,1)</f>
        <v>8341</v>
      </c>
      <c r="C44" s="226">
        <v>26208826.05</v>
      </c>
      <c r="D44" s="226">
        <v>2805588.39</v>
      </c>
      <c r="E44" s="226">
        <v>3347078.48</v>
      </c>
      <c r="F44" s="166">
        <f t="shared" si="6"/>
        <v>-0.16177992037999656</v>
      </c>
      <c r="G44" s="241">
        <f t="shared" si="7"/>
        <v>0.10704746502753029</v>
      </c>
      <c r="H44" s="242">
        <f t="shared" si="8"/>
        <v>0.8929525349724697</v>
      </c>
      <c r="I44" s="157"/>
    </row>
    <row r="45" spans="1:9" ht="15">
      <c r="A45" s="19"/>
      <c r="B45" s="165">
        <f>DATE(22,12,1)</f>
        <v>8371</v>
      </c>
      <c r="C45" s="226">
        <v>26575799.63</v>
      </c>
      <c r="D45" s="226">
        <v>2840105.54</v>
      </c>
      <c r="E45" s="226">
        <v>3599731.36</v>
      </c>
      <c r="F45" s="166">
        <f t="shared" si="6"/>
        <v>-0.2110229192213943</v>
      </c>
      <c r="G45" s="241">
        <f t="shared" si="7"/>
        <v>0.10686811232554436</v>
      </c>
      <c r="H45" s="242">
        <f t="shared" si="8"/>
        <v>0.8931318876744556</v>
      </c>
      <c r="I45" s="157"/>
    </row>
    <row r="46" spans="1:9" ht="15">
      <c r="A46" s="19"/>
      <c r="B46" s="165">
        <f>DATE(23,1,1)</f>
        <v>8402</v>
      </c>
      <c r="C46" s="226">
        <v>31328848.89</v>
      </c>
      <c r="D46" s="226">
        <v>3252604.7</v>
      </c>
      <c r="E46" s="226">
        <v>3120845.46</v>
      </c>
      <c r="F46" s="166">
        <f t="shared" si="6"/>
        <v>0.042219085080874276</v>
      </c>
      <c r="G46" s="241">
        <f t="shared" si="7"/>
        <v>0.10382139195156366</v>
      </c>
      <c r="H46" s="242">
        <f t="shared" si="8"/>
        <v>0.8961786080484363</v>
      </c>
      <c r="I46" s="157"/>
    </row>
    <row r="47" spans="1:9" ht="15">
      <c r="A47" s="19"/>
      <c r="B47" s="165">
        <f>DATE(23,2,1)</f>
        <v>8433</v>
      </c>
      <c r="C47" s="226">
        <v>34355286.02</v>
      </c>
      <c r="D47" s="226">
        <v>3650464.97</v>
      </c>
      <c r="E47" s="226">
        <v>3529009.1</v>
      </c>
      <c r="F47" s="166">
        <f t="shared" si="6"/>
        <v>0.034416423012340804</v>
      </c>
      <c r="G47" s="241">
        <f t="shared" si="7"/>
        <v>0.10625628230470485</v>
      </c>
      <c r="H47" s="242">
        <f t="shared" si="8"/>
        <v>0.8937437176952951</v>
      </c>
      <c r="I47" s="157"/>
    </row>
    <row r="48" spans="1:9" ht="15">
      <c r="A48" s="19"/>
      <c r="B48" s="165">
        <f>DATE(23,3,1)</f>
        <v>8461</v>
      </c>
      <c r="C48" s="291">
        <v>38300920.04</v>
      </c>
      <c r="D48" s="226">
        <v>4184272.39</v>
      </c>
      <c r="E48" s="226">
        <v>4379101.56</v>
      </c>
      <c r="F48" s="166">
        <f t="shared" si="6"/>
        <v>-0.04449067173495731</v>
      </c>
      <c r="G48" s="241">
        <f>D48/C48</f>
        <v>0.10924730752238088</v>
      </c>
      <c r="H48" s="242">
        <f>1-G48</f>
        <v>0.8907526924776191</v>
      </c>
      <c r="I48" s="157"/>
    </row>
    <row r="49" spans="1:9" ht="15">
      <c r="A49" s="19"/>
      <c r="B49" s="165">
        <f>DATE(23,4,1)</f>
        <v>8492</v>
      </c>
      <c r="C49" s="291">
        <v>35331598.33</v>
      </c>
      <c r="D49" s="226">
        <v>3709089.71</v>
      </c>
      <c r="E49" s="226">
        <v>3978475.16</v>
      </c>
      <c r="F49" s="166">
        <f t="shared" si="6"/>
        <v>-0.06771072814741419</v>
      </c>
      <c r="G49" s="241">
        <f>D49/C49</f>
        <v>0.10497939196966978</v>
      </c>
      <c r="H49" s="242">
        <f>1-G49</f>
        <v>0.8950206080303302</v>
      </c>
      <c r="I49" s="157"/>
    </row>
    <row r="50" spans="1:9" ht="15">
      <c r="A50" s="19"/>
      <c r="B50" s="165">
        <f>DATE(23,5,1)</f>
        <v>8522</v>
      </c>
      <c r="C50" s="291">
        <v>34049126.4</v>
      </c>
      <c r="D50" s="226">
        <v>3621106.1</v>
      </c>
      <c r="E50" s="226">
        <v>3652765.18</v>
      </c>
      <c r="F50" s="166">
        <f t="shared" si="6"/>
        <v>-0.008667154454204492</v>
      </c>
      <c r="G50" s="241">
        <f>D50/C50</f>
        <v>0.10634945688356927</v>
      </c>
      <c r="H50" s="242">
        <f>1-G50</f>
        <v>0.8936505431164308</v>
      </c>
      <c r="I50" s="157"/>
    </row>
    <row r="51" spans="1:9" ht="15">
      <c r="A51" s="19"/>
      <c r="B51" s="165">
        <f>DATE(23,6,1)</f>
        <v>8553</v>
      </c>
      <c r="C51" s="291">
        <v>32891005.62</v>
      </c>
      <c r="D51" s="226">
        <v>3438166.09</v>
      </c>
      <c r="E51" s="226">
        <v>3294140.26</v>
      </c>
      <c r="F51" s="166">
        <f t="shared" si="6"/>
        <v>0.043721826829559496</v>
      </c>
      <c r="G51" s="241">
        <f>D51/C51</f>
        <v>0.10453210612415442</v>
      </c>
      <c r="H51" s="242">
        <f>1-G51</f>
        <v>0.8954678938758456</v>
      </c>
      <c r="I51" s="157"/>
    </row>
    <row r="52" spans="1:9" ht="15" thickBot="1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6.5" thickBot="1" thickTop="1">
      <c r="A53" s="174" t="s">
        <v>14</v>
      </c>
      <c r="B53" s="175"/>
      <c r="C53" s="228">
        <f>SUM(C40:C52)</f>
        <v>389027981.53999996</v>
      </c>
      <c r="D53" s="228">
        <f>SUM(D40:D52)</f>
        <v>40704731.09</v>
      </c>
      <c r="E53" s="228">
        <f>SUM(E40:E52)</f>
        <v>44209301.4</v>
      </c>
      <c r="F53" s="176">
        <f>(+D53-E53)/E53</f>
        <v>-0.07927223907682004</v>
      </c>
      <c r="G53" s="245">
        <f>D53/C53</f>
        <v>0.10463188516380469</v>
      </c>
      <c r="H53" s="246">
        <f>1-G53</f>
        <v>0.8953681148361953</v>
      </c>
      <c r="I53" s="157"/>
    </row>
    <row r="54" spans="1:9" ht="15" thickTop="1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">
      <c r="A55" s="177" t="s">
        <v>58</v>
      </c>
      <c r="B55" s="165">
        <f>DATE(22,7,1)</f>
        <v>8218</v>
      </c>
      <c r="C55" s="226">
        <v>201538093.35</v>
      </c>
      <c r="D55" s="226">
        <v>17880290.2</v>
      </c>
      <c r="E55" s="226">
        <v>16788708.57</v>
      </c>
      <c r="F55" s="166">
        <f aca="true" t="shared" si="9" ref="F55:F66">(+D55-E55)/E55</f>
        <v>0.06501879673762179</v>
      </c>
      <c r="G55" s="241">
        <f aca="true" t="shared" si="10" ref="G55:G66">D55/C55</f>
        <v>0.08871915925565642</v>
      </c>
      <c r="H55" s="242">
        <f aca="true" t="shared" si="11" ref="H55:H66">1-G55</f>
        <v>0.9112808407443436</v>
      </c>
      <c r="I55" s="157"/>
    </row>
    <row r="56" spans="1:9" ht="15">
      <c r="A56" s="177"/>
      <c r="B56" s="165">
        <f>DATE(22,8,1)</f>
        <v>8249</v>
      </c>
      <c r="C56" s="226">
        <v>184867734.87</v>
      </c>
      <c r="D56" s="226">
        <v>17060867.38</v>
      </c>
      <c r="E56" s="226">
        <v>15228470.93</v>
      </c>
      <c r="F56" s="166">
        <f t="shared" si="9"/>
        <v>0.12032701499860954</v>
      </c>
      <c r="G56" s="241">
        <f t="shared" si="10"/>
        <v>0.09228688495587017</v>
      </c>
      <c r="H56" s="242">
        <f t="shared" si="11"/>
        <v>0.9077131150441298</v>
      </c>
      <c r="I56" s="157"/>
    </row>
    <row r="57" spans="1:9" ht="15">
      <c r="A57" s="177"/>
      <c r="B57" s="165">
        <f>DATE(22,9,1)</f>
        <v>8280</v>
      </c>
      <c r="C57" s="226">
        <v>181026457.54</v>
      </c>
      <c r="D57" s="226">
        <v>17061917.54</v>
      </c>
      <c r="E57" s="226">
        <v>16699713.12</v>
      </c>
      <c r="F57" s="166">
        <f t="shared" si="9"/>
        <v>0.02168926001286901</v>
      </c>
      <c r="G57" s="241">
        <f t="shared" si="10"/>
        <v>0.09425096072616877</v>
      </c>
      <c r="H57" s="242">
        <f t="shared" si="11"/>
        <v>0.9057490392738312</v>
      </c>
      <c r="I57" s="157"/>
    </row>
    <row r="58" spans="1:9" ht="15">
      <c r="A58" s="177"/>
      <c r="B58" s="165">
        <f>DATE(22,10,1)</f>
        <v>8310</v>
      </c>
      <c r="C58" s="226">
        <v>173386132.73</v>
      </c>
      <c r="D58" s="226">
        <v>16341780.85</v>
      </c>
      <c r="E58" s="226">
        <v>16704308.95</v>
      </c>
      <c r="F58" s="166">
        <f t="shared" si="9"/>
        <v>-0.02170266971744435</v>
      </c>
      <c r="G58" s="241">
        <f t="shared" si="10"/>
        <v>0.09425079498974531</v>
      </c>
      <c r="H58" s="242">
        <f t="shared" si="11"/>
        <v>0.9057492050102547</v>
      </c>
      <c r="I58" s="157"/>
    </row>
    <row r="59" spans="1:9" ht="15">
      <c r="A59" s="177"/>
      <c r="B59" s="165">
        <f>DATE(22,11,1)</f>
        <v>8341</v>
      </c>
      <c r="C59" s="226">
        <v>167573650.07</v>
      </c>
      <c r="D59" s="226">
        <v>14923708.42</v>
      </c>
      <c r="E59" s="226">
        <v>15419780.21</v>
      </c>
      <c r="F59" s="166">
        <f t="shared" si="9"/>
        <v>-0.032171132353643384</v>
      </c>
      <c r="G59" s="241">
        <f t="shared" si="10"/>
        <v>0.08905760788623968</v>
      </c>
      <c r="H59" s="242">
        <f t="shared" si="11"/>
        <v>0.9109423921137603</v>
      </c>
      <c r="I59" s="157"/>
    </row>
    <row r="60" spans="1:9" ht="15">
      <c r="A60" s="177"/>
      <c r="B60" s="165">
        <f>DATE(22,12,1)</f>
        <v>8371</v>
      </c>
      <c r="C60" s="226">
        <v>179839316.61</v>
      </c>
      <c r="D60" s="226">
        <v>16991042.62</v>
      </c>
      <c r="E60" s="226">
        <v>17100191.72</v>
      </c>
      <c r="F60" s="166">
        <f t="shared" si="9"/>
        <v>-0.0063829167407719435</v>
      </c>
      <c r="G60" s="241">
        <f t="shared" si="10"/>
        <v>0.09447902127456823</v>
      </c>
      <c r="H60" s="242">
        <f t="shared" si="11"/>
        <v>0.9055209787254318</v>
      </c>
      <c r="I60" s="157"/>
    </row>
    <row r="61" spans="1:9" ht="15">
      <c r="A61" s="177"/>
      <c r="B61" s="165">
        <f>DATE(23,1,1)</f>
        <v>8402</v>
      </c>
      <c r="C61" s="226">
        <v>175026046.66</v>
      </c>
      <c r="D61" s="226">
        <v>15916443.26</v>
      </c>
      <c r="E61" s="226">
        <v>15681818.64</v>
      </c>
      <c r="F61" s="166">
        <f t="shared" si="9"/>
        <v>0.014961569533876408</v>
      </c>
      <c r="G61" s="241">
        <f t="shared" si="10"/>
        <v>0.09093756937171056</v>
      </c>
      <c r="H61" s="242">
        <f t="shared" si="11"/>
        <v>0.9090624306282894</v>
      </c>
      <c r="I61" s="157"/>
    </row>
    <row r="62" spans="1:9" ht="15">
      <c r="A62" s="177"/>
      <c r="B62" s="165">
        <f>DATE(23,2,1)</f>
        <v>8433</v>
      </c>
      <c r="C62" s="226">
        <v>183497812.37</v>
      </c>
      <c r="D62" s="226">
        <v>16968749.35</v>
      </c>
      <c r="E62" s="226">
        <v>15007235.04</v>
      </c>
      <c r="F62" s="166">
        <f t="shared" si="9"/>
        <v>0.13070457714374561</v>
      </c>
      <c r="G62" s="241">
        <f t="shared" si="10"/>
        <v>0.09247385094588853</v>
      </c>
      <c r="H62" s="242">
        <f t="shared" si="11"/>
        <v>0.9075261490541114</v>
      </c>
      <c r="I62" s="157"/>
    </row>
    <row r="63" spans="1:9" ht="15">
      <c r="A63" s="177"/>
      <c r="B63" s="165">
        <f>DATE(23,3,1)</f>
        <v>8461</v>
      </c>
      <c r="C63" s="226">
        <v>212533156.95</v>
      </c>
      <c r="D63" s="226">
        <v>19124762.49</v>
      </c>
      <c r="E63" s="226">
        <v>19277164.58</v>
      </c>
      <c r="F63" s="166">
        <f t="shared" si="9"/>
        <v>-0.007905835392312653</v>
      </c>
      <c r="G63" s="241">
        <f t="shared" si="10"/>
        <v>0.0899848417275392</v>
      </c>
      <c r="H63" s="242">
        <f t="shared" si="11"/>
        <v>0.9100151582724608</v>
      </c>
      <c r="I63" s="157"/>
    </row>
    <row r="64" spans="1:9" ht="15">
      <c r="A64" s="177"/>
      <c r="B64" s="165">
        <f>DATE(23,4,1)</f>
        <v>8492</v>
      </c>
      <c r="C64" s="226">
        <v>196392791</v>
      </c>
      <c r="D64" s="226">
        <v>18086108.76</v>
      </c>
      <c r="E64" s="226">
        <v>19150089.61</v>
      </c>
      <c r="F64" s="166">
        <f t="shared" si="9"/>
        <v>-0.05556009771590817</v>
      </c>
      <c r="G64" s="241">
        <f t="shared" si="10"/>
        <v>0.09209151042616427</v>
      </c>
      <c r="H64" s="242">
        <f t="shared" si="11"/>
        <v>0.9079084895738357</v>
      </c>
      <c r="I64" s="157"/>
    </row>
    <row r="65" spans="1:9" ht="15">
      <c r="A65" s="177"/>
      <c r="B65" s="165">
        <f>DATE(23,5,1)</f>
        <v>8522</v>
      </c>
      <c r="C65" s="226">
        <v>197178555.13</v>
      </c>
      <c r="D65" s="226">
        <v>18258334.57</v>
      </c>
      <c r="E65" s="226">
        <v>17913916.41</v>
      </c>
      <c r="F65" s="166">
        <f t="shared" si="9"/>
        <v>0.01922629045024109</v>
      </c>
      <c r="G65" s="241">
        <f t="shared" si="10"/>
        <v>0.0925979732327497</v>
      </c>
      <c r="H65" s="242">
        <f t="shared" si="11"/>
        <v>0.9074020267672503</v>
      </c>
      <c r="I65" s="157"/>
    </row>
    <row r="66" spans="1:9" ht="15">
      <c r="A66" s="177"/>
      <c r="B66" s="165">
        <f>DATE(23,6,1)</f>
        <v>8553</v>
      </c>
      <c r="C66" s="226">
        <v>187258456.49</v>
      </c>
      <c r="D66" s="226">
        <v>17268374.03</v>
      </c>
      <c r="E66" s="226">
        <v>15757107.11</v>
      </c>
      <c r="F66" s="166">
        <f t="shared" si="9"/>
        <v>0.09591017624300466</v>
      </c>
      <c r="G66" s="241">
        <f t="shared" si="10"/>
        <v>0.09221679145327233</v>
      </c>
      <c r="H66" s="242">
        <f t="shared" si="11"/>
        <v>0.9077832085467277</v>
      </c>
      <c r="I66" s="157"/>
    </row>
    <row r="67" spans="1:9" ht="1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6.5" thickBot="1" thickTop="1">
      <c r="A68" s="174" t="s">
        <v>14</v>
      </c>
      <c r="B68" s="178"/>
      <c r="C68" s="228">
        <f>SUM(C55:C67)</f>
        <v>2240118203.7700005</v>
      </c>
      <c r="D68" s="228">
        <f>SUM(D55:D67)</f>
        <v>205882379.47</v>
      </c>
      <c r="E68" s="228">
        <f>SUM(E55:E67)</f>
        <v>200728504.89</v>
      </c>
      <c r="F68" s="176">
        <f>(+D68-E68)/E68</f>
        <v>0.025675847995900516</v>
      </c>
      <c r="G68" s="245">
        <f>D68/C68</f>
        <v>0.0919069266628479</v>
      </c>
      <c r="H68" s="246">
        <f>1-G68</f>
        <v>0.9080930733371521</v>
      </c>
      <c r="I68" s="157"/>
    </row>
    <row r="69" spans="1:9" ht="1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">
      <c r="A70" s="164" t="s">
        <v>60</v>
      </c>
      <c r="B70" s="165">
        <f>DATE(22,7,1)</f>
        <v>8218</v>
      </c>
      <c r="C70" s="226">
        <v>121501837.18</v>
      </c>
      <c r="D70" s="226">
        <v>11877741.56</v>
      </c>
      <c r="E70" s="226">
        <v>12735420.67</v>
      </c>
      <c r="F70" s="166">
        <f aca="true" t="shared" si="12" ref="F70:F81">(+D70-E70)/E70</f>
        <v>-0.0673459583490931</v>
      </c>
      <c r="G70" s="241">
        <f aca="true" t="shared" si="13" ref="G70:G81">D70/C70</f>
        <v>0.09775771161718001</v>
      </c>
      <c r="H70" s="242">
        <f aca="true" t="shared" si="14" ref="H70:H81">1-G70</f>
        <v>0.90224228838282</v>
      </c>
      <c r="I70" s="157"/>
    </row>
    <row r="71" spans="1:9" ht="15">
      <c r="A71" s="164"/>
      <c r="B71" s="165">
        <f>DATE(22,8,1)</f>
        <v>8249</v>
      </c>
      <c r="C71" s="226">
        <v>118750548.99</v>
      </c>
      <c r="D71" s="226">
        <v>11399779.33</v>
      </c>
      <c r="E71" s="226">
        <v>11645905.55</v>
      </c>
      <c r="F71" s="166">
        <f t="shared" si="12"/>
        <v>-0.02113414186155757</v>
      </c>
      <c r="G71" s="241">
        <f t="shared" si="13"/>
        <v>0.09599769792188478</v>
      </c>
      <c r="H71" s="242">
        <f t="shared" si="14"/>
        <v>0.9040023020781152</v>
      </c>
      <c r="I71" s="157"/>
    </row>
    <row r="72" spans="1:9" ht="15">
      <c r="A72" s="164"/>
      <c r="B72" s="165">
        <f>DATE(22,9,1)</f>
        <v>8280</v>
      </c>
      <c r="C72" s="226">
        <v>118393348.34</v>
      </c>
      <c r="D72" s="226">
        <v>10069352.81</v>
      </c>
      <c r="E72" s="226">
        <v>11184280.18</v>
      </c>
      <c r="F72" s="166">
        <f t="shared" si="12"/>
        <v>-0.09968700283400797</v>
      </c>
      <c r="G72" s="241">
        <f t="shared" si="13"/>
        <v>0.08504998761487009</v>
      </c>
      <c r="H72" s="242">
        <f t="shared" si="14"/>
        <v>0.91495001238513</v>
      </c>
      <c r="I72" s="157"/>
    </row>
    <row r="73" spans="1:9" ht="15">
      <c r="A73" s="164"/>
      <c r="B73" s="165">
        <f>DATE(22,10,1)</f>
        <v>8310</v>
      </c>
      <c r="C73" s="226">
        <v>113325190.2</v>
      </c>
      <c r="D73" s="226">
        <v>10695374.6</v>
      </c>
      <c r="E73" s="226">
        <v>11396005.27</v>
      </c>
      <c r="F73" s="166">
        <f t="shared" si="12"/>
        <v>-0.061480374341736324</v>
      </c>
      <c r="G73" s="241">
        <f t="shared" si="13"/>
        <v>0.09437773350412607</v>
      </c>
      <c r="H73" s="242">
        <f t="shared" si="14"/>
        <v>0.905622266495874</v>
      </c>
      <c r="I73" s="157"/>
    </row>
    <row r="74" spans="1:9" ht="15">
      <c r="A74" s="164"/>
      <c r="B74" s="165">
        <f>DATE(22,11,1)</f>
        <v>8341</v>
      </c>
      <c r="C74" s="226">
        <v>111643931.18</v>
      </c>
      <c r="D74" s="226">
        <v>10611649.12</v>
      </c>
      <c r="E74" s="226">
        <v>11134846.92</v>
      </c>
      <c r="F74" s="166">
        <f t="shared" si="12"/>
        <v>-0.04698742638843577</v>
      </c>
      <c r="G74" s="241">
        <f t="shared" si="13"/>
        <v>0.09504904572816565</v>
      </c>
      <c r="H74" s="242">
        <f t="shared" si="14"/>
        <v>0.9049509542718344</v>
      </c>
      <c r="I74" s="157"/>
    </row>
    <row r="75" spans="1:9" ht="15">
      <c r="A75" s="164"/>
      <c r="B75" s="165">
        <f>DATE(22,12,1)</f>
        <v>8371</v>
      </c>
      <c r="C75" s="226">
        <v>116948326.45</v>
      </c>
      <c r="D75" s="226">
        <v>11067872.5</v>
      </c>
      <c r="E75" s="226">
        <v>11993406.7</v>
      </c>
      <c r="F75" s="166">
        <f t="shared" si="12"/>
        <v>-0.07717025055107982</v>
      </c>
      <c r="G75" s="241">
        <f t="shared" si="13"/>
        <v>0.09463899857286072</v>
      </c>
      <c r="H75" s="242">
        <f t="shared" si="14"/>
        <v>0.9053610014271393</v>
      </c>
      <c r="I75" s="157"/>
    </row>
    <row r="76" spans="1:9" ht="15">
      <c r="A76" s="164"/>
      <c r="B76" s="165">
        <f>DATE(23,1,1)</f>
        <v>8402</v>
      </c>
      <c r="C76" s="226">
        <v>110269909.43</v>
      </c>
      <c r="D76" s="226">
        <v>10685663.3</v>
      </c>
      <c r="E76" s="226">
        <v>10442254.63</v>
      </c>
      <c r="F76" s="166">
        <f t="shared" si="12"/>
        <v>0.02330997266631487</v>
      </c>
      <c r="G76" s="241">
        <f t="shared" si="13"/>
        <v>0.09690461663780837</v>
      </c>
      <c r="H76" s="242">
        <f t="shared" si="14"/>
        <v>0.9030953833621916</v>
      </c>
      <c r="I76" s="157"/>
    </row>
    <row r="77" spans="1:9" ht="15">
      <c r="A77" s="164"/>
      <c r="B77" s="165">
        <f>DATE(23,2,1)</f>
        <v>8433</v>
      </c>
      <c r="C77" s="226">
        <v>108459543.72</v>
      </c>
      <c r="D77" s="226">
        <v>10567662.62</v>
      </c>
      <c r="E77" s="226">
        <v>10124033.77</v>
      </c>
      <c r="F77" s="166">
        <f t="shared" si="12"/>
        <v>0.043819376750261436</v>
      </c>
      <c r="G77" s="241">
        <f t="shared" si="13"/>
        <v>0.09743414233127846</v>
      </c>
      <c r="H77" s="242">
        <f t="shared" si="14"/>
        <v>0.9025658576687215</v>
      </c>
      <c r="I77" s="157"/>
    </row>
    <row r="78" spans="1:9" ht="15">
      <c r="A78" s="164"/>
      <c r="B78" s="165">
        <f>DATE(23,3,1)</f>
        <v>8461</v>
      </c>
      <c r="C78" s="226">
        <v>128565630.51</v>
      </c>
      <c r="D78" s="226">
        <v>12565055.32</v>
      </c>
      <c r="E78" s="226">
        <v>12312940.59</v>
      </c>
      <c r="F78" s="166">
        <f t="shared" si="12"/>
        <v>0.02047559055103022</v>
      </c>
      <c r="G78" s="241">
        <f t="shared" si="13"/>
        <v>0.09773261539772617</v>
      </c>
      <c r="H78" s="242">
        <f t="shared" si="14"/>
        <v>0.9022673846022738</v>
      </c>
      <c r="I78" s="157"/>
    </row>
    <row r="79" spans="1:9" ht="15">
      <c r="A79" s="164"/>
      <c r="B79" s="165">
        <f>DATE(23,4,1)</f>
        <v>8492</v>
      </c>
      <c r="C79" s="226">
        <v>116587454.37</v>
      </c>
      <c r="D79" s="226">
        <v>11102592.5</v>
      </c>
      <c r="E79" s="226">
        <v>12424611.6</v>
      </c>
      <c r="F79" s="166">
        <f t="shared" si="12"/>
        <v>-0.10640325368400246</v>
      </c>
      <c r="G79" s="241">
        <f t="shared" si="13"/>
        <v>0.09522973599513544</v>
      </c>
      <c r="H79" s="242">
        <f t="shared" si="14"/>
        <v>0.9047702640048646</v>
      </c>
      <c r="I79" s="157"/>
    </row>
    <row r="80" spans="1:9" ht="15">
      <c r="A80" s="164"/>
      <c r="B80" s="165">
        <f>DATE(23,5,1)</f>
        <v>8522</v>
      </c>
      <c r="C80" s="226">
        <v>113614739.72</v>
      </c>
      <c r="D80" s="226">
        <v>10673361.42</v>
      </c>
      <c r="E80" s="226">
        <v>11818816.79</v>
      </c>
      <c r="F80" s="166">
        <f t="shared" si="12"/>
        <v>-0.09691793944798084</v>
      </c>
      <c r="G80" s="241">
        <f t="shared" si="13"/>
        <v>0.09394345704002992</v>
      </c>
      <c r="H80" s="242">
        <f t="shared" si="14"/>
        <v>0.9060565429599701</v>
      </c>
      <c r="I80" s="157"/>
    </row>
    <row r="81" spans="1:9" ht="15">
      <c r="A81" s="164"/>
      <c r="B81" s="165">
        <f>DATE(23,6,1)</f>
        <v>8553</v>
      </c>
      <c r="C81" s="226">
        <v>107819153.13</v>
      </c>
      <c r="D81" s="226">
        <v>10429388.12</v>
      </c>
      <c r="E81" s="226">
        <v>10163774.34</v>
      </c>
      <c r="F81" s="166">
        <f t="shared" si="12"/>
        <v>0.026133380289118</v>
      </c>
      <c r="G81" s="241">
        <f t="shared" si="13"/>
        <v>0.09673038432628987</v>
      </c>
      <c r="H81" s="242">
        <f t="shared" si="14"/>
        <v>0.9032696156737101</v>
      </c>
      <c r="I81" s="157"/>
    </row>
    <row r="82" spans="1:9" ht="15" thickBot="1">
      <c r="A82" s="167"/>
      <c r="B82" s="165"/>
      <c r="C82" s="226"/>
      <c r="D82" s="226"/>
      <c r="E82" s="226"/>
      <c r="F82" s="166"/>
      <c r="G82" s="241"/>
      <c r="H82" s="242"/>
      <c r="I82" s="157"/>
    </row>
    <row r="83" spans="1:9" ht="16.5" thickBot="1" thickTop="1">
      <c r="A83" s="174" t="s">
        <v>14</v>
      </c>
      <c r="B83" s="175"/>
      <c r="C83" s="228">
        <f>SUM(C70:C82)</f>
        <v>1385879613.2199998</v>
      </c>
      <c r="D83" s="230">
        <f>SUM(D70:D82)</f>
        <v>131745493.2</v>
      </c>
      <c r="E83" s="271">
        <f>SUM(E70:E82)</f>
        <v>137376297.01</v>
      </c>
      <c r="F83" s="272">
        <f>(+D83-E83)/E83</f>
        <v>-0.04098817578108184</v>
      </c>
      <c r="G83" s="249">
        <f>D83/C83</f>
        <v>0.09506272546566873</v>
      </c>
      <c r="H83" s="270">
        <f>1-G83</f>
        <v>0.9049372745343313</v>
      </c>
      <c r="I83" s="157"/>
    </row>
    <row r="84" spans="1:9" ht="15" thickTop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5">
      <c r="A85" s="164" t="s">
        <v>64</v>
      </c>
      <c r="B85" s="165">
        <f>DATE(22,7,1)</f>
        <v>8218</v>
      </c>
      <c r="C85" s="226">
        <v>53641198.85</v>
      </c>
      <c r="D85" s="226">
        <v>5559220.1</v>
      </c>
      <c r="E85" s="226">
        <v>5744094.34</v>
      </c>
      <c r="F85" s="166">
        <f aca="true" t="shared" si="15" ref="F85:F96">(+D85-E85)/E85</f>
        <v>-0.03218509812984726</v>
      </c>
      <c r="G85" s="241">
        <f aca="true" t="shared" si="16" ref="G85:G96">D85/C85</f>
        <v>0.10363713375507452</v>
      </c>
      <c r="H85" s="242">
        <f aca="true" t="shared" si="17" ref="H85:H96">1-G85</f>
        <v>0.8963628662449254</v>
      </c>
      <c r="I85" s="157"/>
    </row>
    <row r="86" spans="1:9" ht="15">
      <c r="A86" s="164"/>
      <c r="B86" s="165">
        <f>DATE(22,8,1)</f>
        <v>8249</v>
      </c>
      <c r="C86" s="226">
        <v>47590579.29</v>
      </c>
      <c r="D86" s="226">
        <v>4834999.09</v>
      </c>
      <c r="E86" s="226">
        <v>5022432.17</v>
      </c>
      <c r="F86" s="166">
        <f t="shared" si="15"/>
        <v>-0.03731918593536726</v>
      </c>
      <c r="G86" s="241">
        <f t="shared" si="16"/>
        <v>0.10159571835714043</v>
      </c>
      <c r="H86" s="242">
        <f t="shared" si="17"/>
        <v>0.8984042816428596</v>
      </c>
      <c r="I86" s="157"/>
    </row>
    <row r="87" spans="1:9" ht="15">
      <c r="A87" s="164"/>
      <c r="B87" s="165">
        <f>DATE(22,9,1)</f>
        <v>8280</v>
      </c>
      <c r="C87" s="226">
        <v>47220660.24</v>
      </c>
      <c r="D87" s="226">
        <v>4841899.8</v>
      </c>
      <c r="E87" s="226">
        <v>5281548.16</v>
      </c>
      <c r="F87" s="166">
        <f t="shared" si="15"/>
        <v>-0.08324232718915514</v>
      </c>
      <c r="G87" s="241">
        <f t="shared" si="16"/>
        <v>0.10253774037446621</v>
      </c>
      <c r="H87" s="242">
        <f t="shared" si="17"/>
        <v>0.8974622596255338</v>
      </c>
      <c r="I87" s="157"/>
    </row>
    <row r="88" spans="1:9" ht="15">
      <c r="A88" s="164"/>
      <c r="B88" s="165">
        <f>DATE(22,10,1)</f>
        <v>8310</v>
      </c>
      <c r="C88" s="226">
        <v>47792404.84</v>
      </c>
      <c r="D88" s="226">
        <v>4853868.22</v>
      </c>
      <c r="E88" s="226">
        <v>5329338.81</v>
      </c>
      <c r="F88" s="166">
        <f t="shared" si="15"/>
        <v>-0.08921755717760416</v>
      </c>
      <c r="G88" s="241">
        <f t="shared" si="16"/>
        <v>0.10156149782062315</v>
      </c>
      <c r="H88" s="242">
        <f t="shared" si="17"/>
        <v>0.8984385021793768</v>
      </c>
      <c r="I88" s="157"/>
    </row>
    <row r="89" spans="1:9" ht="15">
      <c r="A89" s="164"/>
      <c r="B89" s="165">
        <f>DATE(22,11,1)</f>
        <v>8341</v>
      </c>
      <c r="C89" s="226">
        <v>43866316.45</v>
      </c>
      <c r="D89" s="226">
        <v>4436643.53</v>
      </c>
      <c r="E89" s="226">
        <v>4979381.55</v>
      </c>
      <c r="F89" s="166">
        <f t="shared" si="15"/>
        <v>-0.10899707414467959</v>
      </c>
      <c r="G89" s="241">
        <f t="shared" si="16"/>
        <v>0.1011400976659849</v>
      </c>
      <c r="H89" s="242">
        <f t="shared" si="17"/>
        <v>0.8988599023340151</v>
      </c>
      <c r="I89" s="157"/>
    </row>
    <row r="90" spans="1:9" ht="15">
      <c r="A90" s="164"/>
      <c r="B90" s="165">
        <f>DATE(22,12,1)</f>
        <v>8371</v>
      </c>
      <c r="C90" s="226">
        <v>49072561.07</v>
      </c>
      <c r="D90" s="226">
        <v>4878718.81</v>
      </c>
      <c r="E90" s="226">
        <v>5568235.39</v>
      </c>
      <c r="F90" s="166">
        <f t="shared" si="15"/>
        <v>-0.12383035768177181</v>
      </c>
      <c r="G90" s="241">
        <f t="shared" si="16"/>
        <v>0.09941846733943041</v>
      </c>
      <c r="H90" s="242">
        <f t="shared" si="17"/>
        <v>0.9005815326605696</v>
      </c>
      <c r="I90" s="157"/>
    </row>
    <row r="91" spans="1:9" ht="15">
      <c r="A91" s="164"/>
      <c r="B91" s="165">
        <f>DATE(23,1,1)</f>
        <v>8402</v>
      </c>
      <c r="C91" s="226">
        <v>47726825.7</v>
      </c>
      <c r="D91" s="226">
        <v>4734129.4</v>
      </c>
      <c r="E91" s="226">
        <v>4884841.69</v>
      </c>
      <c r="F91" s="166">
        <f t="shared" si="15"/>
        <v>-0.03085305513759649</v>
      </c>
      <c r="G91" s="241">
        <f t="shared" si="16"/>
        <v>0.09919221172926236</v>
      </c>
      <c r="H91" s="242">
        <f t="shared" si="17"/>
        <v>0.9008077882707376</v>
      </c>
      <c r="I91" s="157"/>
    </row>
    <row r="92" spans="1:9" ht="15">
      <c r="A92" s="164"/>
      <c r="B92" s="165">
        <f>DATE(23,2,1)</f>
        <v>8433</v>
      </c>
      <c r="C92" s="226">
        <v>53205187.84</v>
      </c>
      <c r="D92" s="226">
        <v>5419047.36</v>
      </c>
      <c r="E92" s="226">
        <v>4926896.7</v>
      </c>
      <c r="F92" s="166">
        <f t="shared" si="15"/>
        <v>0.0998905984775366</v>
      </c>
      <c r="G92" s="241">
        <f t="shared" si="16"/>
        <v>0.10185186031663487</v>
      </c>
      <c r="H92" s="242">
        <f t="shared" si="17"/>
        <v>0.8981481396833652</v>
      </c>
      <c r="I92" s="157"/>
    </row>
    <row r="93" spans="1:9" ht="15">
      <c r="A93" s="164"/>
      <c r="B93" s="165">
        <f>DATE(23,3,1)</f>
        <v>8461</v>
      </c>
      <c r="C93" s="226">
        <v>55977955.11</v>
      </c>
      <c r="D93" s="226">
        <v>5872959.04</v>
      </c>
      <c r="E93" s="226">
        <v>5781376.58</v>
      </c>
      <c r="F93" s="166">
        <f t="shared" si="15"/>
        <v>0.015840943542203917</v>
      </c>
      <c r="G93" s="241">
        <f t="shared" si="16"/>
        <v>0.10491556950337481</v>
      </c>
      <c r="H93" s="242">
        <f t="shared" si="17"/>
        <v>0.8950844304966252</v>
      </c>
      <c r="I93" s="157"/>
    </row>
    <row r="94" spans="1:9" ht="15">
      <c r="A94" s="164"/>
      <c r="B94" s="165">
        <f>DATE(23,4,1)</f>
        <v>8492</v>
      </c>
      <c r="C94" s="226">
        <v>51917637.95</v>
      </c>
      <c r="D94" s="226">
        <v>5332993.75</v>
      </c>
      <c r="E94" s="226">
        <v>5577670.54</v>
      </c>
      <c r="F94" s="166">
        <f t="shared" si="15"/>
        <v>-0.04386720015915462</v>
      </c>
      <c r="G94" s="241">
        <f t="shared" si="16"/>
        <v>0.10272026926833638</v>
      </c>
      <c r="H94" s="242">
        <f t="shared" si="17"/>
        <v>0.8972797307316636</v>
      </c>
      <c r="I94" s="157"/>
    </row>
    <row r="95" spans="1:9" ht="15">
      <c r="A95" s="164"/>
      <c r="B95" s="165">
        <f>DATE(23,5,1)</f>
        <v>8522</v>
      </c>
      <c r="C95" s="226">
        <v>49475135.9</v>
      </c>
      <c r="D95" s="226">
        <v>4975986.96</v>
      </c>
      <c r="E95" s="226">
        <v>5298271.4</v>
      </c>
      <c r="F95" s="166">
        <f t="shared" si="15"/>
        <v>-0.060828224088331974</v>
      </c>
      <c r="G95" s="241">
        <f t="shared" si="16"/>
        <v>0.1005755086768746</v>
      </c>
      <c r="H95" s="242">
        <f t="shared" si="17"/>
        <v>0.8994244913231254</v>
      </c>
      <c r="I95" s="157"/>
    </row>
    <row r="96" spans="1:9" ht="15">
      <c r="A96" s="164"/>
      <c r="B96" s="165">
        <f>DATE(23,6,1)</f>
        <v>8553</v>
      </c>
      <c r="C96" s="226">
        <v>50443308.91</v>
      </c>
      <c r="D96" s="226">
        <v>5145176.92</v>
      </c>
      <c r="E96" s="226">
        <v>5013057.86</v>
      </c>
      <c r="F96" s="166">
        <f t="shared" si="15"/>
        <v>0.02635498406156429</v>
      </c>
      <c r="G96" s="241">
        <f t="shared" si="16"/>
        <v>0.10199919535770201</v>
      </c>
      <c r="H96" s="242">
        <f t="shared" si="17"/>
        <v>0.898000804642298</v>
      </c>
      <c r="I96" s="157"/>
    </row>
    <row r="97" spans="1:9" ht="15" thickBot="1">
      <c r="A97" s="167"/>
      <c r="B97" s="165"/>
      <c r="C97" s="226"/>
      <c r="D97" s="226"/>
      <c r="E97" s="226"/>
      <c r="F97" s="166"/>
      <c r="G97" s="241"/>
      <c r="H97" s="242"/>
      <c r="I97" s="157"/>
    </row>
    <row r="98" spans="1:9" ht="16.5" thickBot="1" thickTop="1">
      <c r="A98" s="174" t="s">
        <v>14</v>
      </c>
      <c r="B98" s="175"/>
      <c r="C98" s="228">
        <f>SUM(C85:C97)</f>
        <v>597929772.15</v>
      </c>
      <c r="D98" s="230">
        <f>SUM(D85:D97)</f>
        <v>60885642.98</v>
      </c>
      <c r="E98" s="271">
        <f>SUM(E85:E97)</f>
        <v>63407145.19</v>
      </c>
      <c r="F98" s="272">
        <f>(+D98-E98)/E98</f>
        <v>-0.03976684650356518</v>
      </c>
      <c r="G98" s="249">
        <f>D98/C98</f>
        <v>0.1018274148836427</v>
      </c>
      <c r="H98" s="270">
        <f>1-G98</f>
        <v>0.8981725851163573</v>
      </c>
      <c r="I98" s="157"/>
    </row>
    <row r="99" spans="1:9" ht="15" thickTop="1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">
      <c r="A100" s="290" t="s">
        <v>67</v>
      </c>
      <c r="B100" s="165">
        <f>DATE(22,7,1)</f>
        <v>8218</v>
      </c>
      <c r="C100" s="226">
        <v>85581160.4</v>
      </c>
      <c r="D100" s="226">
        <v>9654928.82</v>
      </c>
      <c r="E100" s="226">
        <v>8446672.57</v>
      </c>
      <c r="F100" s="166">
        <f aca="true" t="shared" si="18" ref="F100:F111">(+D100-E100)/E100</f>
        <v>0.14304523349127524</v>
      </c>
      <c r="G100" s="241">
        <f aca="true" t="shared" si="19" ref="G100:G111">D100/C100</f>
        <v>0.11281605408098673</v>
      </c>
      <c r="H100" s="242">
        <f aca="true" t="shared" si="20" ref="H100:H111">1-G100</f>
        <v>0.8871839459190133</v>
      </c>
      <c r="I100" s="157"/>
    </row>
    <row r="101" spans="1:9" ht="15">
      <c r="A101" s="290"/>
      <c r="B101" s="165">
        <f>DATE(22,8,1)</f>
        <v>8249</v>
      </c>
      <c r="C101" s="226">
        <v>82456263.29</v>
      </c>
      <c r="D101" s="226">
        <v>9270730.97</v>
      </c>
      <c r="E101" s="226">
        <v>8803736.44</v>
      </c>
      <c r="F101" s="166">
        <f t="shared" si="18"/>
        <v>0.05304503754544488</v>
      </c>
      <c r="G101" s="241">
        <f t="shared" si="19"/>
        <v>0.11243210157844154</v>
      </c>
      <c r="H101" s="242">
        <f t="shared" si="20"/>
        <v>0.8875678984215585</v>
      </c>
      <c r="I101" s="157"/>
    </row>
    <row r="102" spans="1:9" ht="15">
      <c r="A102" s="290"/>
      <c r="B102" s="165">
        <f>DATE(22,9,1)</f>
        <v>8280</v>
      </c>
      <c r="C102" s="226">
        <v>81432452.09</v>
      </c>
      <c r="D102" s="226">
        <v>9440089.3</v>
      </c>
      <c r="E102" s="226">
        <v>8914995.23</v>
      </c>
      <c r="F102" s="166">
        <f t="shared" si="18"/>
        <v>0.05890009545187387</v>
      </c>
      <c r="G102" s="241">
        <f t="shared" si="19"/>
        <v>0.11592539654297422</v>
      </c>
      <c r="H102" s="242">
        <f t="shared" si="20"/>
        <v>0.8840746034570258</v>
      </c>
      <c r="I102" s="157"/>
    </row>
    <row r="103" spans="1:9" ht="15">
      <c r="A103" s="290"/>
      <c r="B103" s="165">
        <f>DATE(22,10,1)</f>
        <v>8310</v>
      </c>
      <c r="C103" s="226">
        <v>82324119.66</v>
      </c>
      <c r="D103" s="226">
        <v>9283650.12</v>
      </c>
      <c r="E103" s="226">
        <v>9230867.67</v>
      </c>
      <c r="F103" s="166">
        <f t="shared" si="18"/>
        <v>0.005718037771415616</v>
      </c>
      <c r="G103" s="241">
        <f t="shared" si="19"/>
        <v>0.11276950374132916</v>
      </c>
      <c r="H103" s="242">
        <f t="shared" si="20"/>
        <v>0.8872304962586708</v>
      </c>
      <c r="I103" s="157"/>
    </row>
    <row r="104" spans="1:9" ht="15">
      <c r="A104" s="290"/>
      <c r="B104" s="165">
        <f>DATE(22,11,1)</f>
        <v>8341</v>
      </c>
      <c r="C104" s="226">
        <v>82659962.18</v>
      </c>
      <c r="D104" s="226">
        <v>9336104.85</v>
      </c>
      <c r="E104" s="226">
        <v>8512217.68</v>
      </c>
      <c r="F104" s="166">
        <f t="shared" si="18"/>
        <v>0.09678878066473506</v>
      </c>
      <c r="G104" s="241">
        <f t="shared" si="19"/>
        <v>0.112945912431822</v>
      </c>
      <c r="H104" s="242">
        <f t="shared" si="20"/>
        <v>0.887054087568178</v>
      </c>
      <c r="I104" s="157"/>
    </row>
    <row r="105" spans="1:9" ht="15">
      <c r="A105" s="290"/>
      <c r="B105" s="165">
        <f>DATE(22,12,1)</f>
        <v>8371</v>
      </c>
      <c r="C105" s="226">
        <v>88513153.28</v>
      </c>
      <c r="D105" s="226">
        <v>9794618.43</v>
      </c>
      <c r="E105" s="226">
        <v>9265401.08</v>
      </c>
      <c r="F105" s="166">
        <f t="shared" si="18"/>
        <v>0.05711758675426921</v>
      </c>
      <c r="G105" s="241">
        <f t="shared" si="19"/>
        <v>0.11065720818934087</v>
      </c>
      <c r="H105" s="242">
        <f t="shared" si="20"/>
        <v>0.8893427918106591</v>
      </c>
      <c r="I105" s="157"/>
    </row>
    <row r="106" spans="1:9" ht="15">
      <c r="A106" s="290"/>
      <c r="B106" s="165">
        <f>DATE(23,1,1)</f>
        <v>8402</v>
      </c>
      <c r="C106" s="226">
        <v>86885608.79</v>
      </c>
      <c r="D106" s="226">
        <v>9804638.45</v>
      </c>
      <c r="E106" s="226">
        <v>8004296.77</v>
      </c>
      <c r="F106" s="166">
        <f t="shared" si="18"/>
        <v>0.22492190528812686</v>
      </c>
      <c r="G106" s="241">
        <f t="shared" si="19"/>
        <v>0.112845367449718</v>
      </c>
      <c r="H106" s="242">
        <f t="shared" si="20"/>
        <v>0.887154632550282</v>
      </c>
      <c r="I106" s="157"/>
    </row>
    <row r="107" spans="1:9" ht="15">
      <c r="A107" s="290"/>
      <c r="B107" s="165">
        <f>DATE(23,2,1)</f>
        <v>8433</v>
      </c>
      <c r="C107" s="226">
        <v>83528330.4</v>
      </c>
      <c r="D107" s="226">
        <v>9413288.12</v>
      </c>
      <c r="E107" s="226">
        <v>8308096.34</v>
      </c>
      <c r="F107" s="166">
        <f t="shared" si="18"/>
        <v>0.13302587437256408</v>
      </c>
      <c r="G107" s="241">
        <f t="shared" si="19"/>
        <v>0.11269575334406538</v>
      </c>
      <c r="H107" s="242">
        <f t="shared" si="20"/>
        <v>0.8873042466559347</v>
      </c>
      <c r="I107" s="157"/>
    </row>
    <row r="108" spans="1:9" ht="15">
      <c r="A108" s="290"/>
      <c r="B108" s="165">
        <f>DATE(23,3,1)</f>
        <v>8461</v>
      </c>
      <c r="C108" s="226">
        <v>95091766.3</v>
      </c>
      <c r="D108" s="226">
        <v>10565430.36</v>
      </c>
      <c r="E108" s="226">
        <v>10191834.04</v>
      </c>
      <c r="F108" s="166">
        <f t="shared" si="18"/>
        <v>0.03665643676434907</v>
      </c>
      <c r="G108" s="241">
        <f t="shared" si="19"/>
        <v>0.11110773068056892</v>
      </c>
      <c r="H108" s="242">
        <f t="shared" si="20"/>
        <v>0.8888922693194311</v>
      </c>
      <c r="I108" s="157"/>
    </row>
    <row r="109" spans="1:9" ht="15">
      <c r="A109" s="290"/>
      <c r="B109" s="165">
        <f>DATE(23,4,1)</f>
        <v>8492</v>
      </c>
      <c r="C109" s="226">
        <v>87982268.81</v>
      </c>
      <c r="D109" s="226">
        <v>9866282.79</v>
      </c>
      <c r="E109" s="226">
        <v>9948758.66</v>
      </c>
      <c r="F109" s="166">
        <f t="shared" si="18"/>
        <v>-0.008290066411159785</v>
      </c>
      <c r="G109" s="241">
        <f t="shared" si="19"/>
        <v>0.1121394449523289</v>
      </c>
      <c r="H109" s="242">
        <f t="shared" si="20"/>
        <v>0.8878605550476711</v>
      </c>
      <c r="I109" s="157"/>
    </row>
    <row r="110" spans="1:9" ht="15">
      <c r="A110" s="290"/>
      <c r="B110" s="165">
        <f>DATE(23,5,1)</f>
        <v>8522</v>
      </c>
      <c r="C110" s="226">
        <v>87984114.4</v>
      </c>
      <c r="D110" s="226">
        <v>9610232.13</v>
      </c>
      <c r="E110" s="226">
        <v>9691278.63</v>
      </c>
      <c r="F110" s="166">
        <f t="shared" si="18"/>
        <v>-0.008362828383564903</v>
      </c>
      <c r="G110" s="241">
        <f t="shared" si="19"/>
        <v>0.10922690073698123</v>
      </c>
      <c r="H110" s="242">
        <f t="shared" si="20"/>
        <v>0.8907730992630187</v>
      </c>
      <c r="I110" s="157"/>
    </row>
    <row r="111" spans="1:9" ht="15">
      <c r="A111" s="290"/>
      <c r="B111" s="165">
        <f>DATE(23,6,1)</f>
        <v>8553</v>
      </c>
      <c r="C111" s="226">
        <v>83270520.72</v>
      </c>
      <c r="D111" s="226">
        <v>9491555.81</v>
      </c>
      <c r="E111" s="226">
        <v>8939778.86</v>
      </c>
      <c r="F111" s="166">
        <f t="shared" si="18"/>
        <v>0.061721543523728856</v>
      </c>
      <c r="G111" s="241">
        <f t="shared" si="19"/>
        <v>0.11398458575653303</v>
      </c>
      <c r="H111" s="242">
        <f t="shared" si="20"/>
        <v>0.886015414243467</v>
      </c>
      <c r="I111" s="157"/>
    </row>
    <row r="112" spans="1:9" ht="15" thickBot="1">
      <c r="A112" s="167"/>
      <c r="B112" s="165"/>
      <c r="C112" s="226"/>
      <c r="D112" s="226"/>
      <c r="E112" s="226"/>
      <c r="F112" s="166"/>
      <c r="G112" s="241"/>
      <c r="H112" s="242"/>
      <c r="I112" s="157"/>
    </row>
    <row r="113" spans="1:9" ht="16.5" thickBot="1" thickTop="1">
      <c r="A113" s="174" t="s">
        <v>14</v>
      </c>
      <c r="B113" s="175"/>
      <c r="C113" s="228">
        <f>SUM(C100:C112)</f>
        <v>1027709720.3199998</v>
      </c>
      <c r="D113" s="230">
        <f>SUM(D100:D112)</f>
        <v>115531550.15</v>
      </c>
      <c r="E113" s="271">
        <f>SUM(E100:E112)</f>
        <v>108257933.96999998</v>
      </c>
      <c r="F113" s="272">
        <f>(+D113-E113)/E113</f>
        <v>0.06718783476891087</v>
      </c>
      <c r="G113" s="249">
        <f>D113/C113</f>
        <v>0.11241651982626645</v>
      </c>
      <c r="H113" s="270">
        <f>1-G113</f>
        <v>0.8875834801737336</v>
      </c>
      <c r="I113" s="157"/>
    </row>
    <row r="114" spans="1:9" ht="15" thickTop="1">
      <c r="A114" s="167"/>
      <c r="B114" s="168"/>
      <c r="C114" s="226"/>
      <c r="D114" s="226"/>
      <c r="E114" s="226"/>
      <c r="F114" s="166"/>
      <c r="G114" s="241"/>
      <c r="H114" s="242"/>
      <c r="I114" s="157"/>
    </row>
    <row r="115" spans="1:9" ht="15">
      <c r="A115" s="164" t="s">
        <v>69</v>
      </c>
      <c r="B115" s="165">
        <f>DATE(22,7,1)</f>
        <v>8218</v>
      </c>
      <c r="C115" s="226">
        <v>115913733.48</v>
      </c>
      <c r="D115" s="226">
        <v>11762621.74</v>
      </c>
      <c r="E115" s="226">
        <v>13534455.82</v>
      </c>
      <c r="F115" s="166">
        <f aca="true" t="shared" si="21" ref="F115:F126">(+D115-E115)/E115</f>
        <v>-0.1309128422719252</v>
      </c>
      <c r="G115" s="241">
        <f aca="true" t="shared" si="22" ref="G115:G126">D115/C115</f>
        <v>0.10147737793321572</v>
      </c>
      <c r="H115" s="242">
        <f aca="true" t="shared" si="23" ref="H115:H126">1-G115</f>
        <v>0.8985226220667842</v>
      </c>
      <c r="I115" s="157"/>
    </row>
    <row r="116" spans="1:9" ht="15">
      <c r="A116" s="164"/>
      <c r="B116" s="165">
        <f>DATE(22,8,1)</f>
        <v>8249</v>
      </c>
      <c r="C116" s="226">
        <v>120866905.96</v>
      </c>
      <c r="D116" s="226">
        <v>12540537.03</v>
      </c>
      <c r="E116" s="226">
        <v>11799607.16</v>
      </c>
      <c r="F116" s="166">
        <f t="shared" si="21"/>
        <v>0.0627927574158324</v>
      </c>
      <c r="G116" s="241">
        <f t="shared" si="22"/>
        <v>0.10375492721018438</v>
      </c>
      <c r="H116" s="242">
        <f t="shared" si="23"/>
        <v>0.8962450727898156</v>
      </c>
      <c r="I116" s="157"/>
    </row>
    <row r="117" spans="1:9" ht="15">
      <c r="A117" s="164"/>
      <c r="B117" s="165">
        <f>DATE(22,9,1)</f>
        <v>8280</v>
      </c>
      <c r="C117" s="226">
        <v>118707239.62</v>
      </c>
      <c r="D117" s="226">
        <v>12203478.51</v>
      </c>
      <c r="E117" s="226">
        <v>11262305.48</v>
      </c>
      <c r="F117" s="166">
        <f t="shared" si="21"/>
        <v>0.08356841604690687</v>
      </c>
      <c r="G117" s="241">
        <f t="shared" si="22"/>
        <v>0.10280315294218952</v>
      </c>
      <c r="H117" s="242">
        <f t="shared" si="23"/>
        <v>0.8971968470578104</v>
      </c>
      <c r="I117" s="157"/>
    </row>
    <row r="118" spans="1:9" ht="15">
      <c r="A118" s="164"/>
      <c r="B118" s="165">
        <f>DATE(22,10,1)</f>
        <v>8310</v>
      </c>
      <c r="C118" s="226">
        <v>112671486.7</v>
      </c>
      <c r="D118" s="226">
        <v>11570843.18</v>
      </c>
      <c r="E118" s="226">
        <v>11850584.04</v>
      </c>
      <c r="F118" s="166">
        <f t="shared" si="21"/>
        <v>-0.023605660198330564</v>
      </c>
      <c r="G118" s="241">
        <f t="shared" si="22"/>
        <v>0.10269539808956829</v>
      </c>
      <c r="H118" s="242">
        <f t="shared" si="23"/>
        <v>0.8973046019104317</v>
      </c>
      <c r="I118" s="157"/>
    </row>
    <row r="119" spans="1:9" ht="15">
      <c r="A119" s="164"/>
      <c r="B119" s="165">
        <f>DATE(22,11,1)</f>
        <v>8341</v>
      </c>
      <c r="C119" s="226">
        <v>102848583.43</v>
      </c>
      <c r="D119" s="226">
        <v>10635557.71</v>
      </c>
      <c r="E119" s="226">
        <v>10537202.82</v>
      </c>
      <c r="F119" s="166">
        <f t="shared" si="21"/>
        <v>0.009334060630713056</v>
      </c>
      <c r="G119" s="241">
        <f t="shared" si="22"/>
        <v>0.10340986093638023</v>
      </c>
      <c r="H119" s="242">
        <f t="shared" si="23"/>
        <v>0.8965901390636197</v>
      </c>
      <c r="I119" s="157"/>
    </row>
    <row r="120" spans="1:9" ht="15">
      <c r="A120" s="164"/>
      <c r="B120" s="165">
        <f>DATE(22,12,1)</f>
        <v>8371</v>
      </c>
      <c r="C120" s="226">
        <v>110332938.22</v>
      </c>
      <c r="D120" s="226">
        <v>11765807.74</v>
      </c>
      <c r="E120" s="226">
        <v>11616287.57</v>
      </c>
      <c r="F120" s="166">
        <f t="shared" si="21"/>
        <v>0.012871596807412709</v>
      </c>
      <c r="G120" s="241">
        <f t="shared" si="22"/>
        <v>0.10663912272996295</v>
      </c>
      <c r="H120" s="242">
        <f t="shared" si="23"/>
        <v>0.893360877270037</v>
      </c>
      <c r="I120" s="157"/>
    </row>
    <row r="121" spans="1:9" ht="15">
      <c r="A121" s="164"/>
      <c r="B121" s="165">
        <f>DATE(23,1,1)</f>
        <v>8402</v>
      </c>
      <c r="C121" s="226">
        <v>104231904.07</v>
      </c>
      <c r="D121" s="226">
        <v>10527686.77</v>
      </c>
      <c r="E121" s="226">
        <v>9767141.98</v>
      </c>
      <c r="F121" s="166">
        <f t="shared" si="21"/>
        <v>0.07786769062611693</v>
      </c>
      <c r="G121" s="241">
        <f t="shared" si="22"/>
        <v>0.10100253721672227</v>
      </c>
      <c r="H121" s="242">
        <f t="shared" si="23"/>
        <v>0.8989974627832777</v>
      </c>
      <c r="I121" s="157"/>
    </row>
    <row r="122" spans="1:9" ht="15">
      <c r="A122" s="164"/>
      <c r="B122" s="165">
        <f>DATE(23,2,1)</f>
        <v>8433</v>
      </c>
      <c r="C122" s="226">
        <v>108269385.65</v>
      </c>
      <c r="D122" s="226">
        <v>11416592.51</v>
      </c>
      <c r="E122" s="226">
        <v>10322075.95</v>
      </c>
      <c r="F122" s="166">
        <f t="shared" si="21"/>
        <v>0.10603647612184064</v>
      </c>
      <c r="G122" s="241">
        <f t="shared" si="22"/>
        <v>0.10544617429442299</v>
      </c>
      <c r="H122" s="242">
        <f t="shared" si="23"/>
        <v>0.894553825705577</v>
      </c>
      <c r="I122" s="157"/>
    </row>
    <row r="123" spans="1:9" ht="15">
      <c r="A123" s="164"/>
      <c r="B123" s="165">
        <f>DATE(23,3,1)</f>
        <v>8461</v>
      </c>
      <c r="C123" s="226">
        <v>122084471.45</v>
      </c>
      <c r="D123" s="226">
        <v>13000522.43</v>
      </c>
      <c r="E123" s="226">
        <v>13047812.96</v>
      </c>
      <c r="F123" s="166">
        <f t="shared" si="21"/>
        <v>-0.003624402813327973</v>
      </c>
      <c r="G123" s="241">
        <f t="shared" si="22"/>
        <v>0.10648792819916</v>
      </c>
      <c r="H123" s="242">
        <f t="shared" si="23"/>
        <v>0.89351207180084</v>
      </c>
      <c r="I123" s="157"/>
    </row>
    <row r="124" spans="1:9" ht="15">
      <c r="A124" s="164"/>
      <c r="B124" s="165">
        <f>DATE(23,4,1)</f>
        <v>8492</v>
      </c>
      <c r="C124" s="226">
        <v>116289484.63</v>
      </c>
      <c r="D124" s="226">
        <v>12012834.47</v>
      </c>
      <c r="E124" s="226">
        <v>11513326.96</v>
      </c>
      <c r="F124" s="166">
        <f t="shared" si="21"/>
        <v>0.04338515806381649</v>
      </c>
      <c r="G124" s="241">
        <f t="shared" si="22"/>
        <v>0.10330112398572766</v>
      </c>
      <c r="H124" s="242">
        <f t="shared" si="23"/>
        <v>0.8966988760142723</v>
      </c>
      <c r="I124" s="157"/>
    </row>
    <row r="125" spans="1:9" ht="15">
      <c r="A125" s="164"/>
      <c r="B125" s="165">
        <f>DATE(23,5,1)</f>
        <v>8522</v>
      </c>
      <c r="C125" s="226">
        <v>110025681.78</v>
      </c>
      <c r="D125" s="226">
        <v>11374055.65</v>
      </c>
      <c r="E125" s="226">
        <v>11115266.5</v>
      </c>
      <c r="F125" s="166">
        <f t="shared" si="21"/>
        <v>0.023282316262952435</v>
      </c>
      <c r="G125" s="241">
        <f t="shared" si="22"/>
        <v>0.10337637055267516</v>
      </c>
      <c r="H125" s="242">
        <f t="shared" si="23"/>
        <v>0.8966236294473249</v>
      </c>
      <c r="I125" s="157"/>
    </row>
    <row r="126" spans="1:9" ht="15">
      <c r="A126" s="164"/>
      <c r="B126" s="165">
        <f>DATE(23,6,1)</f>
        <v>8553</v>
      </c>
      <c r="C126" s="226">
        <v>111741917.69</v>
      </c>
      <c r="D126" s="226">
        <v>11796109.39</v>
      </c>
      <c r="E126" s="226">
        <v>10343351.01</v>
      </c>
      <c r="F126" s="166">
        <f t="shared" si="21"/>
        <v>0.14045335777500612</v>
      </c>
      <c r="G126" s="241">
        <f t="shared" si="22"/>
        <v>0.10556566088945561</v>
      </c>
      <c r="H126" s="242">
        <f t="shared" si="23"/>
        <v>0.8944343391105444</v>
      </c>
      <c r="I126" s="157"/>
    </row>
    <row r="127" spans="1:9" ht="15" thickBot="1">
      <c r="A127" s="167"/>
      <c r="B127" s="165"/>
      <c r="C127" s="226"/>
      <c r="D127" s="226"/>
      <c r="E127" s="226"/>
      <c r="F127" s="166"/>
      <c r="G127" s="241"/>
      <c r="H127" s="242"/>
      <c r="I127" s="157"/>
    </row>
    <row r="128" spans="1:9" ht="16.5" thickBot="1" thickTop="1">
      <c r="A128" s="174" t="s">
        <v>14</v>
      </c>
      <c r="B128" s="175"/>
      <c r="C128" s="228">
        <f>SUM(C115:C127)</f>
        <v>1353983732.68</v>
      </c>
      <c r="D128" s="230">
        <f>SUM(D115:D127)</f>
        <v>140606647.13</v>
      </c>
      <c r="E128" s="271">
        <f>SUM(E115:E127)</f>
        <v>136709418.25</v>
      </c>
      <c r="F128" s="176">
        <f>(+D128-E128)/E128</f>
        <v>0.02850739129672213</v>
      </c>
      <c r="G128" s="249">
        <f>D128/C128</f>
        <v>0.1038466295689469</v>
      </c>
      <c r="H128" s="270">
        <f>1-G128</f>
        <v>0.8961533704310531</v>
      </c>
      <c r="I128" s="157"/>
    </row>
    <row r="129" spans="1:9" ht="15" thickTop="1">
      <c r="A129" s="167"/>
      <c r="B129" s="179"/>
      <c r="C129" s="229"/>
      <c r="D129" s="229"/>
      <c r="E129" s="229"/>
      <c r="F129" s="180"/>
      <c r="G129" s="247"/>
      <c r="H129" s="248"/>
      <c r="I129" s="157"/>
    </row>
    <row r="130" spans="1:9" ht="15">
      <c r="A130" s="164" t="s">
        <v>16</v>
      </c>
      <c r="B130" s="165">
        <f>DATE(22,7,1)</f>
        <v>8218</v>
      </c>
      <c r="C130" s="226">
        <v>164331221.16</v>
      </c>
      <c r="D130" s="226">
        <v>15914314.48</v>
      </c>
      <c r="E130" s="226">
        <v>16148799.36</v>
      </c>
      <c r="F130" s="166">
        <f aca="true" t="shared" si="24" ref="F130:F141">(+D130-E130)/E130</f>
        <v>-0.014520267096810284</v>
      </c>
      <c r="G130" s="241">
        <f aca="true" t="shared" si="25" ref="G130:G141">D130/C130</f>
        <v>0.09684291498391005</v>
      </c>
      <c r="H130" s="242">
        <f aca="true" t="shared" si="26" ref="H130:H141">1-G130</f>
        <v>0.9031570850160899</v>
      </c>
      <c r="I130" s="157"/>
    </row>
    <row r="131" spans="1:9" ht="15">
      <c r="A131" s="164"/>
      <c r="B131" s="165">
        <f>DATE(22,8,1)</f>
        <v>8249</v>
      </c>
      <c r="C131" s="226">
        <v>151296993.62</v>
      </c>
      <c r="D131" s="226">
        <v>14340389.18</v>
      </c>
      <c r="E131" s="226">
        <v>14007269.2</v>
      </c>
      <c r="F131" s="166">
        <f t="shared" si="24"/>
        <v>0.02378193602504623</v>
      </c>
      <c r="G131" s="241">
        <f t="shared" si="25"/>
        <v>0.09478304120184672</v>
      </c>
      <c r="H131" s="242">
        <f t="shared" si="26"/>
        <v>0.9052169587981533</v>
      </c>
      <c r="I131" s="157"/>
    </row>
    <row r="132" spans="1:9" ht="15">
      <c r="A132" s="164"/>
      <c r="B132" s="165">
        <f>DATE(22,9,1)</f>
        <v>8280</v>
      </c>
      <c r="C132" s="226">
        <v>150060402.08</v>
      </c>
      <c r="D132" s="226">
        <v>15068846.29</v>
      </c>
      <c r="E132" s="226">
        <v>13534117.95</v>
      </c>
      <c r="F132" s="166">
        <f t="shared" si="24"/>
        <v>0.11339699754870246</v>
      </c>
      <c r="G132" s="241">
        <f t="shared" si="25"/>
        <v>0.10041853867595607</v>
      </c>
      <c r="H132" s="242">
        <f t="shared" si="26"/>
        <v>0.8995814613240439</v>
      </c>
      <c r="I132" s="157"/>
    </row>
    <row r="133" spans="1:9" ht="15">
      <c r="A133" s="164"/>
      <c r="B133" s="165">
        <f>DATE(22,10,1)</f>
        <v>8310</v>
      </c>
      <c r="C133" s="226">
        <v>151075922.59</v>
      </c>
      <c r="D133" s="226">
        <v>14552868.96</v>
      </c>
      <c r="E133" s="226">
        <v>14717532.77</v>
      </c>
      <c r="F133" s="166">
        <f t="shared" si="24"/>
        <v>-0.011188275410919888</v>
      </c>
      <c r="G133" s="241">
        <f t="shared" si="25"/>
        <v>0.09632818195321935</v>
      </c>
      <c r="H133" s="242">
        <f t="shared" si="26"/>
        <v>0.9036718180467807</v>
      </c>
      <c r="I133" s="157"/>
    </row>
    <row r="134" spans="1:9" ht="15">
      <c r="A134" s="164"/>
      <c r="B134" s="165">
        <f>DATE(22,11,1)</f>
        <v>8341</v>
      </c>
      <c r="C134" s="226">
        <v>137208695.11</v>
      </c>
      <c r="D134" s="226">
        <v>13319735.5</v>
      </c>
      <c r="E134" s="226">
        <v>13812980.33</v>
      </c>
      <c r="F134" s="166">
        <f t="shared" si="24"/>
        <v>-0.035708791167155744</v>
      </c>
      <c r="G134" s="241">
        <f t="shared" si="25"/>
        <v>0.09707646799877798</v>
      </c>
      <c r="H134" s="242">
        <f t="shared" si="26"/>
        <v>0.902923532001222</v>
      </c>
      <c r="I134" s="157"/>
    </row>
    <row r="135" spans="1:9" ht="15">
      <c r="A135" s="164"/>
      <c r="B135" s="165">
        <f>DATE(22,12,1)</f>
        <v>8371</v>
      </c>
      <c r="C135" s="226">
        <v>151544462.93</v>
      </c>
      <c r="D135" s="226">
        <v>14436386.73</v>
      </c>
      <c r="E135" s="226">
        <v>14881396.94</v>
      </c>
      <c r="F135" s="166">
        <f t="shared" si="24"/>
        <v>-0.029903792755090575</v>
      </c>
      <c r="G135" s="241">
        <f t="shared" si="25"/>
        <v>0.09526172352907622</v>
      </c>
      <c r="H135" s="242">
        <f t="shared" si="26"/>
        <v>0.9047382764709238</v>
      </c>
      <c r="I135" s="157"/>
    </row>
    <row r="136" spans="1:9" ht="15">
      <c r="A136" s="164"/>
      <c r="B136" s="165">
        <f>DATE(23,1,1)</f>
        <v>8402</v>
      </c>
      <c r="C136" s="226">
        <v>145201607.59</v>
      </c>
      <c r="D136" s="226">
        <v>13555175.18</v>
      </c>
      <c r="E136" s="226">
        <v>13218577.91</v>
      </c>
      <c r="F136" s="166">
        <f t="shared" si="24"/>
        <v>0.02546395476818728</v>
      </c>
      <c r="G136" s="241">
        <f t="shared" si="25"/>
        <v>0.09335416738825102</v>
      </c>
      <c r="H136" s="242">
        <f t="shared" si="26"/>
        <v>0.906645832611749</v>
      </c>
      <c r="I136" s="157"/>
    </row>
    <row r="137" spans="1:9" ht="15">
      <c r="A137" s="164"/>
      <c r="B137" s="165">
        <f>DATE(23,2,1)</f>
        <v>8433</v>
      </c>
      <c r="C137" s="226">
        <v>147866556.63</v>
      </c>
      <c r="D137" s="226">
        <v>14262692.57</v>
      </c>
      <c r="E137" s="226">
        <v>14110740.53</v>
      </c>
      <c r="F137" s="166">
        <f t="shared" si="24"/>
        <v>0.010768537602753366</v>
      </c>
      <c r="G137" s="241">
        <f t="shared" si="25"/>
        <v>0.09645651386668123</v>
      </c>
      <c r="H137" s="242">
        <f t="shared" si="26"/>
        <v>0.9035434861333188</v>
      </c>
      <c r="I137" s="157"/>
    </row>
    <row r="138" spans="1:9" ht="15">
      <c r="A138" s="164"/>
      <c r="B138" s="165">
        <f>DATE(23,3,1)</f>
        <v>8461</v>
      </c>
      <c r="C138" s="226">
        <v>171301853.22</v>
      </c>
      <c r="D138" s="226">
        <v>16320245.87</v>
      </c>
      <c r="E138" s="226">
        <v>16088302.82</v>
      </c>
      <c r="F138" s="166">
        <f t="shared" si="24"/>
        <v>0.014416874955365795</v>
      </c>
      <c r="G138" s="241">
        <f t="shared" si="25"/>
        <v>0.0952718582036599</v>
      </c>
      <c r="H138" s="242">
        <f t="shared" si="26"/>
        <v>0.9047281417963401</v>
      </c>
      <c r="I138" s="157"/>
    </row>
    <row r="139" spans="1:9" ht="15">
      <c r="A139" s="164"/>
      <c r="B139" s="165">
        <f>DATE(23,4,1)</f>
        <v>8492</v>
      </c>
      <c r="C139" s="226">
        <v>156772960.98</v>
      </c>
      <c r="D139" s="226">
        <v>15426763.89</v>
      </c>
      <c r="E139" s="226">
        <v>16169410.21</v>
      </c>
      <c r="F139" s="166">
        <f t="shared" si="24"/>
        <v>-0.045929091435920735</v>
      </c>
      <c r="G139" s="241">
        <f t="shared" si="25"/>
        <v>0.09840194248782505</v>
      </c>
      <c r="H139" s="242">
        <f t="shared" si="26"/>
        <v>0.9015980575121749</v>
      </c>
      <c r="I139" s="157"/>
    </row>
    <row r="140" spans="1:9" ht="15">
      <c r="A140" s="164"/>
      <c r="B140" s="165">
        <f>DATE(23,5,1)</f>
        <v>8522</v>
      </c>
      <c r="C140" s="226">
        <v>149544144.4</v>
      </c>
      <c r="D140" s="226">
        <v>14519933.27</v>
      </c>
      <c r="E140" s="226">
        <v>15057793.13</v>
      </c>
      <c r="F140" s="166">
        <f t="shared" si="24"/>
        <v>-0.03571970044723288</v>
      </c>
      <c r="G140" s="241">
        <f t="shared" si="25"/>
        <v>0.09709462933675388</v>
      </c>
      <c r="H140" s="242">
        <f t="shared" si="26"/>
        <v>0.9029053706632462</v>
      </c>
      <c r="I140" s="157"/>
    </row>
    <row r="141" spans="1:9" ht="15">
      <c r="A141" s="164"/>
      <c r="B141" s="165">
        <f>DATE(23,6,1)</f>
        <v>8553</v>
      </c>
      <c r="C141" s="226">
        <v>147113432.94</v>
      </c>
      <c r="D141" s="226">
        <v>14329296.02</v>
      </c>
      <c r="E141" s="226">
        <v>14541336.98</v>
      </c>
      <c r="F141" s="166">
        <f t="shared" si="24"/>
        <v>-0.014581943894955448</v>
      </c>
      <c r="G141" s="241">
        <f t="shared" si="25"/>
        <v>0.09740304290121611</v>
      </c>
      <c r="H141" s="242">
        <f t="shared" si="26"/>
        <v>0.9025969570987838</v>
      </c>
      <c r="I141" s="157"/>
    </row>
    <row r="142" spans="1:9" ht="15.75" customHeight="1" thickBot="1">
      <c r="A142" s="164"/>
      <c r="B142" s="165"/>
      <c r="C142" s="226"/>
      <c r="D142" s="226"/>
      <c r="E142" s="226"/>
      <c r="F142" s="166"/>
      <c r="G142" s="241"/>
      <c r="H142" s="242"/>
      <c r="I142" s="157"/>
    </row>
    <row r="143" spans="1:9" ht="16.5" thickBot="1" thickTop="1">
      <c r="A143" s="174" t="s">
        <v>14</v>
      </c>
      <c r="B143" s="181"/>
      <c r="C143" s="228">
        <f>SUM(C130:C142)</f>
        <v>1823318253.2500002</v>
      </c>
      <c r="D143" s="228">
        <f>SUM(D130:D142)</f>
        <v>176046647.94</v>
      </c>
      <c r="E143" s="228">
        <f>SUM(E130:E142)</f>
        <v>176288258.13</v>
      </c>
      <c r="F143" s="176">
        <f>(+D143-E143)/E143</f>
        <v>-0.0013705404577871963</v>
      </c>
      <c r="G143" s="245">
        <f>D143/C143</f>
        <v>0.09655289065757065</v>
      </c>
      <c r="H143" s="246">
        <f>1-G143</f>
        <v>0.9034471093424293</v>
      </c>
      <c r="I143" s="157"/>
    </row>
    <row r="144" spans="1:9" ht="15" thickTop="1">
      <c r="A144" s="171"/>
      <c r="B144" s="172"/>
      <c r="C144" s="227"/>
      <c r="D144" s="227"/>
      <c r="E144" s="227"/>
      <c r="F144" s="173"/>
      <c r="G144" s="243"/>
      <c r="H144" s="244"/>
      <c r="I144" s="157"/>
    </row>
    <row r="145" spans="1:9" ht="15">
      <c r="A145" s="164" t="s">
        <v>53</v>
      </c>
      <c r="B145" s="165">
        <f>DATE(22,7,1)</f>
        <v>8218</v>
      </c>
      <c r="C145" s="226">
        <v>217334773.96</v>
      </c>
      <c r="D145" s="226">
        <v>19656587.45</v>
      </c>
      <c r="E145" s="226">
        <v>17635283.72</v>
      </c>
      <c r="F145" s="166">
        <f aca="true" t="shared" si="27" ref="F145:F156">(+D145-E145)/E145</f>
        <v>0.1146170235814046</v>
      </c>
      <c r="G145" s="241">
        <f aca="true" t="shared" si="28" ref="G145:G156">D145/C145</f>
        <v>0.09044382126174504</v>
      </c>
      <c r="H145" s="242">
        <f aca="true" t="shared" si="29" ref="H145:H156">1-G145</f>
        <v>0.909556178738255</v>
      </c>
      <c r="I145" s="157"/>
    </row>
    <row r="146" spans="1:9" ht="15">
      <c r="A146" s="164"/>
      <c r="B146" s="165">
        <f>DATE(22,8,1)</f>
        <v>8249</v>
      </c>
      <c r="C146" s="226">
        <v>200475281.67</v>
      </c>
      <c r="D146" s="226">
        <v>17776767.91</v>
      </c>
      <c r="E146" s="226">
        <v>17152915.09</v>
      </c>
      <c r="F146" s="166">
        <f t="shared" si="27"/>
        <v>0.03637007568257019</v>
      </c>
      <c r="G146" s="241">
        <f t="shared" si="28"/>
        <v>0.08867311601667746</v>
      </c>
      <c r="H146" s="242">
        <f t="shared" si="29"/>
        <v>0.9113268839833225</v>
      </c>
      <c r="I146" s="157"/>
    </row>
    <row r="147" spans="1:9" ht="15">
      <c r="A147" s="164"/>
      <c r="B147" s="165">
        <f>DATE(22,9,1)</f>
        <v>8280</v>
      </c>
      <c r="C147" s="226">
        <v>196574841.52</v>
      </c>
      <c r="D147" s="226">
        <v>17845168.1</v>
      </c>
      <c r="E147" s="226">
        <v>16762718.67</v>
      </c>
      <c r="F147" s="166">
        <f t="shared" si="27"/>
        <v>0.06457481338854931</v>
      </c>
      <c r="G147" s="241">
        <f t="shared" si="28"/>
        <v>0.09078052899350494</v>
      </c>
      <c r="H147" s="242">
        <f t="shared" si="29"/>
        <v>0.909219471006495</v>
      </c>
      <c r="I147" s="157"/>
    </row>
    <row r="148" spans="1:9" ht="15">
      <c r="A148" s="164"/>
      <c r="B148" s="165">
        <f>DATE(22,10,1)</f>
        <v>8310</v>
      </c>
      <c r="C148" s="226">
        <v>198946815.71</v>
      </c>
      <c r="D148" s="226">
        <v>17788599.37</v>
      </c>
      <c r="E148" s="226">
        <v>18368300.02</v>
      </c>
      <c r="F148" s="166">
        <f t="shared" si="27"/>
        <v>-0.03155984219382314</v>
      </c>
      <c r="G148" s="241">
        <f t="shared" si="28"/>
        <v>0.0894138431244359</v>
      </c>
      <c r="H148" s="242">
        <f t="shared" si="29"/>
        <v>0.9105861568755641</v>
      </c>
      <c r="I148" s="157"/>
    </row>
    <row r="149" spans="1:9" ht="15">
      <c r="A149" s="164"/>
      <c r="B149" s="165">
        <f>DATE(22,11,1)</f>
        <v>8341</v>
      </c>
      <c r="C149" s="226">
        <v>191380410.94</v>
      </c>
      <c r="D149" s="226">
        <v>17618885.15</v>
      </c>
      <c r="E149" s="226">
        <v>17099113.55</v>
      </c>
      <c r="F149" s="166">
        <f t="shared" si="27"/>
        <v>0.03039757578544168</v>
      </c>
      <c r="G149" s="241">
        <f t="shared" si="28"/>
        <v>0.09206211369001463</v>
      </c>
      <c r="H149" s="242">
        <f t="shared" si="29"/>
        <v>0.9079378863099854</v>
      </c>
      <c r="I149" s="157"/>
    </row>
    <row r="150" spans="1:9" ht="15">
      <c r="A150" s="164"/>
      <c r="B150" s="165">
        <f>DATE(22,12,1)</f>
        <v>8371</v>
      </c>
      <c r="C150" s="226">
        <v>201934623.12</v>
      </c>
      <c r="D150" s="226">
        <v>18411025.47</v>
      </c>
      <c r="E150" s="226">
        <v>18695924.3</v>
      </c>
      <c r="F150" s="166">
        <f t="shared" si="27"/>
        <v>-0.015238552821911134</v>
      </c>
      <c r="G150" s="241">
        <f t="shared" si="28"/>
        <v>0.09117319846165862</v>
      </c>
      <c r="H150" s="242">
        <f t="shared" si="29"/>
        <v>0.9088268015383414</v>
      </c>
      <c r="I150" s="157"/>
    </row>
    <row r="151" spans="1:9" ht="15">
      <c r="A151" s="164"/>
      <c r="B151" s="165">
        <f>DATE(23,1,1)</f>
        <v>8402</v>
      </c>
      <c r="C151" s="226">
        <v>195259128.19</v>
      </c>
      <c r="D151" s="226">
        <v>17516119.75</v>
      </c>
      <c r="E151" s="226">
        <v>16268714.7</v>
      </c>
      <c r="F151" s="166">
        <f t="shared" si="27"/>
        <v>0.07667508300455972</v>
      </c>
      <c r="G151" s="241">
        <f t="shared" si="28"/>
        <v>0.08970704679658131</v>
      </c>
      <c r="H151" s="242">
        <f t="shared" si="29"/>
        <v>0.9102929532034187</v>
      </c>
      <c r="I151" s="157"/>
    </row>
    <row r="152" spans="1:9" ht="15">
      <c r="A152" s="164"/>
      <c r="B152" s="165">
        <f>DATE(23,2,1)</f>
        <v>8433</v>
      </c>
      <c r="C152" s="226">
        <v>198838074.74</v>
      </c>
      <c r="D152" s="226">
        <v>18048053.24</v>
      </c>
      <c r="E152" s="226">
        <v>16850587.23</v>
      </c>
      <c r="F152" s="166">
        <f t="shared" si="27"/>
        <v>0.07106375544396965</v>
      </c>
      <c r="G152" s="241">
        <f t="shared" si="28"/>
        <v>0.0907675919896105</v>
      </c>
      <c r="H152" s="242">
        <f t="shared" si="29"/>
        <v>0.9092324080103895</v>
      </c>
      <c r="I152" s="157"/>
    </row>
    <row r="153" spans="1:9" ht="15">
      <c r="A153" s="164"/>
      <c r="B153" s="165">
        <f>DATE(23,3,1)</f>
        <v>8461</v>
      </c>
      <c r="C153" s="226">
        <v>224833673.91</v>
      </c>
      <c r="D153" s="226">
        <v>20524459.28</v>
      </c>
      <c r="E153" s="226">
        <v>20102038.1</v>
      </c>
      <c r="F153" s="166">
        <f t="shared" si="27"/>
        <v>0.02101384834207431</v>
      </c>
      <c r="G153" s="241">
        <f t="shared" si="28"/>
        <v>0.09128730106601317</v>
      </c>
      <c r="H153" s="242">
        <f t="shared" si="29"/>
        <v>0.9087126989339869</v>
      </c>
      <c r="I153" s="157"/>
    </row>
    <row r="154" spans="1:9" ht="15">
      <c r="A154" s="164"/>
      <c r="B154" s="165">
        <f>DATE(23,4,1)</f>
        <v>8492</v>
      </c>
      <c r="C154" s="226">
        <v>216996309.88</v>
      </c>
      <c r="D154" s="226">
        <v>19237395.37</v>
      </c>
      <c r="E154" s="226">
        <v>19770105.32</v>
      </c>
      <c r="F154" s="166">
        <f t="shared" si="27"/>
        <v>-0.02694522570201458</v>
      </c>
      <c r="G154" s="241">
        <f t="shared" si="28"/>
        <v>0.08865309912706983</v>
      </c>
      <c r="H154" s="242">
        <f t="shared" si="29"/>
        <v>0.9113469008729301</v>
      </c>
      <c r="I154" s="157"/>
    </row>
    <row r="155" spans="1:9" ht="15">
      <c r="A155" s="164"/>
      <c r="B155" s="165">
        <f>DATE(23,5,1)</f>
        <v>8522</v>
      </c>
      <c r="C155" s="226">
        <v>204548944.39</v>
      </c>
      <c r="D155" s="226">
        <v>18582653.74</v>
      </c>
      <c r="E155" s="226">
        <v>19445827.75</v>
      </c>
      <c r="F155" s="166">
        <f t="shared" si="27"/>
        <v>-0.04438864835671506</v>
      </c>
      <c r="G155" s="241">
        <f t="shared" si="28"/>
        <v>0.09084697941324829</v>
      </c>
      <c r="H155" s="242">
        <f t="shared" si="29"/>
        <v>0.9091530205867517</v>
      </c>
      <c r="I155" s="157"/>
    </row>
    <row r="156" spans="1:9" ht="15">
      <c r="A156" s="164"/>
      <c r="B156" s="165">
        <f>DATE(23,6,1)</f>
        <v>8553</v>
      </c>
      <c r="C156" s="226">
        <v>197538570.54</v>
      </c>
      <c r="D156" s="226">
        <v>17526659.5</v>
      </c>
      <c r="E156" s="226">
        <v>17545199.96</v>
      </c>
      <c r="F156" s="166">
        <f t="shared" si="27"/>
        <v>-0.0010567254885820573</v>
      </c>
      <c r="G156" s="241">
        <f t="shared" si="28"/>
        <v>0.08872525224865384</v>
      </c>
      <c r="H156" s="242">
        <f t="shared" si="29"/>
        <v>0.9112747477513462</v>
      </c>
      <c r="I156" s="157"/>
    </row>
    <row r="157" spans="1:9" ht="15" thickBot="1">
      <c r="A157" s="167"/>
      <c r="B157" s="168"/>
      <c r="C157" s="226"/>
      <c r="D157" s="226"/>
      <c r="E157" s="226"/>
      <c r="F157" s="166"/>
      <c r="G157" s="241"/>
      <c r="H157" s="242"/>
      <c r="I157" s="157"/>
    </row>
    <row r="158" spans="1:9" ht="16.5" thickBot="1" thickTop="1">
      <c r="A158" s="174" t="s">
        <v>14</v>
      </c>
      <c r="B158" s="175"/>
      <c r="C158" s="228">
        <f>SUM(C145:C157)</f>
        <v>2444661448.57</v>
      </c>
      <c r="D158" s="228">
        <f>SUM(D145:D157)</f>
        <v>220532374.33</v>
      </c>
      <c r="E158" s="228">
        <f>SUM(E145:E157)</f>
        <v>215696728.41</v>
      </c>
      <c r="F158" s="176">
        <f>(+D158-E158)/E158</f>
        <v>0.02241872630913687</v>
      </c>
      <c r="G158" s="249">
        <f>D158/C158</f>
        <v>0.090209781178085</v>
      </c>
      <c r="H158" s="270">
        <f>1-G158</f>
        <v>0.909790218821915</v>
      </c>
      <c r="I158" s="157"/>
    </row>
    <row r="159" spans="1:9" ht="15" thickTop="1">
      <c r="A159" s="167"/>
      <c r="B159" s="168"/>
      <c r="C159" s="226"/>
      <c r="D159" s="226"/>
      <c r="E159" s="226"/>
      <c r="F159" s="166"/>
      <c r="G159" s="241"/>
      <c r="H159" s="242"/>
      <c r="I159" s="157"/>
    </row>
    <row r="160" spans="1:9" ht="15">
      <c r="A160" s="164" t="s">
        <v>54</v>
      </c>
      <c r="B160" s="165">
        <f>DATE(22,7,1)</f>
        <v>8218</v>
      </c>
      <c r="C160" s="226">
        <v>29253159.1</v>
      </c>
      <c r="D160" s="226">
        <v>3220140.18</v>
      </c>
      <c r="E160" s="226">
        <v>3540868.12</v>
      </c>
      <c r="F160" s="166">
        <f aca="true" t="shared" si="30" ref="F160:F171">(+D160-E160)/E160</f>
        <v>-0.09057890018225247</v>
      </c>
      <c r="G160" s="241">
        <f aca="true" t="shared" si="31" ref="G160:G171">D160/C160</f>
        <v>0.11007837372340412</v>
      </c>
      <c r="H160" s="242">
        <f aca="true" t="shared" si="32" ref="H160:H171">1-G160</f>
        <v>0.8899216262765959</v>
      </c>
      <c r="I160" s="157"/>
    </row>
    <row r="161" spans="1:9" ht="15">
      <c r="A161" s="164"/>
      <c r="B161" s="165">
        <f>DATE(22,8,1)</f>
        <v>8249</v>
      </c>
      <c r="C161" s="226">
        <v>25837783.38</v>
      </c>
      <c r="D161" s="226">
        <v>2910388.06</v>
      </c>
      <c r="E161" s="226">
        <v>3115295.59</v>
      </c>
      <c r="F161" s="166">
        <f t="shared" si="30"/>
        <v>-0.06577466698753931</v>
      </c>
      <c r="G161" s="241">
        <f t="shared" si="31"/>
        <v>0.11264077948160274</v>
      </c>
      <c r="H161" s="242">
        <f t="shared" si="32"/>
        <v>0.8873592205183972</v>
      </c>
      <c r="I161" s="157"/>
    </row>
    <row r="162" spans="1:9" ht="15">
      <c r="A162" s="164"/>
      <c r="B162" s="165">
        <f>DATE(22,9,1)</f>
        <v>8280</v>
      </c>
      <c r="C162" s="226">
        <v>27357626.21</v>
      </c>
      <c r="D162" s="226">
        <v>3079109.35</v>
      </c>
      <c r="E162" s="226">
        <v>3042841.65</v>
      </c>
      <c r="F162" s="166">
        <f t="shared" si="30"/>
        <v>0.011919023127608428</v>
      </c>
      <c r="G162" s="241">
        <f t="shared" si="31"/>
        <v>0.11255031143288656</v>
      </c>
      <c r="H162" s="242">
        <f t="shared" si="32"/>
        <v>0.8874496885671135</v>
      </c>
      <c r="I162" s="157"/>
    </row>
    <row r="163" spans="1:9" ht="15">
      <c r="A163" s="164"/>
      <c r="B163" s="165">
        <f>DATE(22,10,1)</f>
        <v>8310</v>
      </c>
      <c r="C163" s="226">
        <v>26519006.94</v>
      </c>
      <c r="D163" s="226">
        <v>3026739.97</v>
      </c>
      <c r="E163" s="226">
        <v>3415416.93</v>
      </c>
      <c r="F163" s="166">
        <f t="shared" si="30"/>
        <v>-0.11380073588848784</v>
      </c>
      <c r="G163" s="241">
        <f t="shared" si="31"/>
        <v>0.11413474029582195</v>
      </c>
      <c r="H163" s="242">
        <f t="shared" si="32"/>
        <v>0.8858652597041781</v>
      </c>
      <c r="I163" s="157"/>
    </row>
    <row r="164" spans="1:9" ht="15">
      <c r="A164" s="164"/>
      <c r="B164" s="165">
        <f>DATE(22,11,1)</f>
        <v>8341</v>
      </c>
      <c r="C164" s="226">
        <v>23873732.33</v>
      </c>
      <c r="D164" s="226">
        <v>2771028.1</v>
      </c>
      <c r="E164" s="226">
        <v>3126811.29</v>
      </c>
      <c r="F164" s="166">
        <f t="shared" si="30"/>
        <v>-0.11378466974896971</v>
      </c>
      <c r="G164" s="241">
        <f t="shared" si="31"/>
        <v>0.11607016706465689</v>
      </c>
      <c r="H164" s="242">
        <f t="shared" si="32"/>
        <v>0.8839298329353431</v>
      </c>
      <c r="I164" s="157"/>
    </row>
    <row r="165" spans="1:9" ht="15">
      <c r="A165" s="164"/>
      <c r="B165" s="165">
        <f>DATE(22,12,1)</f>
        <v>8371</v>
      </c>
      <c r="C165" s="226">
        <v>26447659.84</v>
      </c>
      <c r="D165" s="226">
        <v>3065877.72</v>
      </c>
      <c r="E165" s="226">
        <v>3080901.79</v>
      </c>
      <c r="F165" s="166">
        <f t="shared" si="30"/>
        <v>-0.004876517014844485</v>
      </c>
      <c r="G165" s="241">
        <f t="shared" si="31"/>
        <v>0.11592245735719506</v>
      </c>
      <c r="H165" s="242">
        <f t="shared" si="32"/>
        <v>0.8840775426428049</v>
      </c>
      <c r="I165" s="157"/>
    </row>
    <row r="166" spans="1:9" ht="15">
      <c r="A166" s="164"/>
      <c r="B166" s="165">
        <f>DATE(23,1,1)</f>
        <v>8402</v>
      </c>
      <c r="C166" s="226">
        <v>26245046.26</v>
      </c>
      <c r="D166" s="226">
        <v>2868849.61</v>
      </c>
      <c r="E166" s="226">
        <v>2697598.25</v>
      </c>
      <c r="F166" s="166">
        <f t="shared" si="30"/>
        <v>0.06348290002041626</v>
      </c>
      <c r="G166" s="241">
        <f t="shared" si="31"/>
        <v>0.10931013729521998</v>
      </c>
      <c r="H166" s="242">
        <f t="shared" si="32"/>
        <v>0.89068986270478</v>
      </c>
      <c r="I166" s="157"/>
    </row>
    <row r="167" spans="1:9" ht="15">
      <c r="A167" s="164"/>
      <c r="B167" s="165">
        <f>DATE(23,2,1)</f>
        <v>8433</v>
      </c>
      <c r="C167" s="226">
        <v>28305002.85</v>
      </c>
      <c r="D167" s="226">
        <v>3074017.42</v>
      </c>
      <c r="E167" s="226">
        <v>2911358.37</v>
      </c>
      <c r="F167" s="166">
        <f t="shared" si="30"/>
        <v>0.055870500751853444</v>
      </c>
      <c r="G167" s="241">
        <f t="shared" si="31"/>
        <v>0.10860332487124268</v>
      </c>
      <c r="H167" s="242">
        <f t="shared" si="32"/>
        <v>0.8913966751287573</v>
      </c>
      <c r="I167" s="157"/>
    </row>
    <row r="168" spans="1:9" ht="15">
      <c r="A168" s="164"/>
      <c r="B168" s="165">
        <f>DATE(23,3,1)</f>
        <v>8461</v>
      </c>
      <c r="C168" s="226">
        <v>29350413.63</v>
      </c>
      <c r="D168" s="226">
        <v>3299257.76</v>
      </c>
      <c r="E168" s="226">
        <v>3443177.29</v>
      </c>
      <c r="F168" s="166">
        <f t="shared" si="30"/>
        <v>-0.04179846632294681</v>
      </c>
      <c r="G168" s="241">
        <f t="shared" si="31"/>
        <v>0.1124092423906327</v>
      </c>
      <c r="H168" s="242">
        <f t="shared" si="32"/>
        <v>0.8875907576093673</v>
      </c>
      <c r="I168" s="157"/>
    </row>
    <row r="169" spans="1:9" ht="15">
      <c r="A169" s="164"/>
      <c r="B169" s="165">
        <f>DATE(23,4,1)</f>
        <v>8492</v>
      </c>
      <c r="C169" s="226">
        <v>28582977.61</v>
      </c>
      <c r="D169" s="226">
        <v>3131346.14</v>
      </c>
      <c r="E169" s="226">
        <v>3438636.03</v>
      </c>
      <c r="F169" s="166">
        <f t="shared" si="30"/>
        <v>-0.08936388943728937</v>
      </c>
      <c r="G169" s="241">
        <f t="shared" si="31"/>
        <v>0.10955283185417575</v>
      </c>
      <c r="H169" s="242">
        <f t="shared" si="32"/>
        <v>0.8904471681458243</v>
      </c>
      <c r="I169" s="157"/>
    </row>
    <row r="170" spans="1:9" ht="15">
      <c r="A170" s="164"/>
      <c r="B170" s="165">
        <f>DATE(23,5,1)</f>
        <v>8522</v>
      </c>
      <c r="C170" s="226">
        <v>27704460.81</v>
      </c>
      <c r="D170" s="226">
        <v>3139965.67</v>
      </c>
      <c r="E170" s="226">
        <v>3043117.21</v>
      </c>
      <c r="F170" s="166">
        <f t="shared" si="30"/>
        <v>0.03182541233763387</v>
      </c>
      <c r="G170" s="241">
        <f t="shared" si="31"/>
        <v>0.11333790942672384</v>
      </c>
      <c r="H170" s="242">
        <f t="shared" si="32"/>
        <v>0.8866620905732762</v>
      </c>
      <c r="I170" s="157"/>
    </row>
    <row r="171" spans="1:9" ht="15">
      <c r="A171" s="164"/>
      <c r="B171" s="165">
        <f>DATE(23,6,1)</f>
        <v>8553</v>
      </c>
      <c r="C171" s="226">
        <v>26872544.39</v>
      </c>
      <c r="D171" s="226">
        <v>2818937.01</v>
      </c>
      <c r="E171" s="226">
        <v>2688419.11</v>
      </c>
      <c r="F171" s="166">
        <f t="shared" si="30"/>
        <v>0.04854819678766527</v>
      </c>
      <c r="G171" s="241">
        <f t="shared" si="31"/>
        <v>0.1049002643400229</v>
      </c>
      <c r="H171" s="242">
        <f t="shared" si="32"/>
        <v>0.8950997356599771</v>
      </c>
      <c r="I171" s="157"/>
    </row>
    <row r="172" spans="1:9" ht="15" thickBot="1">
      <c r="A172" s="167"/>
      <c r="B172" s="168"/>
      <c r="C172" s="226"/>
      <c r="D172" s="226"/>
      <c r="E172" s="226"/>
      <c r="F172" s="166"/>
      <c r="G172" s="241"/>
      <c r="H172" s="242"/>
      <c r="I172" s="157"/>
    </row>
    <row r="173" spans="1:9" ht="16.5" thickBot="1" thickTop="1">
      <c r="A173" s="182" t="s">
        <v>14</v>
      </c>
      <c r="B173" s="183"/>
      <c r="C173" s="230">
        <f>SUM(C160:C172)</f>
        <v>326349413.34999996</v>
      </c>
      <c r="D173" s="230">
        <f>SUM(D160:D172)</f>
        <v>36405656.989999995</v>
      </c>
      <c r="E173" s="230">
        <f>SUM(E160:E172)</f>
        <v>37544441.629999995</v>
      </c>
      <c r="F173" s="176">
        <f>(+D173-E173)/E173</f>
        <v>-0.030331644061262358</v>
      </c>
      <c r="G173" s="249">
        <f>D173/C173</f>
        <v>0.11155422838451994</v>
      </c>
      <c r="H173" s="246">
        <f>1-G173</f>
        <v>0.8884457716154801</v>
      </c>
      <c r="I173" s="157"/>
    </row>
    <row r="174" spans="1:9" ht="15" thickTop="1">
      <c r="A174" s="167"/>
      <c r="B174" s="168"/>
      <c r="C174" s="226"/>
      <c r="D174" s="226"/>
      <c r="E174" s="226"/>
      <c r="F174" s="166"/>
      <c r="G174" s="241"/>
      <c r="H174" s="242"/>
      <c r="I174" s="157"/>
    </row>
    <row r="175" spans="1:9" ht="15">
      <c r="A175" s="164" t="s">
        <v>37</v>
      </c>
      <c r="B175" s="165">
        <f>DATE(22,7,1)</f>
        <v>8218</v>
      </c>
      <c r="C175" s="226">
        <v>239506696.32</v>
      </c>
      <c r="D175" s="226">
        <v>21735779.22</v>
      </c>
      <c r="E175" s="226">
        <v>21441670.74</v>
      </c>
      <c r="F175" s="166">
        <f aca="true" t="shared" si="33" ref="F175:F186">(+D175-E175)/E175</f>
        <v>0.013716677378658435</v>
      </c>
      <c r="G175" s="241">
        <f aca="true" t="shared" si="34" ref="G175:G186">D175/C175</f>
        <v>0.09075228189427852</v>
      </c>
      <c r="H175" s="242">
        <f aca="true" t="shared" si="35" ref="H175:H186">1-G175</f>
        <v>0.9092477181057215</v>
      </c>
      <c r="I175" s="157"/>
    </row>
    <row r="176" spans="1:9" ht="15">
      <c r="A176" s="164"/>
      <c r="B176" s="165">
        <f>DATE(22,8,1)</f>
        <v>8249</v>
      </c>
      <c r="C176" s="226">
        <v>220146005.59</v>
      </c>
      <c r="D176" s="226">
        <v>20453352.67</v>
      </c>
      <c r="E176" s="226">
        <v>19679228.6</v>
      </c>
      <c r="F176" s="166">
        <f t="shared" si="33"/>
        <v>0.03933711456555773</v>
      </c>
      <c r="G176" s="241">
        <f t="shared" si="34"/>
        <v>0.09290812529250397</v>
      </c>
      <c r="H176" s="242">
        <f t="shared" si="35"/>
        <v>0.9070918747074961</v>
      </c>
      <c r="I176" s="157"/>
    </row>
    <row r="177" spans="1:9" ht="15">
      <c r="A177" s="164"/>
      <c r="B177" s="165">
        <f>DATE(22,9,1)</f>
        <v>8280</v>
      </c>
      <c r="C177" s="226">
        <v>219043118.49</v>
      </c>
      <c r="D177" s="226">
        <v>19785542.02</v>
      </c>
      <c r="E177" s="226">
        <v>19466571.38</v>
      </c>
      <c r="F177" s="166">
        <f t="shared" si="33"/>
        <v>0.01638555828725503</v>
      </c>
      <c r="G177" s="241">
        <f t="shared" si="34"/>
        <v>0.09032715639000213</v>
      </c>
      <c r="H177" s="242">
        <f t="shared" si="35"/>
        <v>0.9096728436099979</v>
      </c>
      <c r="I177" s="157"/>
    </row>
    <row r="178" spans="1:9" ht="15">
      <c r="A178" s="164"/>
      <c r="B178" s="165">
        <f>DATE(22,10,1)</f>
        <v>8310</v>
      </c>
      <c r="C178" s="226">
        <v>217723657.17</v>
      </c>
      <c r="D178" s="226">
        <v>19416414.08</v>
      </c>
      <c r="E178" s="226">
        <v>20992171.95</v>
      </c>
      <c r="F178" s="166">
        <f t="shared" si="33"/>
        <v>-0.07506407025214945</v>
      </c>
      <c r="G178" s="241">
        <f t="shared" si="34"/>
        <v>0.0891791656100997</v>
      </c>
      <c r="H178" s="242">
        <f t="shared" si="35"/>
        <v>0.9108208343899002</v>
      </c>
      <c r="I178" s="157"/>
    </row>
    <row r="179" spans="1:9" ht="15">
      <c r="A179" s="164"/>
      <c r="B179" s="165">
        <f>DATE(22,11,1)</f>
        <v>8341</v>
      </c>
      <c r="C179" s="226">
        <v>209644418.53</v>
      </c>
      <c r="D179" s="226">
        <v>19493781.03</v>
      </c>
      <c r="E179" s="226">
        <v>19425579.76</v>
      </c>
      <c r="F179" s="166">
        <f t="shared" si="33"/>
        <v>0.003510900104018288</v>
      </c>
      <c r="G179" s="241">
        <f t="shared" si="34"/>
        <v>0.09298497506724918</v>
      </c>
      <c r="H179" s="242">
        <f t="shared" si="35"/>
        <v>0.9070150249327509</v>
      </c>
      <c r="I179" s="157"/>
    </row>
    <row r="180" spans="1:9" ht="15">
      <c r="A180" s="164"/>
      <c r="B180" s="165">
        <f>DATE(22,12,1)</f>
        <v>8371</v>
      </c>
      <c r="C180" s="226">
        <v>224820837.77</v>
      </c>
      <c r="D180" s="226">
        <v>20690373.02</v>
      </c>
      <c r="E180" s="226">
        <v>21621662.72</v>
      </c>
      <c r="F180" s="166">
        <f t="shared" si="33"/>
        <v>-0.04307206675361548</v>
      </c>
      <c r="G180" s="241">
        <f t="shared" si="34"/>
        <v>0.09203049514995142</v>
      </c>
      <c r="H180" s="242">
        <f t="shared" si="35"/>
        <v>0.9079695048500486</v>
      </c>
      <c r="I180" s="157"/>
    </row>
    <row r="181" spans="1:9" ht="15">
      <c r="A181" s="164"/>
      <c r="B181" s="165">
        <f>DATE(23,1,1)</f>
        <v>8402</v>
      </c>
      <c r="C181" s="226">
        <v>213059071.5</v>
      </c>
      <c r="D181" s="226">
        <v>20127849.17</v>
      </c>
      <c r="E181" s="226">
        <v>18690342.72</v>
      </c>
      <c r="F181" s="166">
        <f t="shared" si="33"/>
        <v>0.07691172235497687</v>
      </c>
      <c r="G181" s="241">
        <f t="shared" si="34"/>
        <v>0.09447074479529965</v>
      </c>
      <c r="H181" s="242">
        <f t="shared" si="35"/>
        <v>0.9055292552047003</v>
      </c>
      <c r="I181" s="157"/>
    </row>
    <row r="182" spans="1:9" ht="15">
      <c r="A182" s="164"/>
      <c r="B182" s="165">
        <f>DATE(23,2,1)</f>
        <v>8433</v>
      </c>
      <c r="C182" s="226">
        <v>208322006.68</v>
      </c>
      <c r="D182" s="226">
        <v>19683573.59</v>
      </c>
      <c r="E182" s="226">
        <v>18139556.95</v>
      </c>
      <c r="F182" s="166">
        <f t="shared" si="33"/>
        <v>0.08511876250649003</v>
      </c>
      <c r="G182" s="241">
        <f t="shared" si="34"/>
        <v>0.09448629025658155</v>
      </c>
      <c r="H182" s="242">
        <f t="shared" si="35"/>
        <v>0.9055137097434185</v>
      </c>
      <c r="I182" s="157"/>
    </row>
    <row r="183" spans="1:9" ht="15">
      <c r="A183" s="164"/>
      <c r="B183" s="165">
        <f>DATE(23,3,1)</f>
        <v>8461</v>
      </c>
      <c r="C183" s="226">
        <v>230091201.56</v>
      </c>
      <c r="D183" s="226">
        <v>21826103.26</v>
      </c>
      <c r="E183" s="226">
        <v>21560181.28</v>
      </c>
      <c r="F183" s="166">
        <f t="shared" si="33"/>
        <v>0.012333939893477577</v>
      </c>
      <c r="G183" s="241">
        <f t="shared" si="34"/>
        <v>0.09485848703479648</v>
      </c>
      <c r="H183" s="242">
        <f t="shared" si="35"/>
        <v>0.9051415129652035</v>
      </c>
      <c r="I183" s="157"/>
    </row>
    <row r="184" spans="1:9" ht="15">
      <c r="A184" s="164"/>
      <c r="B184" s="165">
        <f>DATE(23,4,1)</f>
        <v>8492</v>
      </c>
      <c r="C184" s="226">
        <v>220344800.14</v>
      </c>
      <c r="D184" s="226">
        <v>21507201.81</v>
      </c>
      <c r="E184" s="226">
        <v>20708642.59</v>
      </c>
      <c r="F184" s="166">
        <f t="shared" si="33"/>
        <v>0.03856163997854766</v>
      </c>
      <c r="G184" s="241">
        <f t="shared" si="34"/>
        <v>0.09760703132697035</v>
      </c>
      <c r="H184" s="242">
        <f t="shared" si="35"/>
        <v>0.9023929686730296</v>
      </c>
      <c r="I184" s="157"/>
    </row>
    <row r="185" spans="1:9" ht="15">
      <c r="A185" s="164"/>
      <c r="B185" s="165">
        <f>DATE(23,5,1)</f>
        <v>8522</v>
      </c>
      <c r="C185" s="226">
        <v>211308047.09</v>
      </c>
      <c r="D185" s="226">
        <v>19648589.84</v>
      </c>
      <c r="E185" s="226">
        <v>20421283.67</v>
      </c>
      <c r="F185" s="166">
        <f t="shared" si="33"/>
        <v>-0.037837671837208355</v>
      </c>
      <c r="G185" s="241">
        <f t="shared" si="34"/>
        <v>0.09298552568436404</v>
      </c>
      <c r="H185" s="242">
        <f t="shared" si="35"/>
        <v>0.907014474315636</v>
      </c>
      <c r="I185" s="157"/>
    </row>
    <row r="186" spans="1:9" ht="15">
      <c r="A186" s="164"/>
      <c r="B186" s="165">
        <f>DATE(23,6,1)</f>
        <v>8553</v>
      </c>
      <c r="C186" s="226">
        <v>204558971.58</v>
      </c>
      <c r="D186" s="226">
        <v>19287927.36</v>
      </c>
      <c r="E186" s="226">
        <v>19327654.37</v>
      </c>
      <c r="F186" s="166">
        <f t="shared" si="33"/>
        <v>-0.0020554491113864864</v>
      </c>
      <c r="G186" s="241">
        <f t="shared" si="34"/>
        <v>0.09429030274752224</v>
      </c>
      <c r="H186" s="242">
        <f t="shared" si="35"/>
        <v>0.9057096972524777</v>
      </c>
      <c r="I186" s="157"/>
    </row>
    <row r="187" spans="1:9" ht="15" thickBot="1">
      <c r="A187" s="167"/>
      <c r="B187" s="168"/>
      <c r="C187" s="226"/>
      <c r="D187" s="226"/>
      <c r="E187" s="226"/>
      <c r="F187" s="166"/>
      <c r="G187" s="241"/>
      <c r="H187" s="242"/>
      <c r="I187" s="157"/>
    </row>
    <row r="188" spans="1:9" ht="16.5" thickBot="1" thickTop="1">
      <c r="A188" s="174" t="s">
        <v>14</v>
      </c>
      <c r="B188" s="175"/>
      <c r="C188" s="228">
        <f>SUM(C175:C187)</f>
        <v>2618568832.42</v>
      </c>
      <c r="D188" s="228">
        <f>SUM(D175:D187)</f>
        <v>243656487.07</v>
      </c>
      <c r="E188" s="228">
        <f>SUM(E175:E187)</f>
        <v>241474546.73000002</v>
      </c>
      <c r="F188" s="176">
        <f>(+D188-E188)/E188</f>
        <v>0.00903590200104886</v>
      </c>
      <c r="G188" s="245">
        <f>D188/C188</f>
        <v>0.09304948720588728</v>
      </c>
      <c r="H188" s="246">
        <f>1-G188</f>
        <v>0.9069505127941128</v>
      </c>
      <c r="I188" s="157"/>
    </row>
    <row r="189" spans="1:9" ht="15" thickTop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5">
      <c r="A190" s="164" t="s">
        <v>57</v>
      </c>
      <c r="B190" s="165">
        <f>DATE(22,7,1)</f>
        <v>8218</v>
      </c>
      <c r="C190" s="226">
        <v>35319959.49</v>
      </c>
      <c r="D190" s="226">
        <v>3941098.7</v>
      </c>
      <c r="E190" s="226">
        <v>3963905.07</v>
      </c>
      <c r="F190" s="166">
        <f aca="true" t="shared" si="36" ref="F190:F201">(+D190-E190)/E190</f>
        <v>-0.005753510640959837</v>
      </c>
      <c r="G190" s="241">
        <f aca="true" t="shared" si="37" ref="G190:G201">D190/C190</f>
        <v>0.11158276387932516</v>
      </c>
      <c r="H190" s="242">
        <f aca="true" t="shared" si="38" ref="H190:H201">1-G190</f>
        <v>0.8884172361206748</v>
      </c>
      <c r="I190" s="157"/>
    </row>
    <row r="191" spans="1:9" ht="15">
      <c r="A191" s="164"/>
      <c r="B191" s="165">
        <f>DATE(22,8,1)</f>
        <v>8249</v>
      </c>
      <c r="C191" s="226">
        <v>32131032.47</v>
      </c>
      <c r="D191" s="226">
        <v>3508347.49</v>
      </c>
      <c r="E191" s="226">
        <v>3797696.16</v>
      </c>
      <c r="F191" s="166">
        <f t="shared" si="36"/>
        <v>-0.07619057918525002</v>
      </c>
      <c r="G191" s="241">
        <f t="shared" si="37"/>
        <v>0.10918875679689606</v>
      </c>
      <c r="H191" s="242">
        <f t="shared" si="38"/>
        <v>0.8908112432031039</v>
      </c>
      <c r="I191" s="157"/>
    </row>
    <row r="192" spans="1:9" ht="15">
      <c r="A192" s="164"/>
      <c r="B192" s="165">
        <f>DATE(22,9,1)</f>
        <v>8280</v>
      </c>
      <c r="C192" s="226">
        <v>32450974.03</v>
      </c>
      <c r="D192" s="226">
        <v>3766686.61</v>
      </c>
      <c r="E192" s="226">
        <v>3519488.37</v>
      </c>
      <c r="F192" s="166">
        <f t="shared" si="36"/>
        <v>0.07023698163264558</v>
      </c>
      <c r="G192" s="241">
        <f t="shared" si="37"/>
        <v>0.11607314487749444</v>
      </c>
      <c r="H192" s="242">
        <f t="shared" si="38"/>
        <v>0.8839268551225056</v>
      </c>
      <c r="I192" s="157"/>
    </row>
    <row r="193" spans="1:9" ht="15">
      <c r="A193" s="164"/>
      <c r="B193" s="165">
        <f>DATE(22,10,1)</f>
        <v>8310</v>
      </c>
      <c r="C193" s="226">
        <v>32407148.93</v>
      </c>
      <c r="D193" s="226">
        <v>3644045.37</v>
      </c>
      <c r="E193" s="226">
        <v>3955357.96</v>
      </c>
      <c r="F193" s="166">
        <f t="shared" si="36"/>
        <v>-0.07870655276924667</v>
      </c>
      <c r="G193" s="241">
        <f t="shared" si="37"/>
        <v>0.11244572541296986</v>
      </c>
      <c r="H193" s="242">
        <f t="shared" si="38"/>
        <v>0.8875542745870302</v>
      </c>
      <c r="I193" s="157"/>
    </row>
    <row r="194" spans="1:9" ht="15">
      <c r="A194" s="164"/>
      <c r="B194" s="165">
        <f>DATE(22,11,1)</f>
        <v>8341</v>
      </c>
      <c r="C194" s="226">
        <v>30807154.7</v>
      </c>
      <c r="D194" s="226">
        <v>3367619.94</v>
      </c>
      <c r="E194" s="226">
        <v>3600834.91</v>
      </c>
      <c r="F194" s="166">
        <f t="shared" si="36"/>
        <v>-0.06476691540407227</v>
      </c>
      <c r="G194" s="241">
        <f t="shared" si="37"/>
        <v>0.10931291684655318</v>
      </c>
      <c r="H194" s="242">
        <f t="shared" si="38"/>
        <v>0.8906870831534468</v>
      </c>
      <c r="I194" s="157"/>
    </row>
    <row r="195" spans="1:9" ht="15">
      <c r="A195" s="164"/>
      <c r="B195" s="165">
        <f>DATE(22,12,1)</f>
        <v>8371</v>
      </c>
      <c r="C195" s="226">
        <v>34580559.6</v>
      </c>
      <c r="D195" s="226">
        <v>3754875.29</v>
      </c>
      <c r="E195" s="226">
        <v>3929490.08</v>
      </c>
      <c r="F195" s="166">
        <f t="shared" si="36"/>
        <v>-0.04443701000512515</v>
      </c>
      <c r="G195" s="241">
        <f t="shared" si="37"/>
        <v>0.10858341604165364</v>
      </c>
      <c r="H195" s="242">
        <f t="shared" si="38"/>
        <v>0.8914165839583463</v>
      </c>
      <c r="I195" s="157"/>
    </row>
    <row r="196" spans="1:9" ht="15">
      <c r="A196" s="164"/>
      <c r="B196" s="165">
        <f>DATE(23,1,1)</f>
        <v>8402</v>
      </c>
      <c r="C196" s="226">
        <v>31650112.37</v>
      </c>
      <c r="D196" s="226">
        <v>3530111.77</v>
      </c>
      <c r="E196" s="226">
        <v>3412089.33</v>
      </c>
      <c r="F196" s="166">
        <f t="shared" si="36"/>
        <v>0.03458949300134529</v>
      </c>
      <c r="G196" s="241">
        <f t="shared" si="37"/>
        <v>0.1115355209084839</v>
      </c>
      <c r="H196" s="242">
        <f t="shared" si="38"/>
        <v>0.8884644790915162</v>
      </c>
      <c r="I196" s="157"/>
    </row>
    <row r="197" spans="1:9" ht="15">
      <c r="A197" s="164"/>
      <c r="B197" s="165">
        <f>DATE(23,2,1)</f>
        <v>8433</v>
      </c>
      <c r="C197" s="226">
        <v>35560292.88</v>
      </c>
      <c r="D197" s="226">
        <v>3950011.33</v>
      </c>
      <c r="E197" s="226">
        <v>3898386.72</v>
      </c>
      <c r="F197" s="166">
        <f t="shared" si="36"/>
        <v>0.013242557423856572</v>
      </c>
      <c r="G197" s="241">
        <f t="shared" si="37"/>
        <v>0.1110792687599484</v>
      </c>
      <c r="H197" s="242">
        <f t="shared" si="38"/>
        <v>0.8889207312400516</v>
      </c>
      <c r="I197" s="157"/>
    </row>
    <row r="198" spans="1:9" ht="15">
      <c r="A198" s="164"/>
      <c r="B198" s="165">
        <f>DATE(23,3,1)</f>
        <v>8461</v>
      </c>
      <c r="C198" s="226">
        <v>39760286.06</v>
      </c>
      <c r="D198" s="226">
        <v>4407775.39</v>
      </c>
      <c r="E198" s="226">
        <v>4277132.01</v>
      </c>
      <c r="F198" s="166">
        <f t="shared" si="36"/>
        <v>0.030544621885542387</v>
      </c>
      <c r="G198" s="241">
        <f t="shared" si="37"/>
        <v>0.11085874441015024</v>
      </c>
      <c r="H198" s="242">
        <f t="shared" si="38"/>
        <v>0.8891412555898498</v>
      </c>
      <c r="I198" s="157"/>
    </row>
    <row r="199" spans="1:9" ht="15">
      <c r="A199" s="164"/>
      <c r="B199" s="165">
        <f>DATE(23,4,1)</f>
        <v>8492</v>
      </c>
      <c r="C199" s="226">
        <v>37221039.27</v>
      </c>
      <c r="D199" s="226">
        <v>4100329.58</v>
      </c>
      <c r="E199" s="226">
        <v>4391413.75</v>
      </c>
      <c r="F199" s="166">
        <f t="shared" si="36"/>
        <v>-0.06628484277984509</v>
      </c>
      <c r="G199" s="241">
        <f t="shared" si="37"/>
        <v>0.11016160914412855</v>
      </c>
      <c r="H199" s="242">
        <f t="shared" si="38"/>
        <v>0.8898383908558715</v>
      </c>
      <c r="I199" s="157"/>
    </row>
    <row r="200" spans="1:9" ht="15">
      <c r="A200" s="164"/>
      <c r="B200" s="165">
        <f>DATE(23,5,1)</f>
        <v>8522</v>
      </c>
      <c r="C200" s="226">
        <v>34466019.63</v>
      </c>
      <c r="D200" s="226">
        <v>3909436.47</v>
      </c>
      <c r="E200" s="226">
        <v>3881631.19</v>
      </c>
      <c r="F200" s="166">
        <f t="shared" si="36"/>
        <v>0.007163297757817187</v>
      </c>
      <c r="G200" s="241">
        <f t="shared" si="37"/>
        <v>0.11342871941606911</v>
      </c>
      <c r="H200" s="242">
        <f t="shared" si="38"/>
        <v>0.8865712805839309</v>
      </c>
      <c r="I200" s="157"/>
    </row>
    <row r="201" spans="1:9" ht="15">
      <c r="A201" s="164"/>
      <c r="B201" s="165">
        <f>DATE(23,6,1)</f>
        <v>8553</v>
      </c>
      <c r="C201" s="226">
        <v>32678522.63</v>
      </c>
      <c r="D201" s="226">
        <v>3593052.78</v>
      </c>
      <c r="E201" s="226">
        <v>3590504.18</v>
      </c>
      <c r="F201" s="166">
        <f t="shared" si="36"/>
        <v>0.0007098167477971373</v>
      </c>
      <c r="G201" s="241">
        <f t="shared" si="37"/>
        <v>0.10995150609108181</v>
      </c>
      <c r="H201" s="242">
        <f t="shared" si="38"/>
        <v>0.8900484939089182</v>
      </c>
      <c r="I201" s="157"/>
    </row>
    <row r="202" spans="1:9" ht="15" thickBot="1">
      <c r="A202" s="167"/>
      <c r="B202" s="168"/>
      <c r="C202" s="226"/>
      <c r="D202" s="226"/>
      <c r="E202" s="226"/>
      <c r="F202" s="166"/>
      <c r="G202" s="241"/>
      <c r="H202" s="242"/>
      <c r="I202" s="157"/>
    </row>
    <row r="203" spans="1:9" ht="16.5" thickBot="1" thickTop="1">
      <c r="A203" s="169" t="s">
        <v>14</v>
      </c>
      <c r="B203" s="155"/>
      <c r="C203" s="223">
        <f>SUM(C190:C202)</f>
        <v>409033102.05999994</v>
      </c>
      <c r="D203" s="223">
        <f>SUM(D190:D202)</f>
        <v>45473390.72</v>
      </c>
      <c r="E203" s="223">
        <f>SUM(E190:E202)</f>
        <v>46217929.73</v>
      </c>
      <c r="F203" s="176">
        <f>(+D203-E203)/E203</f>
        <v>-0.016109311134218082</v>
      </c>
      <c r="G203" s="245">
        <f>D203/C203</f>
        <v>0.11117288671988614</v>
      </c>
      <c r="H203" s="246">
        <f>1-G203</f>
        <v>0.8888271132801139</v>
      </c>
      <c r="I203" s="157"/>
    </row>
    <row r="204" spans="1:9" ht="15.75" thickBot="1" thickTop="1">
      <c r="A204" s="171"/>
      <c r="B204" s="172"/>
      <c r="C204" s="227"/>
      <c r="D204" s="227"/>
      <c r="E204" s="227"/>
      <c r="F204" s="173"/>
      <c r="G204" s="243"/>
      <c r="H204" s="244"/>
      <c r="I204" s="157"/>
    </row>
    <row r="205" spans="1:9" ht="16.5" thickBot="1" thickTop="1">
      <c r="A205" s="184" t="s">
        <v>38</v>
      </c>
      <c r="B205" s="155"/>
      <c r="C205" s="223">
        <f>C203+C188+C143+C113+C83+C53+C23+C68+C173+C38+C128+C158+C98</f>
        <v>16966917094.97</v>
      </c>
      <c r="D205" s="223">
        <f>D203+D188+D143+D113+D83+D53+D23+D68+D173+D38+D128+D158+D98</f>
        <v>1643538592.6399999</v>
      </c>
      <c r="E205" s="223">
        <f>E203+E188+E143+E113+E83+E53+E23+E68+E173+E38+E128+E158+E98</f>
        <v>1634364290.2500005</v>
      </c>
      <c r="F205" s="170">
        <f>(+D205-E205)/E205</f>
        <v>0.005613376677849492</v>
      </c>
      <c r="G205" s="236">
        <f>D205/C205</f>
        <v>0.09686724956811643</v>
      </c>
      <c r="H205" s="237">
        <f>1-G205</f>
        <v>0.9031327504318836</v>
      </c>
      <c r="I205" s="157"/>
    </row>
    <row r="206" spans="1:9" ht="16.5" thickBot="1" thickTop="1">
      <c r="A206" s="184"/>
      <c r="B206" s="155"/>
      <c r="C206" s="223"/>
      <c r="D206" s="223"/>
      <c r="E206" s="223"/>
      <c r="F206" s="170"/>
      <c r="G206" s="236"/>
      <c r="H206" s="237"/>
      <c r="I206" s="157"/>
    </row>
    <row r="207" spans="1:9" ht="16.5" thickBot="1" thickTop="1">
      <c r="A207" s="184" t="s">
        <v>39</v>
      </c>
      <c r="B207" s="155"/>
      <c r="C207" s="223">
        <f>+C21+C36+C51+C66+C81+C96+C111+C126+C141+C156+C171+C186+C201</f>
        <v>1370093934.3200002</v>
      </c>
      <c r="D207" s="223">
        <f>+D21+D36+D51+D66+D81+D96+D111+D126+D141+D156+D171+D186+D201</f>
        <v>133384512.73</v>
      </c>
      <c r="E207" s="223">
        <f>+E21+E36+E51+E66+E81+E96+E111+E126+E141+E156+E171+E186+E201</f>
        <v>128898277.69000001</v>
      </c>
      <c r="F207" s="170">
        <f>(+D207-E207)/E207</f>
        <v>0.03480446069876414</v>
      </c>
      <c r="G207" s="236">
        <f>D207/C207</f>
        <v>0.09735428308147419</v>
      </c>
      <c r="H207" s="246">
        <f>1-G207</f>
        <v>0.9026457169185258</v>
      </c>
      <c r="I207" s="157"/>
    </row>
    <row r="208" spans="1:9" ht="15.75" thickTop="1">
      <c r="A208" s="185"/>
      <c r="B208" s="186"/>
      <c r="C208" s="231"/>
      <c r="D208" s="231"/>
      <c r="E208" s="231"/>
      <c r="F208" s="187"/>
      <c r="G208" s="250"/>
      <c r="H208" s="250"/>
      <c r="I208" s="151"/>
    </row>
    <row r="209" spans="1:9" ht="16.5" customHeight="1">
      <c r="A209" s="188" t="s">
        <v>49</v>
      </c>
      <c r="B209" s="189"/>
      <c r="C209" s="232"/>
      <c r="D209" s="232"/>
      <c r="E209" s="232"/>
      <c r="F209" s="190"/>
      <c r="G209" s="251"/>
      <c r="H209" s="251"/>
      <c r="I209" s="151"/>
    </row>
    <row r="210" spans="1:9" ht="15">
      <c r="A210" s="191"/>
      <c r="B210" s="189"/>
      <c r="C210" s="232"/>
      <c r="D210" s="232"/>
      <c r="E210" s="232"/>
      <c r="F210" s="190"/>
      <c r="G210" s="257"/>
      <c r="H210" s="257"/>
      <c r="I210" s="151"/>
    </row>
    <row r="211" spans="1:9" ht="15">
      <c r="A211" s="72"/>
      <c r="I211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4" manualBreakCount="4">
    <brk id="53" max="8" man="1"/>
    <brk id="98" max="8" man="1"/>
    <brk id="143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2023-07-07T14:21:42Z</cp:lastPrinted>
  <dcterms:created xsi:type="dcterms:W3CDTF">2003-09-09T14:41:43Z</dcterms:created>
  <dcterms:modified xsi:type="dcterms:W3CDTF">2023-07-07T14:25:31Z</dcterms:modified>
  <cp:category/>
  <cp:version/>
  <cp:contentType/>
  <cp:contentStatus/>
</cp:coreProperties>
</file>