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7530" windowHeight="4050" activeTab="0"/>
  </bookViews>
  <sheets>
    <sheet name="MONTHLY STATS" sheetId="1" r:id="rId1"/>
    <sheet name="YTD TAXES" sheetId="2" r:id="rId2"/>
    <sheet name="TABLE STATS" sheetId="3" r:id="rId3"/>
    <sheet name="HYBRID STATS" sheetId="4" r:id="rId4"/>
    <sheet name="SLOT STATS" sheetId="5" r:id="rId5"/>
  </sheets>
  <definedNames>
    <definedName name="_xlnm.Print_Area" localSheetId="3">'HYBRID STATS'!$A$1:$I$183</definedName>
    <definedName name="_xlnm.Print_Area" localSheetId="0">'MONTHLY STATS'!$A$1:$M$183</definedName>
    <definedName name="_xlnm.Print_Area" localSheetId="4">'SLOT STATS'!$A$1:$I$184</definedName>
    <definedName name="_xlnm.Print_Area" localSheetId="2">'TABLE STATS'!$A$1:$H$183</definedName>
    <definedName name="_xlnm.Print_Titles" localSheetId="3">'HYBRID STATS'!$1:$8</definedName>
    <definedName name="_xlnm.Print_Titles" localSheetId="0">'MONTHLY STATS'!$1:$7</definedName>
    <definedName name="_xlnm.Print_Titles" localSheetId="4">'SLOT STATS'!$1:$8</definedName>
    <definedName name="_xlnm.Print_Titles" localSheetId="2">'TABLE STATS'!$1:$7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<sst xmlns="http://schemas.openxmlformats.org/spreadsheetml/2006/main" count="244" uniqueCount="78">
  <si>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</si>
  <si>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</si>
  <si>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</si>
  <si>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</si>
  <si>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</si>
  <si>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</si>
  <si>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</si>
  <si>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</si>
  <si>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</si>
  <si>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</si>
  <si>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</si>
  <si>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</si>
  <si>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</si>
  <si>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</si>
  <si>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</si>
  <si>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</si>
  <si>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</si>
  <si>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</si>
  <si>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</si>
  <si>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</si>
  <si>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</si>
  <si>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</si>
  <si>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</si>
  <si>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</si>
  <si>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</si>
  <si>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</si>
  <si>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</si>
  <si>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</si>
  <si>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</si>
  <si>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</si>
  <si>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</si>
  <si>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</si>
  <si>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</si>
  <si>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</si>
  <si>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</si>
  <si>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</si>
  <si>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</si>
  <si>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</si>
  <si>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</si>
  <si>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</si>
  <si>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</si>
  <si>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</si>
  <si>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</si>
  <si>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</si>
  <si>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</si>
  <si>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</si>
  <si>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</si>
  <si>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</si>
  <si>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</si>
  <si>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</si>
  <si>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</si>
  <si>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</si>
  <si>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</si>
  <si>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RIVER CITY</t>
  </si>
  <si>
    <t xml:space="preserve">RIVER CITY </t>
  </si>
  <si>
    <t xml:space="preserve">MARK TWAIN </t>
  </si>
  <si>
    <t>HOLLYWOOD</t>
  </si>
  <si>
    <t>ST. JO FRONTIER</t>
  </si>
  <si>
    <t xml:space="preserve">ST. JO FRONTIER </t>
  </si>
  <si>
    <t xml:space="preserve">HOLLYWOOD </t>
  </si>
  <si>
    <t xml:space="preserve">LUMIERE PLACE </t>
  </si>
  <si>
    <t>HYBRID TABLES</t>
  </si>
  <si>
    <t xml:space="preserve">FISCAL 2021 YTD ADMISSIONS, PATRONS AND AGR SUMMARY </t>
  </si>
  <si>
    <t>HARRAHS KC</t>
  </si>
  <si>
    <t xml:space="preserve">CENTURY- CAPE </t>
  </si>
  <si>
    <t>CENTURY-CARUTHERSVILLE</t>
  </si>
  <si>
    <t>CASINO KC</t>
  </si>
  <si>
    <t>CENTURY - CAPE</t>
  </si>
  <si>
    <t>CENTURY-CAPE</t>
  </si>
  <si>
    <t>HYBRID</t>
  </si>
  <si>
    <t>HYBRID WIN</t>
  </si>
  <si>
    <t>MONTH ENDED:  APRIL 30, 2021</t>
  </si>
  <si>
    <t>(as reported on the tax remittal database dtd 5/6/21)</t>
  </si>
  <si>
    <t>FOR THE MONTH ENDED:   APRIL 30, 2021</t>
  </si>
  <si>
    <t>THRU MONTH ENDED:   APRIL 30, 2021</t>
  </si>
  <si>
    <t>(as reported on the tax remittal database as of 5/6/21)</t>
  </si>
  <si>
    <t>* All casinos closed March 16-April 30, 2020 due to Covid-19 pandemic</t>
  </si>
  <si>
    <t>THRU MONTH ENDED:     APRIL 30, 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</si>
</sst>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2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8" fillId="33" borderId="11" xfId="0" applyFont="1" applyFill="1" applyBorder="1" applyAlignment="1">
      <alignment horizontal="center"/>
    </xf>
    <xf numFmtId="164" fontId="8" fillId="34" borderId="11" xfId="0" applyFont="1" applyFill="1" applyBorder="1" applyAlignment="1">
      <alignment horizontal="center"/>
    </xf>
    <xf numFmtId="164" fontId="8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9" fillId="33" borderId="13" xfId="0" applyFont="1" applyFill="1" applyBorder="1" applyAlignment="1">
      <alignment horizontal="center"/>
    </xf>
    <xf numFmtId="164" fontId="8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8" fillId="34" borderId="15" xfId="0" applyFont="1" applyFill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10" fillId="34" borderId="11" xfId="0" applyFont="1" applyFill="1" applyBorder="1" applyAlignment="1">
      <alignment horizontal="center"/>
    </xf>
    <xf numFmtId="164" fontId="10" fillId="34" borderId="12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9" fillId="34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9" fontId="9" fillId="34" borderId="12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9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4" fontId="9" fillId="33" borderId="17" xfId="0" applyNumberFormat="1" applyFont="1" applyFill="1" applyBorder="1" applyAlignment="1">
      <alignment horizontal="center"/>
    </xf>
    <xf numFmtId="9" fontId="9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3" fontId="9" fillId="33" borderId="20" xfId="0" applyNumberFormat="1" applyFont="1" applyFill="1" applyBorder="1" applyAlignment="1">
      <alignment horizontal="center"/>
    </xf>
    <xf numFmtId="3" fontId="9" fillId="33" borderId="19" xfId="0" applyNumberFormat="1" applyFont="1" applyFill="1" applyBorder="1" applyAlignment="1">
      <alignment horizontal="center"/>
    </xf>
    <xf numFmtId="9" fontId="9" fillId="34" borderId="20" xfId="0" applyNumberFormat="1" applyFont="1" applyFill="1" applyBorder="1" applyAlignment="1">
      <alignment horizontal="center"/>
    </xf>
    <xf numFmtId="4" fontId="9" fillId="33" borderId="19" xfId="0" applyNumberFormat="1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center"/>
    </xf>
    <xf numFmtId="164" fontId="0" fillId="33" borderId="19" xfId="0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9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9" fillId="33" borderId="10" xfId="0" applyNumberFormat="1" applyFont="1" applyFill="1" applyBorder="1" applyAlignment="1">
      <alignment horizontal="center"/>
    </xf>
    <xf numFmtId="164" fontId="9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9" fillId="0" borderId="0" xfId="0" applyFont="1" applyAlignment="1">
      <alignment/>
    </xf>
    <xf numFmtId="17" fontId="0" fillId="0" borderId="0" xfId="0" applyNumberFormat="1" applyFont="1" applyAlignment="1">
      <alignment/>
    </xf>
    <xf numFmtId="0" fontId="11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9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10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9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9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1" fillId="0" borderId="0" xfId="55" applyNumberFormat="1" applyFont="1" applyAlignment="1">
      <alignment horizontal="centerContinuous"/>
      <protection/>
    </xf>
    <xf numFmtId="0" fontId="11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0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9" fillId="34" borderId="10" xfId="55" applyNumberFormat="1" applyFont="1" applyFill="1" applyBorder="1" applyAlignment="1">
      <alignment horizontal="center"/>
      <protection/>
    </xf>
    <xf numFmtId="17" fontId="10" fillId="34" borderId="13" xfId="55" applyNumberFormat="1" applyFont="1" applyFill="1" applyBorder="1" applyAlignment="1">
      <alignment horizontal="center"/>
      <protection/>
    </xf>
    <xf numFmtId="0" fontId="10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9" fillId="33" borderId="11" xfId="54" applyNumberFormat="1" applyFont="1" applyFill="1" applyBorder="1" applyAlignment="1">
      <alignment horizontal="center"/>
      <protection/>
    </xf>
    <xf numFmtId="0" fontId="9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9" fillId="33" borderId="24" xfId="54" applyNumberFormat="1" applyFont="1" applyFill="1" applyBorder="1" applyAlignment="1">
      <alignment horizontal="center"/>
      <protection/>
    </xf>
    <xf numFmtId="0" fontId="9" fillId="33" borderId="25" xfId="54" applyNumberFormat="1" applyFont="1" applyFill="1" applyBorder="1" applyAlignment="1">
      <alignment horizontal="center"/>
      <protection/>
    </xf>
    <xf numFmtId="0" fontId="9" fillId="34" borderId="25" xfId="54" applyNumberFormat="1" applyFont="1" applyFill="1" applyBorder="1" applyAlignment="1">
      <alignment horizontal="center"/>
      <protection/>
    </xf>
    <xf numFmtId="0" fontId="10" fillId="0" borderId="13" xfId="54" applyNumberFormat="1" applyFont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/>
      <protection/>
    </xf>
    <xf numFmtId="0" fontId="10" fillId="34" borderId="14" xfId="54" applyNumberFormat="1" applyFont="1" applyFill="1" applyBorder="1" applyAlignment="1">
      <alignment horizontal="center"/>
      <protection/>
    </xf>
    <xf numFmtId="166" fontId="9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9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9" fillId="34" borderId="11" xfId="54" applyNumberFormat="1" applyFont="1" applyFill="1" applyBorder="1" applyAlignment="1">
      <alignment horizontal="center"/>
      <protection/>
    </xf>
    <xf numFmtId="166" fontId="9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9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9" fillId="34" borderId="17" xfId="54" applyNumberFormat="1" applyFont="1" applyFill="1" applyBorder="1" applyAlignment="1">
      <alignment horizontal="center"/>
      <protection/>
    </xf>
    <xf numFmtId="166" fontId="9" fillId="33" borderId="21" xfId="54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9" fillId="33" borderId="10" xfId="54" applyNumberFormat="1" applyFont="1" applyFill="1" applyBorder="1" applyAlignment="1">
      <alignment horizontal="center"/>
      <protection/>
    </xf>
    <xf numFmtId="4" fontId="9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9" fillId="33" borderId="10" xfId="53" applyNumberFormat="1" applyFont="1" applyFill="1" applyBorder="1" applyAlignment="1">
      <alignment horizontal="center"/>
      <protection/>
    </xf>
    <xf numFmtId="0" fontId="9" fillId="33" borderId="11" xfId="53" applyNumberFormat="1" applyFont="1" applyFill="1" applyBorder="1" applyAlignment="1">
      <alignment horizontal="center"/>
      <protection/>
    </xf>
    <xf numFmtId="0" fontId="9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9" fillId="33" borderId="13" xfId="53" applyNumberFormat="1" applyFont="1" applyFill="1" applyBorder="1" applyAlignment="1">
      <alignment horizontal="center"/>
      <protection/>
    </xf>
    <xf numFmtId="0" fontId="9" fillId="33" borderId="14" xfId="53" applyNumberFormat="1" applyFont="1" applyFill="1" applyBorder="1" applyAlignment="1">
      <alignment horizontal="center"/>
      <protection/>
    </xf>
    <xf numFmtId="0" fontId="9" fillId="34" borderId="14" xfId="53" applyNumberFormat="1" applyFont="1" applyFill="1" applyBorder="1" applyAlignment="1">
      <alignment horizontal="center"/>
      <protection/>
    </xf>
    <xf numFmtId="0" fontId="10" fillId="0" borderId="10" xfId="53" applyNumberFormat="1" applyFont="1" applyBorder="1" applyAlignment="1">
      <alignment horizontal="center"/>
      <protection/>
    </xf>
    <xf numFmtId="0" fontId="10" fillId="0" borderId="11" xfId="53" applyNumberFormat="1" applyFont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/>
      <protection/>
    </xf>
    <xf numFmtId="9" fontId="9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9" fillId="33" borderId="16" xfId="53" applyNumberFormat="1" applyFont="1" applyFill="1" applyBorder="1" applyAlignment="1">
      <alignment/>
      <protection/>
    </xf>
    <xf numFmtId="0" fontId="9" fillId="33" borderId="17" xfId="53" applyNumberFormat="1" applyFont="1" applyFill="1" applyBorder="1" applyAlignment="1">
      <alignment horizontal="center"/>
      <protection/>
    </xf>
    <xf numFmtId="9" fontId="9" fillId="34" borderId="17" xfId="53" applyNumberFormat="1" applyFont="1" applyFill="1" applyBorder="1" applyAlignment="1">
      <alignment horizontal="center"/>
      <protection/>
    </xf>
    <xf numFmtId="0" fontId="9" fillId="0" borderId="13" xfId="53" applyNumberFormat="1" applyFont="1" applyBorder="1" applyAlignment="1">
      <alignment/>
      <protection/>
    </xf>
    <xf numFmtId="17" fontId="9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9" fillId="33" borderId="21" xfId="53" applyNumberFormat="1" applyFont="1" applyFill="1" applyBorder="1" applyAlignment="1">
      <alignment/>
      <protection/>
    </xf>
    <xf numFmtId="0" fontId="9" fillId="33" borderId="19" xfId="53" applyNumberFormat="1" applyFont="1" applyFill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 horizontal="center"/>
      <protection/>
    </xf>
    <xf numFmtId="166" fontId="9" fillId="0" borderId="22" xfId="53" applyNumberFormat="1" applyFont="1" applyBorder="1" applyAlignment="1">
      <alignment/>
      <protection/>
    </xf>
    <xf numFmtId="0" fontId="9" fillId="0" borderId="22" xfId="53" applyNumberFormat="1" applyFont="1" applyBorder="1" applyAlignment="1">
      <alignment horizontal="center"/>
      <protection/>
    </xf>
    <xf numFmtId="4" fontId="9" fillId="0" borderId="22" xfId="53" applyNumberFormat="1" applyFont="1" applyBorder="1" applyAlignment="1">
      <alignment horizontal="center"/>
      <protection/>
    </xf>
    <xf numFmtId="0" fontId="12" fillId="0" borderId="0" xfId="53" applyNumberFormat="1" applyFont="1" applyAlignment="1">
      <alignment/>
      <protection/>
    </xf>
    <xf numFmtId="17" fontId="9" fillId="0" borderId="0" xfId="53" applyNumberFormat="1" applyFont="1" applyAlignment="1">
      <alignment horizontal="center"/>
      <protection/>
    </xf>
    <xf numFmtId="4" fontId="9" fillId="0" borderId="0" xfId="53" applyNumberFormat="1" applyFont="1" applyAlignment="1">
      <alignment horizontal="center"/>
      <protection/>
    </xf>
    <xf numFmtId="0" fontId="9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8" fillId="33" borderId="11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9" fillId="33" borderId="11" xfId="54" applyNumberFormat="1" applyFont="1" applyFill="1" applyBorder="1" applyAlignment="1">
      <alignment horizontal="center"/>
      <protection/>
    </xf>
    <xf numFmtId="3" fontId="9" fillId="33" borderId="25" xfId="54" applyNumberFormat="1" applyFont="1" applyFill="1" applyBorder="1" applyAlignment="1">
      <alignment horizontal="center"/>
      <protection/>
    </xf>
    <xf numFmtId="3" fontId="10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9" fillId="33" borderId="17" xfId="54" applyNumberFormat="1" applyFont="1" applyFill="1" applyBorder="1" applyAlignment="1">
      <alignment horizontal="center"/>
      <protection/>
    </xf>
    <xf numFmtId="3" fontId="9" fillId="33" borderId="19" xfId="54" applyNumberFormat="1" applyFont="1" applyFill="1" applyBorder="1" applyAlignment="1">
      <alignment horizontal="center"/>
      <protection/>
    </xf>
    <xf numFmtId="3" fontId="9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9" fillId="0" borderId="0" xfId="54" applyNumberFormat="1" applyFont="1" applyAlignment="1">
      <alignment horizontal="center"/>
      <protection/>
    </xf>
    <xf numFmtId="167" fontId="9" fillId="33" borderId="11" xfId="54" applyNumberFormat="1" applyFont="1" applyFill="1" applyBorder="1" applyAlignment="1">
      <alignment horizontal="center"/>
      <protection/>
    </xf>
    <xf numFmtId="167" fontId="9" fillId="33" borderId="26" xfId="54" applyNumberFormat="1" applyFont="1" applyFill="1" applyBorder="1" applyAlignment="1">
      <alignment horizontal="center"/>
      <protection/>
    </xf>
    <xf numFmtId="167" fontId="10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9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9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9" fillId="33" borderId="11" xfId="53" applyNumberFormat="1" applyFont="1" applyFill="1" applyBorder="1" applyAlignment="1">
      <alignment horizontal="center"/>
      <protection/>
    </xf>
    <xf numFmtId="3" fontId="9" fillId="33" borderId="14" xfId="53" applyNumberFormat="1" applyFont="1" applyFill="1" applyBorder="1" applyAlignment="1">
      <alignment horizontal="center"/>
      <protection/>
    </xf>
    <xf numFmtId="3" fontId="10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9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9" fillId="33" borderId="19" xfId="53" applyNumberFormat="1" applyFont="1" applyFill="1" applyBorder="1" applyAlignment="1">
      <alignment horizontal="center"/>
      <protection/>
    </xf>
    <xf numFmtId="3" fontId="9" fillId="0" borderId="22" xfId="53" applyNumberFormat="1" applyFont="1" applyBorder="1" applyAlignment="1">
      <alignment horizontal="center"/>
      <protection/>
    </xf>
    <xf numFmtId="3" fontId="9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9" fillId="0" borderId="0" xfId="53" applyNumberFormat="1" applyFont="1" applyAlignment="1">
      <alignment horizontal="centerContinuous"/>
      <protection/>
    </xf>
    <xf numFmtId="167" fontId="9" fillId="33" borderId="11" xfId="53" applyNumberFormat="1" applyFont="1" applyFill="1" applyBorder="1" applyAlignment="1">
      <alignment horizontal="center"/>
      <protection/>
    </xf>
    <xf numFmtId="167" fontId="9" fillId="33" borderId="12" xfId="53" applyNumberFormat="1" applyFont="1" applyFill="1" applyBorder="1" applyAlignment="1">
      <alignment horizontal="center"/>
      <protection/>
    </xf>
    <xf numFmtId="167" fontId="9" fillId="33" borderId="14" xfId="53" applyNumberFormat="1" applyFont="1" applyFill="1" applyBorder="1" applyAlignment="1">
      <alignment horizontal="center"/>
      <protection/>
    </xf>
    <xf numFmtId="167" fontId="10" fillId="0" borderId="11" xfId="53" applyNumberFormat="1" applyFont="1" applyBorder="1" applyAlignment="1">
      <alignment horizontal="center"/>
      <protection/>
    </xf>
    <xf numFmtId="167" fontId="10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9" fillId="33" borderId="17" xfId="53" applyNumberFormat="1" applyFont="1" applyFill="1" applyBorder="1" applyAlignment="1">
      <alignment horizontal="center"/>
      <protection/>
    </xf>
    <xf numFmtId="167" fontId="9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9" fillId="33" borderId="19" xfId="53" applyNumberFormat="1" applyFont="1" applyFill="1" applyBorder="1" applyAlignment="1">
      <alignment horizontal="center"/>
      <protection/>
    </xf>
    <xf numFmtId="167" fontId="9" fillId="0" borderId="22" xfId="53" applyNumberFormat="1" applyFont="1" applyBorder="1" applyAlignment="1">
      <alignment horizontal="center"/>
      <protection/>
    </xf>
    <xf numFmtId="167" fontId="9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9" fillId="33" borderId="12" xfId="53" applyNumberFormat="1" applyFont="1" applyFill="1" applyBorder="1" applyAlignment="1">
      <alignment/>
      <protection/>
    </xf>
    <xf numFmtId="167" fontId="9" fillId="33" borderId="15" xfId="53" applyNumberFormat="1" applyFont="1" applyFill="1" applyBorder="1" applyAlignment="1">
      <alignment/>
      <protection/>
    </xf>
    <xf numFmtId="166" fontId="9" fillId="0" borderId="27" xfId="54" applyNumberFormat="1" applyFont="1" applyBorder="1" applyAlignment="1">
      <alignment/>
      <protection/>
    </xf>
    <xf numFmtId="166" fontId="9" fillId="0" borderId="0" xfId="53" applyNumberFormat="1" applyFont="1" applyBorder="1" applyAlignment="1">
      <alignment/>
      <protection/>
    </xf>
    <xf numFmtId="167" fontId="9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center"/>
      <protection/>
    </xf>
    <xf numFmtId="3" fontId="9" fillId="0" borderId="0" xfId="53" applyNumberFormat="1" applyFont="1" applyBorder="1" applyAlignment="1">
      <alignment horizontal="center"/>
      <protection/>
    </xf>
    <xf numFmtId="4" fontId="9" fillId="0" borderId="0" xfId="53" applyNumberFormat="1" applyFont="1" applyBorder="1" applyAlignment="1">
      <alignment horizontal="center"/>
      <protection/>
    </xf>
    <xf numFmtId="3" fontId="9" fillId="33" borderId="20" xfId="54" applyNumberFormat="1" applyFont="1" applyFill="1" applyBorder="1" applyAlignment="1">
      <alignment horizontal="center"/>
      <protection/>
    </xf>
    <xf numFmtId="3" fontId="9" fillId="33" borderId="28" xfId="54" applyNumberFormat="1" applyFont="1" applyFill="1" applyBorder="1" applyAlignment="1">
      <alignment horizontal="center"/>
      <protection/>
    </xf>
    <xf numFmtId="166" fontId="12" fillId="0" borderId="0" xfId="54" applyNumberFormat="1" applyFont="1" applyAlignment="1">
      <alignment/>
      <protection/>
    </xf>
    <xf numFmtId="166" fontId="12" fillId="0" borderId="0" xfId="0" applyNumberFormat="1" applyFont="1" applyAlignment="1">
      <alignment/>
    </xf>
    <xf numFmtId="166" fontId="9" fillId="33" borderId="16" xfId="54" applyNumberFormat="1" applyFont="1" applyFill="1" applyBorder="1" applyAlignment="1">
      <alignment horizontal="center"/>
      <protection/>
    </xf>
    <xf numFmtId="0" fontId="9" fillId="33" borderId="17" xfId="54" applyNumberFormat="1" applyFont="1" applyFill="1" applyBorder="1" applyAlignment="1">
      <alignment horizontal="center"/>
      <protection/>
    </xf>
    <xf numFmtId="167" fontId="9" fillId="33" borderId="29" xfId="54" applyNumberFormat="1" applyFont="1" applyFill="1" applyBorder="1" applyAlignment="1">
      <alignment horizontal="center"/>
      <protection/>
    </xf>
    <xf numFmtId="9" fontId="9" fillId="34" borderId="19" xfId="54" applyNumberFormat="1" applyFont="1" applyFill="1" applyBorder="1" applyAlignment="1">
      <alignment horizontal="center"/>
      <protection/>
    </xf>
    <xf numFmtId="9" fontId="9" fillId="34" borderId="30" xfId="54" applyNumberFormat="1" applyFont="1" applyFill="1" applyBorder="1" applyAlignment="1">
      <alignment horizontal="center"/>
      <protection/>
    </xf>
    <xf numFmtId="167" fontId="9" fillId="33" borderId="29" xfId="53" applyNumberFormat="1" applyFont="1" applyFill="1" applyBorder="1" applyAlignment="1">
      <alignment horizontal="center"/>
      <protection/>
    </xf>
    <xf numFmtId="3" fontId="9" fillId="33" borderId="20" xfId="53" applyNumberFormat="1" applyFont="1" applyFill="1" applyBorder="1" applyAlignment="1">
      <alignment horizontal="center"/>
      <protection/>
    </xf>
    <xf numFmtId="9" fontId="9" fillId="34" borderId="19" xfId="53" applyNumberFormat="1" applyFont="1" applyFill="1" applyBorder="1" applyAlignment="1">
      <alignment horizontal="center"/>
      <protection/>
    </xf>
    <xf numFmtId="166" fontId="9" fillId="33" borderId="13" xfId="0" applyNumberFormat="1" applyFont="1" applyFill="1" applyBorder="1" applyAlignment="1">
      <alignment/>
    </xf>
    <xf numFmtId="166" fontId="9" fillId="0" borderId="13" xfId="0" applyNumberFormat="1" applyFont="1" applyBorder="1" applyAlignment="1">
      <alignment/>
    </xf>
    <xf numFmtId="0" fontId="10" fillId="34" borderId="13" xfId="55" applyFont="1" applyFill="1" applyBorder="1" applyAlignment="1">
      <alignment horizontal="center"/>
      <protection/>
    </xf>
    <xf numFmtId="0" fontId="9" fillId="34" borderId="13" xfId="55" applyFont="1" applyFill="1" applyBorder="1" applyAlignment="1">
      <alignment horizontal="center"/>
      <protection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9" fontId="9" fillId="34" borderId="11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0" fontId="11" fillId="0" borderId="0" xfId="55" applyFont="1" applyAlignment="1">
      <alignment/>
      <protection/>
    </xf>
    <xf numFmtId="0" fontId="6" fillId="0" borderId="0" xfId="54" applyNumberFormat="1" applyFont="1" applyAlignment="1">
      <alignment/>
      <protection/>
    </xf>
    <xf numFmtId="0" fontId="13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13" fillId="0" borderId="0" xfId="53" applyNumberFormat="1" applyFont="1" applyAlignment="1">
      <alignment/>
      <protection/>
    </xf>
    <xf numFmtId="4" fontId="0" fillId="0" borderId="0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left"/>
      <protection/>
    </xf>
    <xf numFmtId="166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3"/>
  <sheetViews>
    <sheetView tabSelected="1" showOutlineSymbols="0" workbookViewId="0" topLeftCell="A154">
      <selection activeCell="A1" sqref="A1"/>
    </sheetView>
  </sheetViews>
  <sheetFormatPr defaultColWidth="9.6640625" defaultRowHeight="15"/>
  <cols>
    <col min="1" max="1" width="26.44531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>
      <c r="A2" s="4" t="s">
        <v>62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>
      <c r="A3" s="277" t="s">
        <v>71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ht="15">
      <c r="A4" s="278" t="s">
        <v>72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>
      <c r="A9" s="19" t="s">
        <v>13</v>
      </c>
      <c r="B9" s="20">
        <f>DATE(2020,7,1)</f>
        <v>44013</v>
      </c>
      <c r="C9" s="21">
        <v>188333</v>
      </c>
      <c r="D9" s="22">
        <v>273819</v>
      </c>
      <c r="E9" s="23">
        <f aca="true" t="shared" si="0" ref="E9:E17">(+C9-D9)/D9</f>
        <v>-0.31219893433253354</v>
      </c>
      <c r="F9" s="21">
        <f>+C9-87391</f>
        <v>100942</v>
      </c>
      <c r="G9" s="21">
        <f>+D9-121652</f>
        <v>152167</v>
      </c>
      <c r="H9" s="23">
        <f aca="true" t="shared" si="1" ref="H9:H17">(+F9-G9)/G9</f>
        <v>-0.3366367214967766</v>
      </c>
      <c r="I9" s="24">
        <f aca="true" t="shared" si="2" ref="I9:I18">K9/C9</f>
        <v>72.29330435983073</v>
      </c>
      <c r="J9" s="24">
        <f aca="true" t="shared" si="3" ref="J9:J18">K9/F9</f>
        <v>134.8815645618276</v>
      </c>
      <c r="K9" s="21">
        <v>13615214.89</v>
      </c>
      <c r="L9" s="21">
        <v>14592883.67</v>
      </c>
      <c r="M9" s="25">
        <f aca="true" t="shared" si="4" ref="M9:M17">(+K9-L9)/L9</f>
        <v>-0.06699627038142485</v>
      </c>
      <c r="N9" s="10"/>
      <c r="R9" s="2"/>
    </row>
    <row r="10" spans="1:18" ht="15.75">
      <c r="A10" s="19"/>
      <c r="B10" s="20">
        <f>DATE(2020,8,1)</f>
        <v>44044</v>
      </c>
      <c r="C10" s="21">
        <v>193126</v>
      </c>
      <c r="D10" s="22">
        <v>276880</v>
      </c>
      <c r="E10" s="23">
        <f t="shared" si="0"/>
        <v>-0.30249205431956083</v>
      </c>
      <c r="F10" s="21">
        <f>+C10-88951</f>
        <v>104175</v>
      </c>
      <c r="G10" s="21">
        <f>+D10-123357</f>
        <v>153523</v>
      </c>
      <c r="H10" s="23">
        <f t="shared" si="1"/>
        <v>-0.3214371787940569</v>
      </c>
      <c r="I10" s="24">
        <f t="shared" si="2"/>
        <v>65.34846442219069</v>
      </c>
      <c r="J10" s="24">
        <f t="shared" si="3"/>
        <v>121.14698862491</v>
      </c>
      <c r="K10" s="21">
        <v>12620487.54</v>
      </c>
      <c r="L10" s="21">
        <v>14502049.98</v>
      </c>
      <c r="M10" s="25">
        <f t="shared" si="4"/>
        <v>-0.12974458387572052</v>
      </c>
      <c r="N10" s="10"/>
      <c r="R10" s="2"/>
    </row>
    <row r="11" spans="1:18" ht="15.75">
      <c r="A11" s="19"/>
      <c r="B11" s="20">
        <f>DATE(2020,9,1)</f>
        <v>44075</v>
      </c>
      <c r="C11" s="21">
        <v>196754</v>
      </c>
      <c r="D11" s="22">
        <v>254028</v>
      </c>
      <c r="E11" s="23">
        <f t="shared" si="0"/>
        <v>-0.22546333475049996</v>
      </c>
      <c r="F11" s="21">
        <f>+C11-92272</f>
        <v>104482</v>
      </c>
      <c r="G11" s="21">
        <f>+D11-112781</f>
        <v>141247</v>
      </c>
      <c r="H11" s="23">
        <f t="shared" si="1"/>
        <v>-0.2602887140965826</v>
      </c>
      <c r="I11" s="24">
        <f t="shared" si="2"/>
        <v>63.17150650050316</v>
      </c>
      <c r="J11" s="24">
        <f t="shared" si="3"/>
        <v>118.96064958557454</v>
      </c>
      <c r="K11" s="21">
        <v>12429246.59</v>
      </c>
      <c r="L11" s="21">
        <v>12773890.38</v>
      </c>
      <c r="M11" s="25">
        <f t="shared" si="4"/>
        <v>-0.026980330952237352</v>
      </c>
      <c r="N11" s="10"/>
      <c r="R11" s="2"/>
    </row>
    <row r="12" spans="1:18" ht="15.75">
      <c r="A12" s="19"/>
      <c r="B12" s="20">
        <f>DATE(2020,10,1)</f>
        <v>44105</v>
      </c>
      <c r="C12" s="21">
        <v>203827</v>
      </c>
      <c r="D12" s="22">
        <v>250952</v>
      </c>
      <c r="E12" s="23">
        <f t="shared" si="0"/>
        <v>-0.1877849150435143</v>
      </c>
      <c r="F12" s="21">
        <f>+C12-94349</f>
        <v>109478</v>
      </c>
      <c r="G12" s="21">
        <f>+D12-113545</f>
        <v>137407</v>
      </c>
      <c r="H12" s="23">
        <f t="shared" si="1"/>
        <v>-0.20325747596556215</v>
      </c>
      <c r="I12" s="24">
        <f t="shared" si="2"/>
        <v>63.42413733214933</v>
      </c>
      <c r="J12" s="24">
        <f t="shared" si="3"/>
        <v>118.08355687900766</v>
      </c>
      <c r="K12" s="21">
        <v>12927551.64</v>
      </c>
      <c r="L12" s="21">
        <v>13374556.41</v>
      </c>
      <c r="M12" s="25">
        <f t="shared" si="4"/>
        <v>-0.033422025844967784</v>
      </c>
      <c r="N12" s="10"/>
      <c r="R12" s="2"/>
    </row>
    <row r="13" spans="1:18" ht="15.75">
      <c r="A13" s="19"/>
      <c r="B13" s="20">
        <f>DATE(2020,11,1)</f>
        <v>44136</v>
      </c>
      <c r="C13" s="21">
        <v>189148</v>
      </c>
      <c r="D13" s="22">
        <v>272418</v>
      </c>
      <c r="E13" s="23">
        <f t="shared" si="0"/>
        <v>-0.3056699630714564</v>
      </c>
      <c r="F13" s="21">
        <f>+C13-86903</f>
        <v>102245</v>
      </c>
      <c r="G13" s="21">
        <f>+D13-124199</f>
        <v>148219</v>
      </c>
      <c r="H13" s="23">
        <f t="shared" si="1"/>
        <v>-0.3101761582523158</v>
      </c>
      <c r="I13" s="24">
        <f t="shared" si="2"/>
        <v>59.62246928331254</v>
      </c>
      <c r="J13" s="24">
        <f t="shared" si="3"/>
        <v>110.29850672404518</v>
      </c>
      <c r="K13" s="21">
        <v>11277470.82</v>
      </c>
      <c r="L13" s="21">
        <v>13968055.51</v>
      </c>
      <c r="M13" s="25">
        <f t="shared" si="4"/>
        <v>-0.1926241407097615</v>
      </c>
      <c r="N13" s="10"/>
      <c r="R13" s="2"/>
    </row>
    <row r="14" spans="1:18" ht="15.75">
      <c r="A14" s="19"/>
      <c r="B14" s="20">
        <f>DATE(2020,12,1)</f>
        <v>44166</v>
      </c>
      <c r="C14" s="21">
        <v>196076</v>
      </c>
      <c r="D14" s="22">
        <v>282345</v>
      </c>
      <c r="E14" s="23">
        <f t="shared" si="0"/>
        <v>-0.3055446351095291</v>
      </c>
      <c r="F14" s="21">
        <f>+C14-87128</f>
        <v>108948</v>
      </c>
      <c r="G14" s="21">
        <f>+D14-128827</f>
        <v>153518</v>
      </c>
      <c r="H14" s="23">
        <f t="shared" si="1"/>
        <v>-0.29032426165009967</v>
      </c>
      <c r="I14" s="24">
        <f t="shared" si="2"/>
        <v>63.799970980640154</v>
      </c>
      <c r="J14" s="24">
        <f t="shared" si="3"/>
        <v>114.82214551896317</v>
      </c>
      <c r="K14" s="21">
        <v>12509643.11</v>
      </c>
      <c r="L14" s="21">
        <v>14646594.89</v>
      </c>
      <c r="M14" s="25">
        <f t="shared" si="4"/>
        <v>-0.14590092755682144</v>
      </c>
      <c r="N14" s="10"/>
      <c r="R14" s="2"/>
    </row>
    <row r="15" spans="1:18" ht="15.75">
      <c r="A15" s="19"/>
      <c r="B15" s="20">
        <f>DATE(2021,1,1)</f>
        <v>44197</v>
      </c>
      <c r="C15" s="21">
        <v>210729</v>
      </c>
      <c r="D15" s="22">
        <v>244941</v>
      </c>
      <c r="E15" s="23">
        <f t="shared" si="0"/>
        <v>-0.1396744522150232</v>
      </c>
      <c r="F15" s="21">
        <f>+C15-99046</f>
        <v>111683</v>
      </c>
      <c r="G15" s="21">
        <f>+D15-113581</f>
        <v>131360</v>
      </c>
      <c r="H15" s="23">
        <f t="shared" si="1"/>
        <v>-0.14979445797807553</v>
      </c>
      <c r="I15" s="24">
        <f t="shared" si="2"/>
        <v>60.759667345263345</v>
      </c>
      <c r="J15" s="24">
        <f t="shared" si="3"/>
        <v>114.64434103668418</v>
      </c>
      <c r="K15" s="21">
        <v>12803823.94</v>
      </c>
      <c r="L15" s="21">
        <v>12529639.53</v>
      </c>
      <c r="M15" s="25">
        <f t="shared" si="4"/>
        <v>0.02188286497337088</v>
      </c>
      <c r="N15" s="10"/>
      <c r="R15" s="2"/>
    </row>
    <row r="16" spans="1:18" ht="15.75">
      <c r="A16" s="19"/>
      <c r="B16" s="20">
        <f>DATE(2021,2,1)</f>
        <v>44228</v>
      </c>
      <c r="C16" s="21">
        <v>178806</v>
      </c>
      <c r="D16" s="22">
        <v>260941</v>
      </c>
      <c r="E16" s="23">
        <f t="shared" si="0"/>
        <v>-0.31476464028266926</v>
      </c>
      <c r="F16" s="21">
        <f>+C16-83686</f>
        <v>95120</v>
      </c>
      <c r="G16" s="21">
        <f>+D16-121501</f>
        <v>139440</v>
      </c>
      <c r="H16" s="23">
        <f t="shared" si="1"/>
        <v>-0.3178427997705106</v>
      </c>
      <c r="I16" s="24">
        <f t="shared" si="2"/>
        <v>63.481141125018176</v>
      </c>
      <c r="J16" s="24">
        <f t="shared" si="3"/>
        <v>119.33146467619848</v>
      </c>
      <c r="K16" s="21">
        <v>11350808.92</v>
      </c>
      <c r="L16" s="21">
        <v>13815297.25</v>
      </c>
      <c r="M16" s="25">
        <f t="shared" si="4"/>
        <v>-0.17838836800996086</v>
      </c>
      <c r="N16" s="10"/>
      <c r="R16" s="2"/>
    </row>
    <row r="17" spans="1:18" ht="15.75">
      <c r="A17" s="19"/>
      <c r="B17" s="20">
        <f>DATE(2021,3,1)</f>
        <v>44256</v>
      </c>
      <c r="C17" s="21">
        <v>244635</v>
      </c>
      <c r="D17" s="22">
        <v>133788</v>
      </c>
      <c r="E17" s="23">
        <f t="shared" si="0"/>
        <v>0.8285272221723922</v>
      </c>
      <c r="F17" s="21">
        <f>+C17-117147</f>
        <v>127488</v>
      </c>
      <c r="G17" s="21">
        <f>+D17-60707</f>
        <v>73081</v>
      </c>
      <c r="H17" s="23">
        <f t="shared" si="1"/>
        <v>0.7444753082196467</v>
      </c>
      <c r="I17" s="24">
        <f t="shared" si="2"/>
        <v>66.82255249657653</v>
      </c>
      <c r="J17" s="24">
        <f t="shared" si="3"/>
        <v>128.2248927742219</v>
      </c>
      <c r="K17" s="21">
        <v>16347135.13</v>
      </c>
      <c r="L17" s="21">
        <v>7045224.66</v>
      </c>
      <c r="M17" s="25">
        <f t="shared" si="4"/>
        <v>1.3203142438895625</v>
      </c>
      <c r="N17" s="10"/>
      <c r="R17" s="2"/>
    </row>
    <row r="18" spans="1:18" ht="15.75">
      <c r="A18" s="19"/>
      <c r="B18" s="20">
        <f>DATE(2021,4,1)</f>
        <v>44287</v>
      </c>
      <c r="C18" s="21">
        <v>229780</v>
      </c>
      <c r="D18" s="22">
        <v>0</v>
      </c>
      <c r="E18" s="23">
        <v>1</v>
      </c>
      <c r="F18" s="21">
        <f>+C18-108785</f>
        <v>120995</v>
      </c>
      <c r="G18" s="21">
        <f>+D18-0</f>
        <v>0</v>
      </c>
      <c r="H18" s="23">
        <v>1</v>
      </c>
      <c r="I18" s="24">
        <f t="shared" si="2"/>
        <v>65.7301681608495</v>
      </c>
      <c r="J18" s="24">
        <f t="shared" si="3"/>
        <v>124.82729071449232</v>
      </c>
      <c r="K18" s="21">
        <v>15103478.04</v>
      </c>
      <c r="L18" s="21">
        <v>0</v>
      </c>
      <c r="M18" s="25">
        <v>1</v>
      </c>
      <c r="N18" s="10"/>
      <c r="R18" s="2"/>
    </row>
    <row r="19" spans="1:18" ht="15.75" customHeight="1" thickBot="1">
      <c r="A19" s="19"/>
      <c r="B19" s="20"/>
      <c r="C19" s="21"/>
      <c r="D19" s="21"/>
      <c r="E19" s="23"/>
      <c r="F19" s="21"/>
      <c r="G19" s="21"/>
      <c r="H19" s="23"/>
      <c r="I19" s="24"/>
      <c r="J19" s="24"/>
      <c r="K19" s="21"/>
      <c r="L19" s="21"/>
      <c r="M19" s="25"/>
      <c r="N19" s="10"/>
      <c r="R19" s="2"/>
    </row>
    <row r="20" spans="1:18" ht="17.25" thickBot="1" thickTop="1">
      <c r="A20" s="26" t="s">
        <v>14</v>
      </c>
      <c r="B20" s="27"/>
      <c r="C20" s="28">
        <f>SUM(C9:C19)</f>
        <v>2031214</v>
      </c>
      <c r="D20" s="28">
        <f>SUM(D9:D19)</f>
        <v>2250112</v>
      </c>
      <c r="E20" s="279">
        <f>(+C20-D20)/D20</f>
        <v>-0.09728315746060641</v>
      </c>
      <c r="F20" s="28">
        <f>SUM(F9:F19)</f>
        <v>1085556</v>
      </c>
      <c r="G20" s="28">
        <f>SUM(G9:G19)</f>
        <v>1229962</v>
      </c>
      <c r="H20" s="30">
        <f>(+F20-G20)/G20</f>
        <v>-0.11740687923691952</v>
      </c>
      <c r="I20" s="31">
        <f>K20/C20</f>
        <v>64.4859973493684</v>
      </c>
      <c r="J20" s="31">
        <f>K20/F20</f>
        <v>120.66154175371884</v>
      </c>
      <c r="K20" s="28">
        <f>SUM(K9:K19)</f>
        <v>130984860.62</v>
      </c>
      <c r="L20" s="28">
        <f>SUM(L9:L19)</f>
        <v>117248192.28</v>
      </c>
      <c r="M20" s="32">
        <f>(+K20-L20)/L20</f>
        <v>0.11715889237077118</v>
      </c>
      <c r="N20" s="10"/>
      <c r="R20" s="2"/>
    </row>
    <row r="21" spans="1:18" ht="15.75" customHeight="1" thickTop="1">
      <c r="A21" s="15"/>
      <c r="B21" s="16"/>
      <c r="C21" s="16"/>
      <c r="D21" s="16"/>
      <c r="E21" s="17"/>
      <c r="F21" s="16"/>
      <c r="G21" s="16"/>
      <c r="H21" s="17"/>
      <c r="I21" s="16"/>
      <c r="J21" s="16"/>
      <c r="K21" s="195"/>
      <c r="L21" s="195"/>
      <c r="M21" s="18"/>
      <c r="N21" s="10"/>
      <c r="R21" s="2"/>
    </row>
    <row r="22" spans="1:18" ht="15.75">
      <c r="A22" s="19" t="s">
        <v>15</v>
      </c>
      <c r="B22" s="20">
        <f>DATE(2020,7,1)</f>
        <v>44013</v>
      </c>
      <c r="C22" s="21">
        <v>79471</v>
      </c>
      <c r="D22" s="21">
        <v>128877</v>
      </c>
      <c r="E22" s="23">
        <f aca="true" t="shared" si="5" ref="E22:E30">(+C22-D22)/D22</f>
        <v>-0.3833577752430612</v>
      </c>
      <c r="F22" s="21">
        <f>+C22-38596</f>
        <v>40875</v>
      </c>
      <c r="G22" s="21">
        <f>+D22-61988</f>
        <v>66889</v>
      </c>
      <c r="H22" s="23">
        <f aca="true" t="shared" si="6" ref="H22:H30">(+F22-G22)/G22</f>
        <v>-0.3889129752276159</v>
      </c>
      <c r="I22" s="24">
        <f aca="true" t="shared" si="7" ref="I22:I31">K22/C22</f>
        <v>70.63353965597514</v>
      </c>
      <c r="J22" s="24">
        <f aca="true" t="shared" si="8" ref="J22:J31">K22/F22</f>
        <v>137.32888146788991</v>
      </c>
      <c r="K22" s="21">
        <v>5613318.03</v>
      </c>
      <c r="L22" s="21">
        <v>6965970.83</v>
      </c>
      <c r="M22" s="25">
        <f aca="true" t="shared" si="9" ref="M22:M30">(+K22-L22)/L22</f>
        <v>-0.19418008386922858</v>
      </c>
      <c r="N22" s="10"/>
      <c r="R22" s="2"/>
    </row>
    <row r="23" spans="1:18" ht="15.75">
      <c r="A23" s="19"/>
      <c r="B23" s="20">
        <f>DATE(2020,8,1)</f>
        <v>44044</v>
      </c>
      <c r="C23" s="21">
        <v>88234</v>
      </c>
      <c r="D23" s="21">
        <v>130133</v>
      </c>
      <c r="E23" s="23">
        <f t="shared" si="5"/>
        <v>-0.32197059930993677</v>
      </c>
      <c r="F23" s="21">
        <f>+C23-41802</f>
        <v>46432</v>
      </c>
      <c r="G23" s="21">
        <f>+D23-62200</f>
        <v>67933</v>
      </c>
      <c r="H23" s="23">
        <f t="shared" si="6"/>
        <v>-0.31650302503937705</v>
      </c>
      <c r="I23" s="24">
        <f t="shared" si="7"/>
        <v>67.93925504907406</v>
      </c>
      <c r="J23" s="24">
        <f t="shared" si="8"/>
        <v>129.10389881977946</v>
      </c>
      <c r="K23" s="21">
        <v>5994552.23</v>
      </c>
      <c r="L23" s="21">
        <v>6966409.85</v>
      </c>
      <c r="M23" s="25">
        <f t="shared" si="9"/>
        <v>-0.13950623648707652</v>
      </c>
      <c r="N23" s="10"/>
      <c r="R23" s="2"/>
    </row>
    <row r="24" spans="1:18" ht="15.75">
      <c r="A24" s="19"/>
      <c r="B24" s="20">
        <f>DATE(2020,9,1)</f>
        <v>44075</v>
      </c>
      <c r="C24" s="21">
        <v>90948</v>
      </c>
      <c r="D24" s="21">
        <v>118251</v>
      </c>
      <c r="E24" s="23">
        <f t="shared" si="5"/>
        <v>-0.23089022502980946</v>
      </c>
      <c r="F24" s="21">
        <f>+C24-42310</f>
        <v>48638</v>
      </c>
      <c r="G24" s="21">
        <f>+D24-55723</f>
        <v>62528</v>
      </c>
      <c r="H24" s="23">
        <f t="shared" si="6"/>
        <v>-0.22214048106448311</v>
      </c>
      <c r="I24" s="24">
        <f t="shared" si="7"/>
        <v>64.96838479130932</v>
      </c>
      <c r="J24" s="24">
        <f t="shared" si="8"/>
        <v>121.48412064640816</v>
      </c>
      <c r="K24" s="21">
        <v>5908744.66</v>
      </c>
      <c r="L24" s="21">
        <v>6414760.6</v>
      </c>
      <c r="M24" s="25">
        <f t="shared" si="9"/>
        <v>-0.07888305917449195</v>
      </c>
      <c r="N24" s="10"/>
      <c r="R24" s="2"/>
    </row>
    <row r="25" spans="1:18" ht="15.75">
      <c r="A25" s="19"/>
      <c r="B25" s="20">
        <f>DATE(2020,10,1)</f>
        <v>44105</v>
      </c>
      <c r="C25" s="21">
        <v>87099</v>
      </c>
      <c r="D25" s="21">
        <v>113052</v>
      </c>
      <c r="E25" s="23">
        <f t="shared" si="5"/>
        <v>-0.229566924954888</v>
      </c>
      <c r="F25" s="21">
        <f>+C25-41806</f>
        <v>45293</v>
      </c>
      <c r="G25" s="21">
        <f>+D25-54189</f>
        <v>58863</v>
      </c>
      <c r="H25" s="23">
        <f t="shared" si="6"/>
        <v>-0.23053531080644887</v>
      </c>
      <c r="I25" s="24">
        <f t="shared" si="7"/>
        <v>65.63117705140128</v>
      </c>
      <c r="J25" s="24">
        <f t="shared" si="8"/>
        <v>126.20956637891064</v>
      </c>
      <c r="K25" s="21">
        <v>5716409.89</v>
      </c>
      <c r="L25" s="21">
        <v>6049114.74</v>
      </c>
      <c r="M25" s="25">
        <f t="shared" si="9"/>
        <v>-0.05500058509387781</v>
      </c>
      <c r="N25" s="10"/>
      <c r="R25" s="2"/>
    </row>
    <row r="26" spans="1:18" ht="15.75">
      <c r="A26" s="19"/>
      <c r="B26" s="20">
        <f>DATE(2020,11,1)</f>
        <v>44136</v>
      </c>
      <c r="C26" s="21">
        <v>77783</v>
      </c>
      <c r="D26" s="21">
        <v>116655</v>
      </c>
      <c r="E26" s="23">
        <f t="shared" si="5"/>
        <v>-0.3332218936179332</v>
      </c>
      <c r="F26" s="21">
        <f>+C26-37695</f>
        <v>40088</v>
      </c>
      <c r="G26" s="21">
        <f>+D26-56252</f>
        <v>60403</v>
      </c>
      <c r="H26" s="23">
        <f t="shared" si="6"/>
        <v>-0.33632435475059186</v>
      </c>
      <c r="I26" s="24">
        <f t="shared" si="7"/>
        <v>68.7741520640757</v>
      </c>
      <c r="J26" s="24">
        <f t="shared" si="8"/>
        <v>133.44292232089404</v>
      </c>
      <c r="K26" s="21">
        <v>5349459.87</v>
      </c>
      <c r="L26" s="21">
        <v>6363767.67</v>
      </c>
      <c r="M26" s="25">
        <f t="shared" si="9"/>
        <v>-0.15938793692636485</v>
      </c>
      <c r="N26" s="10"/>
      <c r="R26" s="2"/>
    </row>
    <row r="27" spans="1:18" ht="15.75">
      <c r="A27" s="19"/>
      <c r="B27" s="20">
        <f>DATE(2020,12,1)</f>
        <v>44166</v>
      </c>
      <c r="C27" s="21">
        <v>82439</v>
      </c>
      <c r="D27" s="21">
        <v>115489</v>
      </c>
      <c r="E27" s="23">
        <f t="shared" si="5"/>
        <v>-0.2861744408558391</v>
      </c>
      <c r="F27" s="21">
        <f>+C27-39977</f>
        <v>42462</v>
      </c>
      <c r="G27" s="21">
        <f>+D27-56066</f>
        <v>59423</v>
      </c>
      <c r="H27" s="23">
        <f t="shared" si="6"/>
        <v>-0.28542820120155493</v>
      </c>
      <c r="I27" s="24">
        <f t="shared" si="7"/>
        <v>69.92413166098571</v>
      </c>
      <c r="J27" s="24">
        <f t="shared" si="8"/>
        <v>135.7560993358768</v>
      </c>
      <c r="K27" s="21">
        <v>5764475.49</v>
      </c>
      <c r="L27" s="21">
        <v>6275301.99</v>
      </c>
      <c r="M27" s="25">
        <f t="shared" si="9"/>
        <v>-0.08140269596810272</v>
      </c>
      <c r="N27" s="10"/>
      <c r="R27" s="2"/>
    </row>
    <row r="28" spans="1:18" ht="15.75">
      <c r="A28" s="19"/>
      <c r="B28" s="20">
        <f>DATE(2021,1,1)</f>
        <v>44197</v>
      </c>
      <c r="C28" s="21">
        <v>104157</v>
      </c>
      <c r="D28" s="21">
        <v>104167</v>
      </c>
      <c r="E28" s="23">
        <f t="shared" si="5"/>
        <v>-9.599969280098303E-05</v>
      </c>
      <c r="F28" s="21">
        <f>+C28-51234</f>
        <v>52923</v>
      </c>
      <c r="G28" s="21">
        <f>+D28-50647</f>
        <v>53520</v>
      </c>
      <c r="H28" s="23">
        <f t="shared" si="6"/>
        <v>-0.011154708520179373</v>
      </c>
      <c r="I28" s="24">
        <f t="shared" si="7"/>
        <v>68.07798611711166</v>
      </c>
      <c r="J28" s="24">
        <f t="shared" si="8"/>
        <v>133.98331160365058</v>
      </c>
      <c r="K28" s="21">
        <v>7090798.8</v>
      </c>
      <c r="L28" s="21">
        <v>5634558.9</v>
      </c>
      <c r="M28" s="25">
        <f t="shared" si="9"/>
        <v>0.25844789731455275</v>
      </c>
      <c r="N28" s="10"/>
      <c r="R28" s="2"/>
    </row>
    <row r="29" spans="1:18" ht="15.75">
      <c r="A29" s="19"/>
      <c r="B29" s="20">
        <f>DATE(2021,2,1)</f>
        <v>44228</v>
      </c>
      <c r="C29" s="21">
        <v>88005</v>
      </c>
      <c r="D29" s="21">
        <v>123497</v>
      </c>
      <c r="E29" s="23">
        <f t="shared" si="5"/>
        <v>-0.28739159655700136</v>
      </c>
      <c r="F29" s="21">
        <f>+C29-42481</f>
        <v>45524</v>
      </c>
      <c r="G29" s="21">
        <f>+D29-60781</f>
        <v>62716</v>
      </c>
      <c r="H29" s="23">
        <f t="shared" si="6"/>
        <v>-0.27412462529498055</v>
      </c>
      <c r="I29" s="24">
        <f t="shared" si="7"/>
        <v>67.96963070280097</v>
      </c>
      <c r="J29" s="24">
        <f t="shared" si="8"/>
        <v>131.3959087514278</v>
      </c>
      <c r="K29" s="21">
        <v>5981667.35</v>
      </c>
      <c r="L29" s="21">
        <v>6710984.57</v>
      </c>
      <c r="M29" s="25">
        <f t="shared" si="9"/>
        <v>-0.10867514481559903</v>
      </c>
      <c r="N29" s="10"/>
      <c r="R29" s="2"/>
    </row>
    <row r="30" spans="1:18" ht="15.75">
      <c r="A30" s="19"/>
      <c r="B30" s="20">
        <f>DATE(2021,3,1)</f>
        <v>44256</v>
      </c>
      <c r="C30" s="21">
        <v>126994</v>
      </c>
      <c r="D30" s="21">
        <v>60616</v>
      </c>
      <c r="E30" s="23">
        <f t="shared" si="5"/>
        <v>1.0950574105846642</v>
      </c>
      <c r="F30" s="21">
        <f>+C30-62056</f>
        <v>64938</v>
      </c>
      <c r="G30" s="21">
        <f>+D30-29274</f>
        <v>31342</v>
      </c>
      <c r="H30" s="23">
        <f t="shared" si="6"/>
        <v>1.0719162784761662</v>
      </c>
      <c r="I30" s="24">
        <f t="shared" si="7"/>
        <v>69.77687103327717</v>
      </c>
      <c r="J30" s="24">
        <f t="shared" si="8"/>
        <v>136.45698912809144</v>
      </c>
      <c r="K30" s="21">
        <v>8861243.96</v>
      </c>
      <c r="L30" s="21">
        <v>3544071.9</v>
      </c>
      <c r="M30" s="25">
        <f t="shared" si="9"/>
        <v>1.5003002788967121</v>
      </c>
      <c r="N30" s="10"/>
      <c r="R30" s="2"/>
    </row>
    <row r="31" spans="1:18" ht="15.75">
      <c r="A31" s="19"/>
      <c r="B31" s="20">
        <f>DATE(2021,4,1)</f>
        <v>44287</v>
      </c>
      <c r="C31" s="21">
        <v>116596</v>
      </c>
      <c r="D31" s="21">
        <v>0</v>
      </c>
      <c r="E31" s="23">
        <v>1</v>
      </c>
      <c r="F31" s="21">
        <f>+C31-57638</f>
        <v>58958</v>
      </c>
      <c r="G31" s="21">
        <v>0</v>
      </c>
      <c r="H31" s="23">
        <v>1</v>
      </c>
      <c r="I31" s="24">
        <f t="shared" si="7"/>
        <v>72.3965026244468</v>
      </c>
      <c r="J31" s="24">
        <f t="shared" si="8"/>
        <v>143.17213304386172</v>
      </c>
      <c r="K31" s="21">
        <v>8441142.62</v>
      </c>
      <c r="L31" s="21">
        <v>0</v>
      </c>
      <c r="M31" s="25">
        <v>1</v>
      </c>
      <c r="N31" s="10"/>
      <c r="R31" s="2"/>
    </row>
    <row r="32" spans="1:18" ht="15.75" customHeight="1" thickBot="1">
      <c r="A32" s="19"/>
      <c r="B32" s="20"/>
      <c r="C32" s="21"/>
      <c r="D32" s="21"/>
      <c r="E32" s="23"/>
      <c r="F32" s="21"/>
      <c r="G32" s="21"/>
      <c r="H32" s="23"/>
      <c r="I32" s="24"/>
      <c r="J32" s="24"/>
      <c r="K32" s="21"/>
      <c r="L32" s="21"/>
      <c r="M32" s="25"/>
      <c r="N32" s="10"/>
      <c r="R32" s="2"/>
    </row>
    <row r="33" spans="1:18" ht="17.25" customHeight="1" thickBot="1" thickTop="1">
      <c r="A33" s="26" t="s">
        <v>14</v>
      </c>
      <c r="B33" s="27"/>
      <c r="C33" s="28">
        <f>SUM(C22:C32)</f>
        <v>941726</v>
      </c>
      <c r="D33" s="28">
        <f>SUM(D22:D32)</f>
        <v>1010737</v>
      </c>
      <c r="E33" s="279">
        <f>(+C33-D33)/D33</f>
        <v>-0.06827790018570608</v>
      </c>
      <c r="F33" s="28">
        <f>SUM(F22:F32)</f>
        <v>486131</v>
      </c>
      <c r="G33" s="28">
        <f>SUM(G22:G32)</f>
        <v>523617</v>
      </c>
      <c r="H33" s="30">
        <f>(+F33-G33)/G33</f>
        <v>-0.071590494579053</v>
      </c>
      <c r="I33" s="31">
        <f>K33/C33</f>
        <v>68.72679834686522</v>
      </c>
      <c r="J33" s="31">
        <f>K33/F33</f>
        <v>133.1365679209925</v>
      </c>
      <c r="K33" s="28">
        <f>SUM(K22:K32)</f>
        <v>64721812.9</v>
      </c>
      <c r="L33" s="28">
        <f>SUM(L22:L32)</f>
        <v>54924941.050000004</v>
      </c>
      <c r="M33" s="32">
        <f>(+K33-L33)/L33</f>
        <v>0.17836836349230809</v>
      </c>
      <c r="N33" s="10"/>
      <c r="R33" s="2"/>
    </row>
    <row r="34" spans="1:18" ht="15.75" customHeight="1" thickTop="1">
      <c r="A34" s="33"/>
      <c r="B34" s="34"/>
      <c r="C34" s="35"/>
      <c r="D34" s="35"/>
      <c r="E34" s="29"/>
      <c r="F34" s="35"/>
      <c r="G34" s="35"/>
      <c r="H34" s="29"/>
      <c r="I34" s="36"/>
      <c r="J34" s="36"/>
      <c r="K34" s="35"/>
      <c r="L34" s="35"/>
      <c r="M34" s="37"/>
      <c r="N34" s="10"/>
      <c r="R34" s="2"/>
    </row>
    <row r="35" spans="1:18" ht="15.75" customHeight="1">
      <c r="A35" s="19" t="s">
        <v>65</v>
      </c>
      <c r="B35" s="20">
        <f>DATE(2020,7,1)</f>
        <v>44013</v>
      </c>
      <c r="C35" s="21">
        <v>53105</v>
      </c>
      <c r="D35" s="21">
        <v>66822</v>
      </c>
      <c r="E35" s="23">
        <f aca="true" t="shared" si="10" ref="E35:E43">(+C35-D35)/D35</f>
        <v>-0.20527670527670527</v>
      </c>
      <c r="F35" s="21">
        <f>+C35-28880</f>
        <v>24225</v>
      </c>
      <c r="G35" s="21">
        <f>+D35-35692</f>
        <v>31130</v>
      </c>
      <c r="H35" s="23">
        <f aca="true" t="shared" si="11" ref="H35:H43">(+F35-G35)/G35</f>
        <v>-0.2218117571474462</v>
      </c>
      <c r="I35" s="24">
        <f aca="true" t="shared" si="12" ref="I35:I44">K35/C35</f>
        <v>65.30000188306187</v>
      </c>
      <c r="J35" s="24">
        <f aca="true" t="shared" si="13" ref="J35:J44">K35/F35</f>
        <v>143.14784726522188</v>
      </c>
      <c r="K35" s="21">
        <v>3467756.6</v>
      </c>
      <c r="L35" s="21">
        <v>3260452.77</v>
      </c>
      <c r="M35" s="25">
        <f aca="true" t="shared" si="14" ref="M35:M43">(+K35-L35)/L35</f>
        <v>0.06358130131724009</v>
      </c>
      <c r="N35" s="10"/>
      <c r="R35" s="2"/>
    </row>
    <row r="36" spans="1:18" ht="15.75" customHeight="1">
      <c r="A36" s="19"/>
      <c r="B36" s="20">
        <f>DATE(2020,8,1)</f>
        <v>44044</v>
      </c>
      <c r="C36" s="21">
        <v>52610</v>
      </c>
      <c r="D36" s="21">
        <v>69025</v>
      </c>
      <c r="E36" s="23">
        <f t="shared" si="10"/>
        <v>-0.23781238681637087</v>
      </c>
      <c r="F36" s="21">
        <f>+C36-28661</f>
        <v>23949</v>
      </c>
      <c r="G36" s="21">
        <f>+D36-37871</f>
        <v>31154</v>
      </c>
      <c r="H36" s="23">
        <f t="shared" si="11"/>
        <v>-0.2312704628619118</v>
      </c>
      <c r="I36" s="24">
        <f t="shared" si="12"/>
        <v>62.65578787302794</v>
      </c>
      <c r="J36" s="24">
        <f t="shared" si="13"/>
        <v>137.6391916155163</v>
      </c>
      <c r="K36" s="21">
        <v>3296321</v>
      </c>
      <c r="L36" s="21">
        <v>3222586.84</v>
      </c>
      <c r="M36" s="25">
        <f t="shared" si="14"/>
        <v>0.022880426086516307</v>
      </c>
      <c r="N36" s="10"/>
      <c r="R36" s="2"/>
    </row>
    <row r="37" spans="1:18" ht="15.75" customHeight="1">
      <c r="A37" s="19"/>
      <c r="B37" s="20">
        <f>DATE(2020,9,1)</f>
        <v>44075</v>
      </c>
      <c r="C37" s="21">
        <v>50852</v>
      </c>
      <c r="D37" s="21">
        <v>65573</v>
      </c>
      <c r="E37" s="23">
        <f t="shared" si="10"/>
        <v>-0.22449788785018224</v>
      </c>
      <c r="F37" s="21">
        <f>+C37-27986</f>
        <v>22866</v>
      </c>
      <c r="G37" s="21">
        <f>+D37-35939</f>
        <v>29634</v>
      </c>
      <c r="H37" s="23">
        <f t="shared" si="11"/>
        <v>-0.22838631301882972</v>
      </c>
      <c r="I37" s="24">
        <f t="shared" si="12"/>
        <v>60.968254542594195</v>
      </c>
      <c r="J37" s="24">
        <f t="shared" si="13"/>
        <v>135.58810810810812</v>
      </c>
      <c r="K37" s="21">
        <v>3100357.68</v>
      </c>
      <c r="L37" s="21">
        <v>3112007.99</v>
      </c>
      <c r="M37" s="25">
        <f t="shared" si="14"/>
        <v>-0.003743663267394135</v>
      </c>
      <c r="N37" s="10"/>
      <c r="R37" s="2"/>
    </row>
    <row r="38" spans="1:18" ht="15.75" customHeight="1">
      <c r="A38" s="19"/>
      <c r="B38" s="20">
        <f>DATE(2020,10,1)</f>
        <v>44105</v>
      </c>
      <c r="C38" s="21">
        <v>51263</v>
      </c>
      <c r="D38" s="21">
        <v>62861</v>
      </c>
      <c r="E38" s="23">
        <f t="shared" si="10"/>
        <v>-0.1845023146306931</v>
      </c>
      <c r="F38" s="21">
        <f>+C38-28269</f>
        <v>22994</v>
      </c>
      <c r="G38" s="21">
        <f>+D38-34390</f>
        <v>28471</v>
      </c>
      <c r="H38" s="23">
        <f t="shared" si="11"/>
        <v>-0.19237118471427067</v>
      </c>
      <c r="I38" s="24">
        <f t="shared" si="12"/>
        <v>65.90312564617756</v>
      </c>
      <c r="J38" s="24">
        <f t="shared" si="13"/>
        <v>146.92493389579892</v>
      </c>
      <c r="K38" s="21">
        <v>3378391.93</v>
      </c>
      <c r="L38" s="21">
        <v>3125609.18</v>
      </c>
      <c r="M38" s="25">
        <f t="shared" si="14"/>
        <v>0.08087471447725911</v>
      </c>
      <c r="N38" s="10"/>
      <c r="R38" s="2"/>
    </row>
    <row r="39" spans="1:18" ht="15.75" customHeight="1">
      <c r="A39" s="19"/>
      <c r="B39" s="20">
        <f>DATE(2020,11,1)</f>
        <v>44136</v>
      </c>
      <c r="C39" s="21">
        <v>45747</v>
      </c>
      <c r="D39" s="21">
        <v>64340</v>
      </c>
      <c r="E39" s="23">
        <f t="shared" si="10"/>
        <v>-0.2889804165371464</v>
      </c>
      <c r="F39" s="21">
        <f>+C39-25343</f>
        <v>20404</v>
      </c>
      <c r="G39" s="21">
        <f>+D39-35256</f>
        <v>29084</v>
      </c>
      <c r="H39" s="23">
        <f t="shared" si="11"/>
        <v>-0.298445880896713</v>
      </c>
      <c r="I39" s="24">
        <f t="shared" si="12"/>
        <v>66.6278142829038</v>
      </c>
      <c r="J39" s="24">
        <f t="shared" si="13"/>
        <v>149.3835826308567</v>
      </c>
      <c r="K39" s="21">
        <v>3048022.62</v>
      </c>
      <c r="L39" s="21">
        <v>3209514.95</v>
      </c>
      <c r="M39" s="25">
        <f t="shared" si="14"/>
        <v>-0.05031674022892464</v>
      </c>
      <c r="N39" s="10"/>
      <c r="R39" s="2"/>
    </row>
    <row r="40" spans="1:18" ht="15.75" customHeight="1">
      <c r="A40" s="19"/>
      <c r="B40" s="20">
        <f>DATE(2020,12,1)</f>
        <v>44166</v>
      </c>
      <c r="C40" s="21">
        <v>50018</v>
      </c>
      <c r="D40" s="21">
        <v>68470</v>
      </c>
      <c r="E40" s="23">
        <f t="shared" si="10"/>
        <v>-0.2694902877172484</v>
      </c>
      <c r="F40" s="21">
        <f>+C40-28141</f>
        <v>21877</v>
      </c>
      <c r="G40" s="21">
        <f>+D40-38903</f>
        <v>29567</v>
      </c>
      <c r="H40" s="23">
        <f t="shared" si="11"/>
        <v>-0.2600872594446511</v>
      </c>
      <c r="I40" s="24">
        <f t="shared" si="12"/>
        <v>67.19983865808308</v>
      </c>
      <c r="J40" s="24">
        <f t="shared" si="13"/>
        <v>153.6408799195502</v>
      </c>
      <c r="K40" s="21">
        <v>3361201.53</v>
      </c>
      <c r="L40" s="21">
        <v>3422072.19</v>
      </c>
      <c r="M40" s="25">
        <f t="shared" si="14"/>
        <v>-0.017787660990284414</v>
      </c>
      <c r="N40" s="10"/>
      <c r="R40" s="2"/>
    </row>
    <row r="41" spans="1:18" ht="15.75" customHeight="1">
      <c r="A41" s="19"/>
      <c r="B41" s="20">
        <f>DATE(2021,1,1)</f>
        <v>44197</v>
      </c>
      <c r="C41" s="21">
        <v>63172</v>
      </c>
      <c r="D41" s="21">
        <v>64187</v>
      </c>
      <c r="E41" s="23">
        <f t="shared" si="10"/>
        <v>-0.015813170891301978</v>
      </c>
      <c r="F41" s="21">
        <f>+C41-35403</f>
        <v>27769</v>
      </c>
      <c r="G41" s="21">
        <f>+D41-35543</f>
        <v>28644</v>
      </c>
      <c r="H41" s="23">
        <f t="shared" si="11"/>
        <v>-0.030547409579667645</v>
      </c>
      <c r="I41" s="24">
        <f t="shared" si="12"/>
        <v>64.66828642436523</v>
      </c>
      <c r="J41" s="24">
        <f t="shared" si="13"/>
        <v>147.11458784976054</v>
      </c>
      <c r="K41" s="21">
        <v>4085224.99</v>
      </c>
      <c r="L41" s="21">
        <v>3230178.48</v>
      </c>
      <c r="M41" s="25">
        <f t="shared" si="14"/>
        <v>0.264705654902388</v>
      </c>
      <c r="N41" s="10"/>
      <c r="R41" s="2"/>
    </row>
    <row r="42" spans="1:18" ht="15.75" customHeight="1">
      <c r="A42" s="19"/>
      <c r="B42" s="20">
        <f>DATE(2021,2,1)</f>
        <v>44228</v>
      </c>
      <c r="C42" s="21">
        <v>41909</v>
      </c>
      <c r="D42" s="21">
        <v>69479</v>
      </c>
      <c r="E42" s="23">
        <f t="shared" si="10"/>
        <v>-0.3968105470717771</v>
      </c>
      <c r="F42" s="21">
        <f>+C42-23822</f>
        <v>18087</v>
      </c>
      <c r="G42" s="21">
        <f>+D42-38484</f>
        <v>30995</v>
      </c>
      <c r="H42" s="23">
        <f t="shared" si="11"/>
        <v>-0.4164542668172286</v>
      </c>
      <c r="I42" s="24">
        <f t="shared" si="12"/>
        <v>72.3403808251211</v>
      </c>
      <c r="J42" s="24">
        <f t="shared" si="13"/>
        <v>167.61834577320727</v>
      </c>
      <c r="K42" s="21">
        <v>3031713.02</v>
      </c>
      <c r="L42" s="21">
        <v>3514551.72</v>
      </c>
      <c r="M42" s="25">
        <f t="shared" si="14"/>
        <v>-0.1373827271490545</v>
      </c>
      <c r="N42" s="10"/>
      <c r="R42" s="2"/>
    </row>
    <row r="43" spans="1:18" ht="15.75" customHeight="1">
      <c r="A43" s="19"/>
      <c r="B43" s="20">
        <f>DATE(2021,3,1)</f>
        <v>44256</v>
      </c>
      <c r="C43" s="21">
        <v>74273</v>
      </c>
      <c r="D43" s="21">
        <v>36516</v>
      </c>
      <c r="E43" s="23">
        <f t="shared" si="10"/>
        <v>1.0339851024208566</v>
      </c>
      <c r="F43" s="21">
        <f>+C43-40831</f>
        <v>33442</v>
      </c>
      <c r="G43" s="21">
        <f>+D43-19752</f>
        <v>16764</v>
      </c>
      <c r="H43" s="23">
        <f t="shared" si="11"/>
        <v>0.9948699594368886</v>
      </c>
      <c r="I43" s="24">
        <f t="shared" si="12"/>
        <v>71.98286120124406</v>
      </c>
      <c r="J43" s="24">
        <f t="shared" si="13"/>
        <v>159.870314275462</v>
      </c>
      <c r="K43" s="21">
        <v>5346383.05</v>
      </c>
      <c r="L43" s="21">
        <v>1906619.08</v>
      </c>
      <c r="M43" s="25">
        <f t="shared" si="14"/>
        <v>1.8041170394665302</v>
      </c>
      <c r="N43" s="10"/>
      <c r="R43" s="2"/>
    </row>
    <row r="44" spans="1:18" ht="15.75" customHeight="1">
      <c r="A44" s="19"/>
      <c r="B44" s="20">
        <f>DATE(2021,4,1)</f>
        <v>44287</v>
      </c>
      <c r="C44" s="21">
        <v>72861</v>
      </c>
      <c r="D44" s="21">
        <v>0</v>
      </c>
      <c r="E44" s="23">
        <v>1</v>
      </c>
      <c r="F44" s="21">
        <f>+C44-40086</f>
        <v>32775</v>
      </c>
      <c r="G44" s="21">
        <v>0</v>
      </c>
      <c r="H44" s="23">
        <v>1</v>
      </c>
      <c r="I44" s="24">
        <f t="shared" si="12"/>
        <v>73.90248747615321</v>
      </c>
      <c r="J44" s="24">
        <f t="shared" si="13"/>
        <v>164.29013394355454</v>
      </c>
      <c r="K44" s="21">
        <v>5384609.14</v>
      </c>
      <c r="L44" s="21">
        <v>0</v>
      </c>
      <c r="M44" s="25">
        <v>1</v>
      </c>
      <c r="N44" s="10"/>
      <c r="R44" s="2"/>
    </row>
    <row r="45" spans="1:18" ht="15.75" customHeight="1" thickBot="1">
      <c r="A45" s="38"/>
      <c r="B45" s="20"/>
      <c r="C45" s="21"/>
      <c r="D45" s="21"/>
      <c r="E45" s="23"/>
      <c r="F45" s="21"/>
      <c r="G45" s="21"/>
      <c r="H45" s="23"/>
      <c r="I45" s="24"/>
      <c r="J45" s="24"/>
      <c r="K45" s="21"/>
      <c r="L45" s="21"/>
      <c r="M45" s="25"/>
      <c r="N45" s="10"/>
      <c r="R45" s="2"/>
    </row>
    <row r="46" spans="1:18" ht="17.25" customHeight="1" thickBot="1" thickTop="1">
      <c r="A46" s="39" t="s">
        <v>14</v>
      </c>
      <c r="B46" s="40"/>
      <c r="C46" s="41">
        <f>SUM(C35:C45)</f>
        <v>555810</v>
      </c>
      <c r="D46" s="41">
        <f>SUM(D35:D45)</f>
        <v>567273</v>
      </c>
      <c r="E46" s="280">
        <f>(+C46-D46)/D46</f>
        <v>-0.020207201823460662</v>
      </c>
      <c r="F46" s="41">
        <f>SUM(F35:F45)</f>
        <v>248388</v>
      </c>
      <c r="G46" s="41">
        <f>SUM(G35:G45)</f>
        <v>255443</v>
      </c>
      <c r="H46" s="42">
        <f>(+F46-G46)/G46</f>
        <v>-0.027618685969081166</v>
      </c>
      <c r="I46" s="43">
        <f>K46/C46</f>
        <v>67.4690659757831</v>
      </c>
      <c r="J46" s="43">
        <f>K46/F46</f>
        <v>150.97340274087315</v>
      </c>
      <c r="K46" s="41">
        <f>SUM(K35:K45)</f>
        <v>37499981.56</v>
      </c>
      <c r="L46" s="41">
        <f>SUM(L35:L45)</f>
        <v>28003593.200000003</v>
      </c>
      <c r="M46" s="44">
        <f>(+K46-L46)/L46</f>
        <v>0.33911320922916416</v>
      </c>
      <c r="N46" s="10"/>
      <c r="R46" s="2"/>
    </row>
    <row r="47" spans="1:18" ht="15.75" customHeight="1" thickTop="1">
      <c r="A47" s="38"/>
      <c r="B47" s="45"/>
      <c r="C47" s="21"/>
      <c r="D47" s="21"/>
      <c r="E47" s="23"/>
      <c r="F47" s="21"/>
      <c r="G47" s="21"/>
      <c r="H47" s="23"/>
      <c r="I47" s="24"/>
      <c r="J47" s="24"/>
      <c r="K47" s="21"/>
      <c r="L47" s="21"/>
      <c r="M47" s="25"/>
      <c r="N47" s="10"/>
      <c r="R47" s="2"/>
    </row>
    <row r="48" spans="1:18" ht="15.75" customHeight="1">
      <c r="A48" s="177" t="s">
        <v>59</v>
      </c>
      <c r="B48" s="20">
        <f>DATE(2020,7,1)</f>
        <v>44013</v>
      </c>
      <c r="C48" s="21">
        <v>226236</v>
      </c>
      <c r="D48" s="21">
        <v>438217</v>
      </c>
      <c r="E48" s="23">
        <f aca="true" t="shared" si="15" ref="E48:E56">(+C48-D48)/D48</f>
        <v>-0.4837352270678682</v>
      </c>
      <c r="F48" s="21">
        <f>+C48-121061</f>
        <v>105175</v>
      </c>
      <c r="G48" s="21">
        <f>+D48-221917</f>
        <v>216300</v>
      </c>
      <c r="H48" s="23">
        <f aca="true" t="shared" si="16" ref="H48:H56">(+F48-G48)/G48</f>
        <v>-0.5137540453074434</v>
      </c>
      <c r="I48" s="24">
        <f aca="true" t="shared" si="17" ref="I48:I57">K48/C48</f>
        <v>64.44125139235135</v>
      </c>
      <c r="J48" s="24">
        <f aca="true" t="shared" si="18" ref="J48:J57">K48/F48</f>
        <v>138.615934870454</v>
      </c>
      <c r="K48" s="21">
        <v>14578930.95</v>
      </c>
      <c r="L48" s="21">
        <v>20447051.25</v>
      </c>
      <c r="M48" s="25">
        <f aca="true" t="shared" si="19" ref="M48:M56">(+K48-L48)/L48</f>
        <v>-0.2869910300635648</v>
      </c>
      <c r="N48" s="10"/>
      <c r="R48" s="2"/>
    </row>
    <row r="49" spans="1:18" ht="15.75" customHeight="1">
      <c r="A49" s="177"/>
      <c r="B49" s="20">
        <f>DATE(2020,8,1)</f>
        <v>44044</v>
      </c>
      <c r="C49" s="21">
        <v>248866</v>
      </c>
      <c r="D49" s="21">
        <v>437029</v>
      </c>
      <c r="E49" s="23">
        <f t="shared" si="15"/>
        <v>-0.43055037537554713</v>
      </c>
      <c r="F49" s="21">
        <f>+C49-132898</f>
        <v>115968</v>
      </c>
      <c r="G49" s="21">
        <f>+D49-215022</f>
        <v>222007</v>
      </c>
      <c r="H49" s="23">
        <f t="shared" si="16"/>
        <v>-0.47763809249257905</v>
      </c>
      <c r="I49" s="24">
        <f t="shared" si="17"/>
        <v>60.671518688772274</v>
      </c>
      <c r="J49" s="24">
        <f t="shared" si="18"/>
        <v>130.20038433016003</v>
      </c>
      <c r="K49" s="21">
        <v>15099078.17</v>
      </c>
      <c r="L49" s="21">
        <v>21337482.58</v>
      </c>
      <c r="M49" s="25">
        <f t="shared" si="19"/>
        <v>-0.292368342263926</v>
      </c>
      <c r="N49" s="10"/>
      <c r="R49" s="2"/>
    </row>
    <row r="50" spans="1:18" ht="15.75" customHeight="1">
      <c r="A50" s="177"/>
      <c r="B50" s="20">
        <f>DATE(2020,9,1)</f>
        <v>44075</v>
      </c>
      <c r="C50" s="21">
        <v>249571</v>
      </c>
      <c r="D50" s="21">
        <v>403849</v>
      </c>
      <c r="E50" s="23">
        <f t="shared" si="15"/>
        <v>-0.38201902196117854</v>
      </c>
      <c r="F50" s="21">
        <f>+C50-130815</f>
        <v>118756</v>
      </c>
      <c r="G50" s="21">
        <f>+D50-198275</f>
        <v>205574</v>
      </c>
      <c r="H50" s="23">
        <f t="shared" si="16"/>
        <v>-0.4223199431834765</v>
      </c>
      <c r="I50" s="24">
        <f t="shared" si="17"/>
        <v>59.83278978727496</v>
      </c>
      <c r="J50" s="24">
        <f t="shared" si="18"/>
        <v>125.74126090471218</v>
      </c>
      <c r="K50" s="21">
        <v>14932529.18</v>
      </c>
      <c r="L50" s="21">
        <v>18931793.91</v>
      </c>
      <c r="M50" s="25">
        <f t="shared" si="19"/>
        <v>-0.21124594684540385</v>
      </c>
      <c r="N50" s="10"/>
      <c r="R50" s="2"/>
    </row>
    <row r="51" spans="1:18" ht="15.75" customHeight="1">
      <c r="A51" s="177"/>
      <c r="B51" s="20">
        <f>DATE(2020,10,1)</f>
        <v>44105</v>
      </c>
      <c r="C51" s="21">
        <v>272084</v>
      </c>
      <c r="D51" s="21">
        <v>396586</v>
      </c>
      <c r="E51" s="23">
        <f t="shared" si="15"/>
        <v>-0.3139344303631495</v>
      </c>
      <c r="F51" s="21">
        <f>+C51-143559</f>
        <v>128525</v>
      </c>
      <c r="G51" s="21">
        <f>+D51-195500</f>
        <v>201086</v>
      </c>
      <c r="H51" s="23">
        <f t="shared" si="16"/>
        <v>-0.36084560834667756</v>
      </c>
      <c r="I51" s="24">
        <f t="shared" si="17"/>
        <v>58.30803149027506</v>
      </c>
      <c r="J51" s="24">
        <f t="shared" si="18"/>
        <v>123.43654884263762</v>
      </c>
      <c r="K51" s="21">
        <v>15864682.44</v>
      </c>
      <c r="L51" s="21">
        <v>19033251.55</v>
      </c>
      <c r="M51" s="25">
        <f t="shared" si="19"/>
        <v>-0.16647544964538658</v>
      </c>
      <c r="N51" s="10"/>
      <c r="R51" s="2"/>
    </row>
    <row r="52" spans="1:18" ht="15.75" customHeight="1">
      <c r="A52" s="177"/>
      <c r="B52" s="20">
        <f>DATE(2020,11,1)</f>
        <v>44136</v>
      </c>
      <c r="C52" s="21">
        <v>232899</v>
      </c>
      <c r="D52" s="21">
        <v>419787</v>
      </c>
      <c r="E52" s="23">
        <f t="shared" si="15"/>
        <v>-0.44519720715505723</v>
      </c>
      <c r="F52" s="21">
        <f>+C52-123557</f>
        <v>109342</v>
      </c>
      <c r="G52" s="21">
        <f>+D52-213343</f>
        <v>206444</v>
      </c>
      <c r="H52" s="23">
        <f t="shared" si="16"/>
        <v>-0.4703551568464087</v>
      </c>
      <c r="I52" s="24">
        <f t="shared" si="17"/>
        <v>58.263514184260124</v>
      </c>
      <c r="J52" s="24">
        <f t="shared" si="18"/>
        <v>124.10157295458286</v>
      </c>
      <c r="K52" s="21">
        <v>13569514.19</v>
      </c>
      <c r="L52" s="21">
        <v>20240058.13</v>
      </c>
      <c r="M52" s="25">
        <f t="shared" si="19"/>
        <v>-0.32957138251064894</v>
      </c>
      <c r="N52" s="10"/>
      <c r="R52" s="2"/>
    </row>
    <row r="53" spans="1:18" ht="15.75" customHeight="1">
      <c r="A53" s="177"/>
      <c r="B53" s="20">
        <f>DATE(2020,12,1)</f>
        <v>44166</v>
      </c>
      <c r="C53" s="21">
        <v>226657</v>
      </c>
      <c r="D53" s="21">
        <v>398020</v>
      </c>
      <c r="E53" s="23">
        <f t="shared" si="15"/>
        <v>-0.43053866639867344</v>
      </c>
      <c r="F53" s="21">
        <f>+C53-116839</f>
        <v>109818</v>
      </c>
      <c r="G53" s="21">
        <f>+D53-203674</f>
        <v>194346</v>
      </c>
      <c r="H53" s="23">
        <f t="shared" si="16"/>
        <v>-0.43493563026766696</v>
      </c>
      <c r="I53" s="24">
        <f t="shared" si="17"/>
        <v>64.91430231583405</v>
      </c>
      <c r="J53" s="24">
        <f t="shared" si="18"/>
        <v>133.9787741535996</v>
      </c>
      <c r="K53" s="21">
        <v>14713281.02</v>
      </c>
      <c r="L53" s="21">
        <v>19602359.64</v>
      </c>
      <c r="M53" s="25">
        <f t="shared" si="19"/>
        <v>-0.24941275998342008</v>
      </c>
      <c r="N53" s="10"/>
      <c r="R53" s="2"/>
    </row>
    <row r="54" spans="1:18" ht="15.75" customHeight="1">
      <c r="A54" s="177"/>
      <c r="B54" s="20">
        <f>DATE(2021,1,1)</f>
        <v>44197</v>
      </c>
      <c r="C54" s="21">
        <v>237906</v>
      </c>
      <c r="D54" s="21">
        <v>392807</v>
      </c>
      <c r="E54" s="23">
        <f t="shared" si="15"/>
        <v>-0.39434378715246926</v>
      </c>
      <c r="F54" s="21">
        <f>+C54-125011</f>
        <v>112895</v>
      </c>
      <c r="G54" s="21">
        <f>+D54-203293</f>
        <v>189514</v>
      </c>
      <c r="H54" s="23">
        <f t="shared" si="16"/>
        <v>-0.4042920311955845</v>
      </c>
      <c r="I54" s="24">
        <f t="shared" si="17"/>
        <v>61.05359267946164</v>
      </c>
      <c r="J54" s="24">
        <f t="shared" si="18"/>
        <v>128.65951565614066</v>
      </c>
      <c r="K54" s="21">
        <v>14525016.02</v>
      </c>
      <c r="L54" s="21">
        <v>19127515.22</v>
      </c>
      <c r="M54" s="25">
        <f t="shared" si="19"/>
        <v>-0.24062190760604185</v>
      </c>
      <c r="N54" s="10"/>
      <c r="R54" s="2"/>
    </row>
    <row r="55" spans="1:18" ht="15.75" customHeight="1">
      <c r="A55" s="177"/>
      <c r="B55" s="20">
        <f>DATE(2021,2,1)</f>
        <v>44228</v>
      </c>
      <c r="C55" s="21">
        <v>199774</v>
      </c>
      <c r="D55" s="21">
        <v>433656</v>
      </c>
      <c r="E55" s="23">
        <f t="shared" si="15"/>
        <v>-0.5393261017949711</v>
      </c>
      <c r="F55" s="21">
        <f>+C55-106979</f>
        <v>92795</v>
      </c>
      <c r="G55" s="21">
        <f>+D55-224157</f>
        <v>209499</v>
      </c>
      <c r="H55" s="23">
        <f t="shared" si="16"/>
        <v>-0.5570623248798323</v>
      </c>
      <c r="I55" s="24">
        <f t="shared" si="17"/>
        <v>59.77534413887693</v>
      </c>
      <c r="J55" s="24">
        <f t="shared" si="18"/>
        <v>128.6875327334447</v>
      </c>
      <c r="K55" s="21">
        <v>11941559.6</v>
      </c>
      <c r="L55" s="21">
        <v>20615850.09</v>
      </c>
      <c r="M55" s="25">
        <f t="shared" si="19"/>
        <v>-0.4207583219771075</v>
      </c>
      <c r="N55" s="10"/>
      <c r="R55" s="2"/>
    </row>
    <row r="56" spans="1:18" ht="15.75" customHeight="1">
      <c r="A56" s="177"/>
      <c r="B56" s="20">
        <f>DATE(2021,3,1)</f>
        <v>44256</v>
      </c>
      <c r="C56" s="21">
        <v>270587</v>
      </c>
      <c r="D56" s="21">
        <v>188413</v>
      </c>
      <c r="E56" s="23">
        <f t="shared" si="15"/>
        <v>0.4361376338150765</v>
      </c>
      <c r="F56" s="21">
        <f>+C56-144521</f>
        <v>126066</v>
      </c>
      <c r="G56" s="21">
        <f>+D56-94334</f>
        <v>94079</v>
      </c>
      <c r="H56" s="23">
        <f t="shared" si="16"/>
        <v>0.3400014881110556</v>
      </c>
      <c r="I56" s="24">
        <f t="shared" si="17"/>
        <v>64.94573183486271</v>
      </c>
      <c r="J56" s="24">
        <f t="shared" si="18"/>
        <v>139.3989714911237</v>
      </c>
      <c r="K56" s="21">
        <v>17573470.74</v>
      </c>
      <c r="L56" s="21">
        <v>9518141.29</v>
      </c>
      <c r="M56" s="25">
        <f t="shared" si="19"/>
        <v>0.8463132879171622</v>
      </c>
      <c r="N56" s="10"/>
      <c r="R56" s="2"/>
    </row>
    <row r="57" spans="1:18" ht="15.75" customHeight="1">
      <c r="A57" s="177"/>
      <c r="B57" s="20">
        <f>DATE(2021,4,1)</f>
        <v>44287</v>
      </c>
      <c r="C57" s="21">
        <v>290986</v>
      </c>
      <c r="D57" s="21">
        <v>0</v>
      </c>
      <c r="E57" s="23">
        <v>1</v>
      </c>
      <c r="F57" s="21">
        <f>+C57-160080</f>
        <v>130906</v>
      </c>
      <c r="G57" s="21">
        <v>0</v>
      </c>
      <c r="H57" s="23">
        <v>1</v>
      </c>
      <c r="I57" s="24">
        <f t="shared" si="17"/>
        <v>60.90149522657447</v>
      </c>
      <c r="J57" s="24">
        <f t="shared" si="18"/>
        <v>135.3756320565902</v>
      </c>
      <c r="K57" s="21">
        <v>17721482.49</v>
      </c>
      <c r="L57" s="21">
        <v>0</v>
      </c>
      <c r="M57" s="25">
        <v>1</v>
      </c>
      <c r="N57" s="10"/>
      <c r="R57" s="2"/>
    </row>
    <row r="58" spans="1:18" ht="15.75" thickBot="1">
      <c r="A58" s="38"/>
      <c r="B58" s="45"/>
      <c r="C58" s="21"/>
      <c r="D58" s="21"/>
      <c r="E58" s="23"/>
      <c r="F58" s="21"/>
      <c r="G58" s="21"/>
      <c r="H58" s="23"/>
      <c r="I58" s="24"/>
      <c r="J58" s="24"/>
      <c r="K58" s="21"/>
      <c r="L58" s="21"/>
      <c r="M58" s="25"/>
      <c r="N58" s="10"/>
      <c r="R58" s="2"/>
    </row>
    <row r="59" spans="1:18" ht="17.25" thickBot="1" thickTop="1">
      <c r="A59" s="39" t="s">
        <v>14</v>
      </c>
      <c r="B59" s="40"/>
      <c r="C59" s="41">
        <f>SUM(C48:C58)</f>
        <v>2455566</v>
      </c>
      <c r="D59" s="41">
        <f>SUM(D48:D58)</f>
        <v>3508364</v>
      </c>
      <c r="E59" s="280">
        <f>(+C59-D59)/D59</f>
        <v>-0.30008231757024073</v>
      </c>
      <c r="F59" s="41">
        <f>SUM(F48:F58)</f>
        <v>1150246</v>
      </c>
      <c r="G59" s="41">
        <f>SUM(G48:G58)</f>
        <v>1738849</v>
      </c>
      <c r="H59" s="42">
        <f>(+F59-G59)/G59</f>
        <v>-0.3385015030057239</v>
      </c>
      <c r="I59" s="43">
        <f>K59/C59</f>
        <v>61.297291459484285</v>
      </c>
      <c r="J59" s="43">
        <f>K59/F59</f>
        <v>130.85856834103313</v>
      </c>
      <c r="K59" s="41">
        <f>SUM(K48:K58)</f>
        <v>150519544.79999998</v>
      </c>
      <c r="L59" s="41">
        <f>SUM(L48:L58)</f>
        <v>168853503.65999997</v>
      </c>
      <c r="M59" s="44">
        <f>(+K59-L59)/L59</f>
        <v>-0.10857908460648158</v>
      </c>
      <c r="N59" s="10"/>
      <c r="R59" s="2"/>
    </row>
    <row r="60" spans="1:18" ht="15.75" thickTop="1">
      <c r="A60" s="38"/>
      <c r="B60" s="45"/>
      <c r="C60" s="21"/>
      <c r="D60" s="21"/>
      <c r="E60" s="23"/>
      <c r="F60" s="21"/>
      <c r="G60" s="21"/>
      <c r="H60" s="23"/>
      <c r="I60" s="24"/>
      <c r="J60" s="24"/>
      <c r="K60" s="21"/>
      <c r="L60" s="21"/>
      <c r="M60" s="25"/>
      <c r="N60" s="10"/>
      <c r="R60" s="2"/>
    </row>
    <row r="61" spans="1:18" ht="15.75">
      <c r="A61" s="19" t="s">
        <v>63</v>
      </c>
      <c r="B61" s="20">
        <f>DATE(2020,7,1)</f>
        <v>44013</v>
      </c>
      <c r="C61" s="21">
        <v>260785</v>
      </c>
      <c r="D61" s="21">
        <v>288759</v>
      </c>
      <c r="E61" s="23">
        <f aca="true" t="shared" si="20" ref="E61:E69">(+C61-D61)/D61</f>
        <v>-0.0968766341481997</v>
      </c>
      <c r="F61" s="21">
        <f>+C61-121006</f>
        <v>139779</v>
      </c>
      <c r="G61" s="21">
        <f>+D61-131177</f>
        <v>157582</v>
      </c>
      <c r="H61" s="23">
        <f aca="true" t="shared" si="21" ref="H61:H69">(+F61-G61)/G61</f>
        <v>-0.11297610133137033</v>
      </c>
      <c r="I61" s="24">
        <f aca="true" t="shared" si="22" ref="I61:I70">K61/C61</f>
        <v>60.58198320455548</v>
      </c>
      <c r="J61" s="24">
        <f aca="true" t="shared" si="23" ref="J61:J70">K61/F61</f>
        <v>113.02751121413088</v>
      </c>
      <c r="K61" s="21">
        <v>15798872.49</v>
      </c>
      <c r="L61" s="21">
        <v>14077474.74</v>
      </c>
      <c r="M61" s="25">
        <f aca="true" t="shared" si="24" ref="M61:M69">(+K61-L61)/L61</f>
        <v>0.12228029400108162</v>
      </c>
      <c r="N61" s="10"/>
      <c r="R61" s="2"/>
    </row>
    <row r="62" spans="1:18" ht="15.75">
      <c r="A62" s="19"/>
      <c r="B62" s="20">
        <f>DATE(2020,8,1)</f>
        <v>44044</v>
      </c>
      <c r="C62" s="21">
        <v>267898</v>
      </c>
      <c r="D62" s="21">
        <v>292957</v>
      </c>
      <c r="E62" s="23">
        <f t="shared" si="20"/>
        <v>-0.0855381506500954</v>
      </c>
      <c r="F62" s="21">
        <f>+C62-127416</f>
        <v>140482</v>
      </c>
      <c r="G62" s="21">
        <f>+D62-131852</f>
        <v>161105</v>
      </c>
      <c r="H62" s="23">
        <f t="shared" si="21"/>
        <v>-0.12800968312591168</v>
      </c>
      <c r="I62" s="24">
        <f t="shared" si="22"/>
        <v>58.20254679019627</v>
      </c>
      <c r="J62" s="24">
        <f t="shared" si="23"/>
        <v>110.99177033356587</v>
      </c>
      <c r="K62" s="21">
        <v>15592345.88</v>
      </c>
      <c r="L62" s="21">
        <v>15580367.26</v>
      </c>
      <c r="M62" s="25">
        <f t="shared" si="24"/>
        <v>0.0007688278331380645</v>
      </c>
      <c r="N62" s="10"/>
      <c r="R62" s="2"/>
    </row>
    <row r="63" spans="1:18" ht="15.75">
      <c r="A63" s="19"/>
      <c r="B63" s="20">
        <f>DATE(2020,9,1)</f>
        <v>44075</v>
      </c>
      <c r="C63" s="21">
        <v>245708</v>
      </c>
      <c r="D63" s="21">
        <v>276713</v>
      </c>
      <c r="E63" s="23">
        <f t="shared" si="20"/>
        <v>-0.11204750047883547</v>
      </c>
      <c r="F63" s="21">
        <f>+C63-116526</f>
        <v>129182</v>
      </c>
      <c r="G63" s="21">
        <f>+D63-125818</f>
        <v>150895</v>
      </c>
      <c r="H63" s="23">
        <f t="shared" si="21"/>
        <v>-0.1438947612578283</v>
      </c>
      <c r="I63" s="24">
        <f t="shared" si="22"/>
        <v>59.8318890715809</v>
      </c>
      <c r="J63" s="24">
        <f t="shared" si="23"/>
        <v>113.8020296945395</v>
      </c>
      <c r="K63" s="21">
        <v>14701173.8</v>
      </c>
      <c r="L63" s="21">
        <v>14642977.08</v>
      </c>
      <c r="M63" s="25">
        <f t="shared" si="24"/>
        <v>0.003974377592893198</v>
      </c>
      <c r="N63" s="10"/>
      <c r="R63" s="2"/>
    </row>
    <row r="64" spans="1:18" ht="15.75">
      <c r="A64" s="19"/>
      <c r="B64" s="20">
        <f>DATE(2020,10,1)</f>
        <v>44105</v>
      </c>
      <c r="C64" s="21">
        <v>252286</v>
      </c>
      <c r="D64" s="21">
        <v>265218</v>
      </c>
      <c r="E64" s="23">
        <f t="shared" si="20"/>
        <v>-0.04875988809206012</v>
      </c>
      <c r="F64" s="21">
        <f>+C64-116651</f>
        <v>135635</v>
      </c>
      <c r="G64" s="21">
        <f>+D64-120794</f>
        <v>144424</v>
      </c>
      <c r="H64" s="23">
        <f t="shared" si="21"/>
        <v>-0.060855536475931976</v>
      </c>
      <c r="I64" s="24">
        <f t="shared" si="22"/>
        <v>59.26903744163371</v>
      </c>
      <c r="J64" s="24">
        <f t="shared" si="23"/>
        <v>110.24255081652966</v>
      </c>
      <c r="K64" s="21">
        <v>14952748.38</v>
      </c>
      <c r="L64" s="21">
        <v>14675391.32</v>
      </c>
      <c r="M64" s="25">
        <f t="shared" si="24"/>
        <v>0.018899466048446095</v>
      </c>
      <c r="N64" s="10"/>
      <c r="R64" s="2"/>
    </row>
    <row r="65" spans="1:18" ht="15.75">
      <c r="A65" s="19"/>
      <c r="B65" s="20">
        <f>DATE(2020,11,1)</f>
        <v>44136</v>
      </c>
      <c r="C65" s="21">
        <v>229647</v>
      </c>
      <c r="D65" s="21">
        <v>288764</v>
      </c>
      <c r="E65" s="23">
        <f t="shared" si="20"/>
        <v>-0.20472427310883629</v>
      </c>
      <c r="F65" s="21">
        <f>+C65-106423</f>
        <v>123224</v>
      </c>
      <c r="G65" s="21">
        <f>+D65-130395</f>
        <v>158369</v>
      </c>
      <c r="H65" s="23">
        <f t="shared" si="21"/>
        <v>-0.22191843100606812</v>
      </c>
      <c r="I65" s="24">
        <f t="shared" si="22"/>
        <v>54.45305029022805</v>
      </c>
      <c r="J65" s="24">
        <f t="shared" si="23"/>
        <v>101.48168895669676</v>
      </c>
      <c r="K65" s="21">
        <v>12504979.64</v>
      </c>
      <c r="L65" s="21">
        <v>14546056.49</v>
      </c>
      <c r="M65" s="25">
        <f t="shared" si="24"/>
        <v>-0.1403182265518618</v>
      </c>
      <c r="N65" s="10"/>
      <c r="R65" s="2"/>
    </row>
    <row r="66" spans="1:18" ht="15.75">
      <c r="A66" s="19"/>
      <c r="B66" s="20">
        <f>DATE(2020,12,1)</f>
        <v>44166</v>
      </c>
      <c r="C66" s="21">
        <v>237315</v>
      </c>
      <c r="D66" s="21">
        <v>302309</v>
      </c>
      <c r="E66" s="23">
        <f t="shared" si="20"/>
        <v>-0.21499194532746296</v>
      </c>
      <c r="F66" s="21">
        <f>+C66-109898</f>
        <v>127417</v>
      </c>
      <c r="G66" s="21">
        <f>+D66-138214</f>
        <v>164095</v>
      </c>
      <c r="H66" s="23">
        <f t="shared" si="21"/>
        <v>-0.2235168652305067</v>
      </c>
      <c r="I66" s="24">
        <f t="shared" si="22"/>
        <v>55.60732878241999</v>
      </c>
      <c r="J66" s="24">
        <f t="shared" si="23"/>
        <v>103.56901535901802</v>
      </c>
      <c r="K66" s="21">
        <v>13196453.23</v>
      </c>
      <c r="L66" s="21">
        <v>14887793.43</v>
      </c>
      <c r="M66" s="25">
        <f t="shared" si="24"/>
        <v>-0.11360583473651806</v>
      </c>
      <c r="N66" s="10"/>
      <c r="R66" s="2"/>
    </row>
    <row r="67" spans="1:18" ht="15.75">
      <c r="A67" s="19"/>
      <c r="B67" s="20">
        <f>DATE(2021,1,1)</f>
        <v>44197</v>
      </c>
      <c r="C67" s="21">
        <v>253729</v>
      </c>
      <c r="D67" s="21">
        <v>268298</v>
      </c>
      <c r="E67" s="23">
        <f t="shared" si="20"/>
        <v>-0.0543015602054432</v>
      </c>
      <c r="F67" s="21">
        <f>+C67-120009</f>
        <v>133720</v>
      </c>
      <c r="G67" s="21">
        <f>+D67-120188</f>
        <v>148110</v>
      </c>
      <c r="H67" s="23">
        <f t="shared" si="21"/>
        <v>-0.09715751806090069</v>
      </c>
      <c r="I67" s="24">
        <f t="shared" si="22"/>
        <v>59.37952729092851</v>
      </c>
      <c r="J67" s="24">
        <f t="shared" si="23"/>
        <v>112.67056595871972</v>
      </c>
      <c r="K67" s="21">
        <v>15066308.08</v>
      </c>
      <c r="L67" s="21">
        <v>14430034.13</v>
      </c>
      <c r="M67" s="25">
        <f t="shared" si="24"/>
        <v>0.04409372453785036</v>
      </c>
      <c r="N67" s="10"/>
      <c r="R67" s="2"/>
    </row>
    <row r="68" spans="1:18" ht="15.75">
      <c r="A68" s="19"/>
      <c r="B68" s="20">
        <f>DATE(2021,2,1)</f>
        <v>44228</v>
      </c>
      <c r="C68" s="21">
        <v>221549</v>
      </c>
      <c r="D68" s="21">
        <v>290524</v>
      </c>
      <c r="E68" s="23">
        <f t="shared" si="20"/>
        <v>-0.23741584172047747</v>
      </c>
      <c r="F68" s="21">
        <f>+C68-106025</f>
        <v>115524</v>
      </c>
      <c r="G68" s="21">
        <f>+D68-132889</f>
        <v>157635</v>
      </c>
      <c r="H68" s="23">
        <f t="shared" si="21"/>
        <v>-0.26714244932914644</v>
      </c>
      <c r="I68" s="24">
        <f t="shared" si="22"/>
        <v>59.65236209596974</v>
      </c>
      <c r="J68" s="24">
        <f t="shared" si="23"/>
        <v>114.39978852879055</v>
      </c>
      <c r="K68" s="21">
        <v>13215921.17</v>
      </c>
      <c r="L68" s="21">
        <v>15353247.61</v>
      </c>
      <c r="M68" s="25">
        <f t="shared" si="24"/>
        <v>-0.13921005472535328</v>
      </c>
      <c r="N68" s="10"/>
      <c r="R68" s="2"/>
    </row>
    <row r="69" spans="1:18" ht="15.75">
      <c r="A69" s="19"/>
      <c r="B69" s="20">
        <f>DATE(2021,3,1)</f>
        <v>44256</v>
      </c>
      <c r="C69" s="21">
        <v>295514</v>
      </c>
      <c r="D69" s="21">
        <v>144177</v>
      </c>
      <c r="E69" s="23">
        <f t="shared" si="20"/>
        <v>1.049661180354703</v>
      </c>
      <c r="F69" s="21">
        <f>+C69-144217</f>
        <v>151297</v>
      </c>
      <c r="G69" s="21">
        <f>+D69-66448</f>
        <v>77729</v>
      </c>
      <c r="H69" s="23">
        <f t="shared" si="21"/>
        <v>0.9464678562698606</v>
      </c>
      <c r="I69" s="24">
        <f t="shared" si="22"/>
        <v>62.18790094547128</v>
      </c>
      <c r="J69" s="24">
        <f t="shared" si="23"/>
        <v>121.46569568464675</v>
      </c>
      <c r="K69" s="21">
        <v>18377395.36</v>
      </c>
      <c r="L69" s="21">
        <v>7243170.37</v>
      </c>
      <c r="M69" s="25">
        <f t="shared" si="24"/>
        <v>1.5372032440540258</v>
      </c>
      <c r="N69" s="10"/>
      <c r="R69" s="2"/>
    </row>
    <row r="70" spans="1:18" ht="15.75">
      <c r="A70" s="19"/>
      <c r="B70" s="20">
        <f>DATE(2021,4,1)</f>
        <v>44287</v>
      </c>
      <c r="C70" s="21">
        <v>274219</v>
      </c>
      <c r="D70" s="21">
        <v>0</v>
      </c>
      <c r="E70" s="23">
        <v>1</v>
      </c>
      <c r="F70" s="21">
        <f>+C70-131927</f>
        <v>142292</v>
      </c>
      <c r="G70" s="21">
        <v>0</v>
      </c>
      <c r="H70" s="23">
        <v>1</v>
      </c>
      <c r="I70" s="24">
        <f t="shared" si="22"/>
        <v>62.8025441344327</v>
      </c>
      <c r="J70" s="24">
        <f t="shared" si="23"/>
        <v>121.03035202260142</v>
      </c>
      <c r="K70" s="21">
        <v>17221650.85</v>
      </c>
      <c r="L70" s="21">
        <v>0</v>
      </c>
      <c r="M70" s="25">
        <v>1</v>
      </c>
      <c r="N70" s="10"/>
      <c r="R70" s="2"/>
    </row>
    <row r="71" spans="1:18" ht="15.75" thickBot="1">
      <c r="A71" s="38"/>
      <c r="B71" s="20"/>
      <c r="C71" s="21"/>
      <c r="D71" s="21"/>
      <c r="E71" s="23"/>
      <c r="F71" s="21"/>
      <c r="G71" s="21"/>
      <c r="H71" s="23"/>
      <c r="I71" s="24"/>
      <c r="J71" s="24"/>
      <c r="K71" s="21"/>
      <c r="L71" s="21"/>
      <c r="M71" s="25"/>
      <c r="N71" s="10"/>
      <c r="R71" s="2"/>
    </row>
    <row r="72" spans="1:18" ht="17.25" thickBot="1" thickTop="1">
      <c r="A72" s="39" t="s">
        <v>14</v>
      </c>
      <c r="B72" s="40"/>
      <c r="C72" s="41">
        <f>SUM(C61:C71)</f>
        <v>2538650</v>
      </c>
      <c r="D72" s="41">
        <f>SUM(D61:D71)</f>
        <v>2417719</v>
      </c>
      <c r="E72" s="281">
        <f>(+C72-D72)/D72</f>
        <v>0.050018633265487014</v>
      </c>
      <c r="F72" s="47">
        <f>SUM(F61:F71)</f>
        <v>1338552</v>
      </c>
      <c r="G72" s="48">
        <f>SUM(G61:G71)</f>
        <v>1319944</v>
      </c>
      <c r="H72" s="49">
        <f>(+F72-G72)/G72</f>
        <v>0.014097567775602601</v>
      </c>
      <c r="I72" s="50">
        <f>K72/C72</f>
        <v>59.333838410178636</v>
      </c>
      <c r="J72" s="51">
        <f>K72/F72</f>
        <v>112.5304425080236</v>
      </c>
      <c r="K72" s="48">
        <f>SUM(K61:K71)</f>
        <v>150627848.88</v>
      </c>
      <c r="L72" s="47">
        <f>SUM(L61:L71)</f>
        <v>125436512.42999999</v>
      </c>
      <c r="M72" s="44">
        <f>(+K72-L72)/L72</f>
        <v>0.20082937545045396</v>
      </c>
      <c r="N72" s="10"/>
      <c r="R72" s="2"/>
    </row>
    <row r="73" spans="1:18" ht="15.75" customHeight="1" thickTop="1">
      <c r="A73" s="273"/>
      <c r="B73" s="45"/>
      <c r="C73" s="21"/>
      <c r="D73" s="21"/>
      <c r="E73" s="23"/>
      <c r="F73" s="21"/>
      <c r="G73" s="21"/>
      <c r="H73" s="23"/>
      <c r="I73" s="24"/>
      <c r="J73" s="24"/>
      <c r="K73" s="21"/>
      <c r="L73" s="21"/>
      <c r="M73" s="25"/>
      <c r="N73" s="10"/>
      <c r="R73" s="2"/>
    </row>
    <row r="74" spans="1:18" ht="15.75">
      <c r="A74" s="274" t="s">
        <v>64</v>
      </c>
      <c r="B74" s="20">
        <f>DATE(2020,7,1)</f>
        <v>44013</v>
      </c>
      <c r="C74" s="21">
        <v>75978</v>
      </c>
      <c r="D74" s="21">
        <v>110928</v>
      </c>
      <c r="E74" s="23">
        <f aca="true" t="shared" si="25" ref="E74:E82">(+C74-D74)/D74</f>
        <v>-0.31506923409779314</v>
      </c>
      <c r="F74" s="21">
        <f>+C74-36462</f>
        <v>39516</v>
      </c>
      <c r="G74" s="21">
        <f>+D74-54910</f>
        <v>56018</v>
      </c>
      <c r="H74" s="23">
        <f aca="true" t="shared" si="26" ref="H74:H82">(+F74-G74)/G74</f>
        <v>-0.29458388375165123</v>
      </c>
      <c r="I74" s="24">
        <f aca="true" t="shared" si="27" ref="I74:I83">K74/C74</f>
        <v>65.90236081497275</v>
      </c>
      <c r="J74" s="24">
        <f aca="true" t="shared" si="28" ref="J74:J83">K74/F74</f>
        <v>126.71144776799272</v>
      </c>
      <c r="K74" s="21">
        <v>5007129.57</v>
      </c>
      <c r="L74" s="21">
        <v>4456959.19</v>
      </c>
      <c r="M74" s="25">
        <f aca="true" t="shared" si="29" ref="M74:M82">(+K74-L74)/L74</f>
        <v>0.12344074884831957</v>
      </c>
      <c r="N74" s="10"/>
      <c r="R74" s="2"/>
    </row>
    <row r="75" spans="1:18" ht="15.75">
      <c r="A75" s="274"/>
      <c r="B75" s="20">
        <f>DATE(2020,8,1)</f>
        <v>44044</v>
      </c>
      <c r="C75" s="21">
        <v>75051</v>
      </c>
      <c r="D75" s="21">
        <v>114308</v>
      </c>
      <c r="E75" s="23">
        <f t="shared" si="25"/>
        <v>-0.34343178080274345</v>
      </c>
      <c r="F75" s="21">
        <f>+C75-37094</f>
        <v>37957</v>
      </c>
      <c r="G75" s="21">
        <f>+D75-54234</f>
        <v>60074</v>
      </c>
      <c r="H75" s="23">
        <f t="shared" si="26"/>
        <v>-0.36816259946066515</v>
      </c>
      <c r="I75" s="24">
        <f t="shared" si="27"/>
        <v>66.12739070765213</v>
      </c>
      <c r="J75" s="24">
        <f t="shared" si="28"/>
        <v>130.75129225175857</v>
      </c>
      <c r="K75" s="21">
        <v>4962926.8</v>
      </c>
      <c r="L75" s="21">
        <v>5215749.95</v>
      </c>
      <c r="M75" s="25">
        <f t="shared" si="29"/>
        <v>-0.04847301968530918</v>
      </c>
      <c r="N75" s="10"/>
      <c r="R75" s="2"/>
    </row>
    <row r="76" spans="1:18" ht="15.75">
      <c r="A76" s="274"/>
      <c r="B76" s="20">
        <f>DATE(2020,9,1)</f>
        <v>44075</v>
      </c>
      <c r="C76" s="21">
        <v>76058</v>
      </c>
      <c r="D76" s="21">
        <v>108669</v>
      </c>
      <c r="E76" s="23">
        <f t="shared" si="25"/>
        <v>-0.30009478324085065</v>
      </c>
      <c r="F76" s="21">
        <f>+C76-37383</f>
        <v>38675</v>
      </c>
      <c r="G76" s="21">
        <f>+D76-53294</f>
        <v>55375</v>
      </c>
      <c r="H76" s="23">
        <f t="shared" si="26"/>
        <v>-0.3015801354401806</v>
      </c>
      <c r="I76" s="24">
        <f t="shared" si="27"/>
        <v>65.49789713113675</v>
      </c>
      <c r="J76" s="24">
        <f t="shared" si="28"/>
        <v>128.80773264382674</v>
      </c>
      <c r="K76" s="21">
        <v>4981639.06</v>
      </c>
      <c r="L76" s="21">
        <v>5069628.72</v>
      </c>
      <c r="M76" s="25">
        <f t="shared" si="29"/>
        <v>-0.017356233534987577</v>
      </c>
      <c r="N76" s="10"/>
      <c r="R76" s="2"/>
    </row>
    <row r="77" spans="1:18" ht="15.75">
      <c r="A77" s="274"/>
      <c r="B77" s="20">
        <f>DATE(2020,10,1)</f>
        <v>44105</v>
      </c>
      <c r="C77" s="21">
        <v>79279</v>
      </c>
      <c r="D77" s="21">
        <v>108635</v>
      </c>
      <c r="E77" s="23">
        <f t="shared" si="25"/>
        <v>-0.27022598610024395</v>
      </c>
      <c r="F77" s="21">
        <f>+C77-39288</f>
        <v>39991</v>
      </c>
      <c r="G77" s="21">
        <f>+D77-52866</f>
        <v>55769</v>
      </c>
      <c r="H77" s="23">
        <f t="shared" si="26"/>
        <v>-0.2829170327601356</v>
      </c>
      <c r="I77" s="24">
        <f t="shared" si="27"/>
        <v>62.994921605973836</v>
      </c>
      <c r="J77" s="24">
        <f t="shared" si="28"/>
        <v>124.8824583031182</v>
      </c>
      <c r="K77" s="21">
        <v>4994174.39</v>
      </c>
      <c r="L77" s="21">
        <v>5103440.46</v>
      </c>
      <c r="M77" s="25">
        <f t="shared" si="29"/>
        <v>-0.02141027623549473</v>
      </c>
      <c r="N77" s="10"/>
      <c r="R77" s="2"/>
    </row>
    <row r="78" spans="1:18" ht="15.75">
      <c r="A78" s="274"/>
      <c r="B78" s="20">
        <f>DATE(2020,11,1)</f>
        <v>44136</v>
      </c>
      <c r="C78" s="21">
        <v>73436</v>
      </c>
      <c r="D78" s="21">
        <v>108978</v>
      </c>
      <c r="E78" s="23">
        <f t="shared" si="25"/>
        <v>-0.32613922076015345</v>
      </c>
      <c r="F78" s="21">
        <f>+C78-36298</f>
        <v>37138</v>
      </c>
      <c r="G78" s="21">
        <f>+D78-53627</f>
        <v>55351</v>
      </c>
      <c r="H78" s="23">
        <f t="shared" si="26"/>
        <v>-0.3290455456992647</v>
      </c>
      <c r="I78" s="24">
        <f t="shared" si="27"/>
        <v>61.22122051854676</v>
      </c>
      <c r="J78" s="24">
        <f t="shared" si="28"/>
        <v>121.05771850934353</v>
      </c>
      <c r="K78" s="21">
        <v>4495841.55</v>
      </c>
      <c r="L78" s="21">
        <v>5108677.83</v>
      </c>
      <c r="M78" s="25">
        <f t="shared" si="29"/>
        <v>-0.11995986053401224</v>
      </c>
      <c r="N78" s="10"/>
      <c r="R78" s="2"/>
    </row>
    <row r="79" spans="1:18" ht="15.75">
      <c r="A79" s="274"/>
      <c r="B79" s="20">
        <f>DATE(2020,12,1)</f>
        <v>44166</v>
      </c>
      <c r="C79" s="21">
        <v>90053</v>
      </c>
      <c r="D79" s="21">
        <v>115824</v>
      </c>
      <c r="E79" s="23">
        <f t="shared" si="25"/>
        <v>-0.2225013814062716</v>
      </c>
      <c r="F79" s="21">
        <f>+C79-45539</f>
        <v>44514</v>
      </c>
      <c r="G79" s="21">
        <f>+D79-57047</f>
        <v>58777</v>
      </c>
      <c r="H79" s="23">
        <f t="shared" si="26"/>
        <v>-0.24266294639059496</v>
      </c>
      <c r="I79" s="24">
        <f t="shared" si="27"/>
        <v>68.14612095099552</v>
      </c>
      <c r="J79" s="24">
        <f t="shared" si="28"/>
        <v>137.8614060744934</v>
      </c>
      <c r="K79" s="21">
        <v>6136762.63</v>
      </c>
      <c r="L79" s="21">
        <v>5367894.31</v>
      </c>
      <c r="M79" s="25">
        <f t="shared" si="29"/>
        <v>0.14323462341045987</v>
      </c>
      <c r="N79" s="10"/>
      <c r="R79" s="2"/>
    </row>
    <row r="80" spans="1:18" ht="15.75">
      <c r="A80" s="274"/>
      <c r="B80" s="20">
        <f>DATE(2021,1,1)</f>
        <v>44197</v>
      </c>
      <c r="C80" s="21">
        <v>102968</v>
      </c>
      <c r="D80" s="21">
        <v>108065</v>
      </c>
      <c r="E80" s="23">
        <f t="shared" si="25"/>
        <v>-0.047166057465414336</v>
      </c>
      <c r="F80" s="21">
        <f>+C80-52033</f>
        <v>50935</v>
      </c>
      <c r="G80" s="21">
        <f>+D80-54017</f>
        <v>54048</v>
      </c>
      <c r="H80" s="23">
        <f t="shared" si="26"/>
        <v>-0.05759695085849615</v>
      </c>
      <c r="I80" s="24">
        <f t="shared" si="27"/>
        <v>66.26231382565457</v>
      </c>
      <c r="J80" s="24">
        <f t="shared" si="28"/>
        <v>133.95303681162264</v>
      </c>
      <c r="K80" s="21">
        <v>6822897.93</v>
      </c>
      <c r="L80" s="21">
        <v>5075834.11</v>
      </c>
      <c r="M80" s="25">
        <f t="shared" si="29"/>
        <v>0.3441924582519501</v>
      </c>
      <c r="N80" s="10"/>
      <c r="R80" s="2"/>
    </row>
    <row r="81" spans="1:18" ht="15.75">
      <c r="A81" s="274"/>
      <c r="B81" s="20">
        <f>DATE(2021,2,1)</f>
        <v>44228</v>
      </c>
      <c r="C81" s="21">
        <v>73388</v>
      </c>
      <c r="D81" s="21">
        <v>122509</v>
      </c>
      <c r="E81" s="23">
        <f t="shared" si="25"/>
        <v>-0.4009582969414492</v>
      </c>
      <c r="F81" s="21">
        <f>+C81-36566</f>
        <v>36822</v>
      </c>
      <c r="G81" s="21">
        <f>+D81-61681</f>
        <v>60828</v>
      </c>
      <c r="H81" s="23">
        <f t="shared" si="26"/>
        <v>-0.3946537778654567</v>
      </c>
      <c r="I81" s="24">
        <f t="shared" si="27"/>
        <v>67.37277702076634</v>
      </c>
      <c r="J81" s="24">
        <f t="shared" si="28"/>
        <v>134.2771538754006</v>
      </c>
      <c r="K81" s="21">
        <v>4944353.36</v>
      </c>
      <c r="L81" s="21">
        <v>5943612.8</v>
      </c>
      <c r="M81" s="25">
        <f t="shared" si="29"/>
        <v>-0.16812323979112495</v>
      </c>
      <c r="N81" s="10"/>
      <c r="R81" s="2"/>
    </row>
    <row r="82" spans="1:18" ht="15.75">
      <c r="A82" s="274"/>
      <c r="B82" s="20">
        <f>DATE(2021,3,1)</f>
        <v>44256</v>
      </c>
      <c r="C82" s="21">
        <v>112418</v>
      </c>
      <c r="D82" s="21">
        <v>63250</v>
      </c>
      <c r="E82" s="23">
        <f t="shared" si="25"/>
        <v>0.7773596837944664</v>
      </c>
      <c r="F82" s="21">
        <f>+C82-56050</f>
        <v>56368</v>
      </c>
      <c r="G82" s="21">
        <f>+D82-31674</f>
        <v>31576</v>
      </c>
      <c r="H82" s="23">
        <f t="shared" si="26"/>
        <v>0.7851532809728908</v>
      </c>
      <c r="I82" s="24">
        <f t="shared" si="27"/>
        <v>69.26740931167606</v>
      </c>
      <c r="J82" s="24">
        <f t="shared" si="28"/>
        <v>138.14404662219698</v>
      </c>
      <c r="K82" s="21">
        <v>7786903.62</v>
      </c>
      <c r="L82" s="21">
        <v>2969716.05</v>
      </c>
      <c r="M82" s="25">
        <f t="shared" si="29"/>
        <v>1.6221037597180379</v>
      </c>
      <c r="N82" s="10"/>
      <c r="R82" s="2"/>
    </row>
    <row r="83" spans="1:18" ht="15.75">
      <c r="A83" s="274"/>
      <c r="B83" s="20">
        <f>DATE(2021,4,1)</f>
        <v>44287</v>
      </c>
      <c r="C83" s="21">
        <v>108656</v>
      </c>
      <c r="D83" s="21">
        <v>0</v>
      </c>
      <c r="E83" s="23">
        <v>1</v>
      </c>
      <c r="F83" s="21">
        <f>+C83-55156</f>
        <v>53500</v>
      </c>
      <c r="G83" s="21">
        <v>0</v>
      </c>
      <c r="H83" s="23">
        <v>1</v>
      </c>
      <c r="I83" s="24">
        <f t="shared" si="27"/>
        <v>66.92424790163452</v>
      </c>
      <c r="J83" s="24">
        <f t="shared" si="28"/>
        <v>135.92002018691588</v>
      </c>
      <c r="K83" s="21">
        <v>7271721.08</v>
      </c>
      <c r="L83" s="21">
        <v>0</v>
      </c>
      <c r="M83" s="25">
        <v>1</v>
      </c>
      <c r="N83" s="10"/>
      <c r="R83" s="2"/>
    </row>
    <row r="84" spans="1:18" ht="15.75" customHeight="1" thickBot="1">
      <c r="A84" s="19"/>
      <c r="B84" s="20"/>
      <c r="C84" s="21"/>
      <c r="D84" s="21"/>
      <c r="E84" s="23"/>
      <c r="F84" s="21"/>
      <c r="G84" s="21"/>
      <c r="H84" s="23"/>
      <c r="I84" s="24"/>
      <c r="J84" s="24"/>
      <c r="K84" s="21"/>
      <c r="L84" s="21"/>
      <c r="M84" s="25"/>
      <c r="N84" s="10"/>
      <c r="R84" s="2"/>
    </row>
    <row r="85" spans="1:18" ht="17.25" customHeight="1" thickBot="1" thickTop="1">
      <c r="A85" s="39" t="s">
        <v>14</v>
      </c>
      <c r="B85" s="52"/>
      <c r="C85" s="47">
        <f>SUM(C74:C84)</f>
        <v>867285</v>
      </c>
      <c r="D85" s="48">
        <f>SUM(D74:D84)</f>
        <v>961166</v>
      </c>
      <c r="E85" s="281">
        <f>(+C85-D85)/D85</f>
        <v>-0.0976740750297035</v>
      </c>
      <c r="F85" s="48">
        <f>SUM(F74:F84)</f>
        <v>435416</v>
      </c>
      <c r="G85" s="47">
        <f>SUM(G74:G84)</f>
        <v>487816</v>
      </c>
      <c r="H85" s="46">
        <f>(+F85-G85)/G85</f>
        <v>-0.10741755087983994</v>
      </c>
      <c r="I85" s="51">
        <f>K85/C85</f>
        <v>66.18856545426243</v>
      </c>
      <c r="J85" s="50">
        <f>K85/F85</f>
        <v>131.83794346096604</v>
      </c>
      <c r="K85" s="47">
        <f>SUM(K74:K84)</f>
        <v>57404349.989999995</v>
      </c>
      <c r="L85" s="48">
        <f>SUM(L74:L84)</f>
        <v>44311513.419999994</v>
      </c>
      <c r="M85" s="44">
        <f>(+K85-L85)/L85</f>
        <v>0.2954725659198666</v>
      </c>
      <c r="N85" s="10"/>
      <c r="R85" s="2"/>
    </row>
    <row r="86" spans="1:18" ht="15.75" customHeight="1" thickTop="1">
      <c r="A86" s="19"/>
      <c r="B86" s="45"/>
      <c r="C86" s="21"/>
      <c r="D86" s="21"/>
      <c r="E86" s="23"/>
      <c r="F86" s="21"/>
      <c r="G86" s="21"/>
      <c r="H86" s="23"/>
      <c r="I86" s="24"/>
      <c r="J86" s="24"/>
      <c r="K86" s="21"/>
      <c r="L86" s="21"/>
      <c r="M86" s="25"/>
      <c r="N86" s="10"/>
      <c r="R86" s="2"/>
    </row>
    <row r="87" spans="1:18" ht="15.75">
      <c r="A87" s="19" t="s">
        <v>66</v>
      </c>
      <c r="B87" s="20">
        <f>DATE(2020,7,1)</f>
        <v>44013</v>
      </c>
      <c r="C87" s="21">
        <v>89782</v>
      </c>
      <c r="D87" s="21">
        <v>151411</v>
      </c>
      <c r="E87" s="23">
        <f aca="true" t="shared" si="30" ref="E87:E95">(+C87-D87)/D87</f>
        <v>-0.4070311932422347</v>
      </c>
      <c r="F87" s="21">
        <f>+C87-42122</f>
        <v>47660</v>
      </c>
      <c r="G87" s="21">
        <f>+D87-71749</f>
        <v>79662</v>
      </c>
      <c r="H87" s="23">
        <f aca="true" t="shared" si="31" ref="H87:H95">(+F87-G87)/G87</f>
        <v>-0.40172227661871407</v>
      </c>
      <c r="I87" s="24">
        <f aca="true" t="shared" si="32" ref="I87:I96">K87/C87</f>
        <v>50.70236294580205</v>
      </c>
      <c r="J87" s="24">
        <f aca="true" t="shared" si="33" ref="J87:J96">K87/F87</f>
        <v>95.51320919009652</v>
      </c>
      <c r="K87" s="21">
        <v>4552159.55</v>
      </c>
      <c r="L87" s="21">
        <v>5243377.2</v>
      </c>
      <c r="M87" s="25">
        <f aca="true" t="shared" si="34" ref="M87:M95">(+K87-L87)/L87</f>
        <v>-0.13182680238987962</v>
      </c>
      <c r="N87" s="10"/>
      <c r="R87" s="2"/>
    </row>
    <row r="88" spans="1:18" ht="15.75">
      <c r="A88" s="19"/>
      <c r="B88" s="20">
        <f>DATE(2020,8,1)</f>
        <v>44044</v>
      </c>
      <c r="C88" s="21">
        <v>90766</v>
      </c>
      <c r="D88" s="21">
        <v>153404</v>
      </c>
      <c r="E88" s="23">
        <f t="shared" si="30"/>
        <v>-0.40832051315480694</v>
      </c>
      <c r="F88" s="21">
        <f>+C88-42451</f>
        <v>48315</v>
      </c>
      <c r="G88" s="21">
        <f>+D88-72820</f>
        <v>80584</v>
      </c>
      <c r="H88" s="23">
        <f t="shared" si="31"/>
        <v>-0.4004392931599325</v>
      </c>
      <c r="I88" s="24">
        <f t="shared" si="32"/>
        <v>48.512467223409644</v>
      </c>
      <c r="J88" s="24">
        <f t="shared" si="33"/>
        <v>91.13696781537824</v>
      </c>
      <c r="K88" s="21">
        <v>4403282.6</v>
      </c>
      <c r="L88" s="21">
        <v>5663787.5</v>
      </c>
      <c r="M88" s="25">
        <f t="shared" si="34"/>
        <v>-0.22255511881404455</v>
      </c>
      <c r="N88" s="10"/>
      <c r="R88" s="2"/>
    </row>
    <row r="89" spans="1:18" ht="15.75">
      <c r="A89" s="19"/>
      <c r="B89" s="20">
        <f>DATE(2020,9,1)</f>
        <v>44075</v>
      </c>
      <c r="C89" s="21">
        <v>113899</v>
      </c>
      <c r="D89" s="21">
        <v>143049</v>
      </c>
      <c r="E89" s="23">
        <f t="shared" si="30"/>
        <v>-0.20377632839097093</v>
      </c>
      <c r="F89" s="21">
        <f>+C89-56486</f>
        <v>57413</v>
      </c>
      <c r="G89" s="21">
        <f>+D89-67371</f>
        <v>75678</v>
      </c>
      <c r="H89" s="23">
        <f t="shared" si="31"/>
        <v>-0.24135151563201987</v>
      </c>
      <c r="I89" s="24">
        <f t="shared" si="32"/>
        <v>47.02514903554904</v>
      </c>
      <c r="J89" s="24">
        <f t="shared" si="33"/>
        <v>93.29102206817272</v>
      </c>
      <c r="K89" s="21">
        <v>5356117.45</v>
      </c>
      <c r="L89" s="21">
        <v>5081304.75</v>
      </c>
      <c r="M89" s="25">
        <f t="shared" si="34"/>
        <v>0.05408309745641613</v>
      </c>
      <c r="N89" s="10"/>
      <c r="R89" s="2"/>
    </row>
    <row r="90" spans="1:18" ht="15.75">
      <c r="A90" s="19"/>
      <c r="B90" s="20">
        <f>DATE(2020,10,1)</f>
        <v>44105</v>
      </c>
      <c r="C90" s="21">
        <v>133252</v>
      </c>
      <c r="D90" s="21">
        <v>147133</v>
      </c>
      <c r="E90" s="23">
        <f t="shared" si="30"/>
        <v>-0.09434321328321994</v>
      </c>
      <c r="F90" s="21">
        <f>+C90-63794</f>
        <v>69458</v>
      </c>
      <c r="G90" s="21">
        <f>+D90-70441</f>
        <v>76692</v>
      </c>
      <c r="H90" s="23">
        <f t="shared" si="31"/>
        <v>-0.09432535336149794</v>
      </c>
      <c r="I90" s="24">
        <f t="shared" si="32"/>
        <v>46.00272656320356</v>
      </c>
      <c r="J90" s="24">
        <f t="shared" si="33"/>
        <v>88.25412940194074</v>
      </c>
      <c r="K90" s="21">
        <v>6129955.32</v>
      </c>
      <c r="L90" s="21">
        <v>5402701.21</v>
      </c>
      <c r="M90" s="25">
        <f t="shared" si="34"/>
        <v>0.13460935219847192</v>
      </c>
      <c r="N90" s="10"/>
      <c r="R90" s="2"/>
    </row>
    <row r="91" spans="1:18" ht="15.75">
      <c r="A91" s="19"/>
      <c r="B91" s="20">
        <f>DATE(2020,11,1)</f>
        <v>44136</v>
      </c>
      <c r="C91" s="21">
        <v>128642</v>
      </c>
      <c r="D91" s="21">
        <v>147609</v>
      </c>
      <c r="E91" s="23">
        <f t="shared" si="30"/>
        <v>-0.1284948749737482</v>
      </c>
      <c r="F91" s="21">
        <f>+C91-61517</f>
        <v>67125</v>
      </c>
      <c r="G91" s="21">
        <f>+D91-72727</f>
        <v>74882</v>
      </c>
      <c r="H91" s="23">
        <f t="shared" si="31"/>
        <v>-0.10358964771240084</v>
      </c>
      <c r="I91" s="24">
        <f t="shared" si="32"/>
        <v>44.797572410254816</v>
      </c>
      <c r="J91" s="24">
        <f t="shared" si="33"/>
        <v>85.85250368715083</v>
      </c>
      <c r="K91" s="21">
        <v>5762849.31</v>
      </c>
      <c r="L91" s="21">
        <v>5427921.86</v>
      </c>
      <c r="M91" s="25">
        <f t="shared" si="34"/>
        <v>0.06170454524560883</v>
      </c>
      <c r="N91" s="10"/>
      <c r="R91" s="2"/>
    </row>
    <row r="92" spans="1:18" ht="15.75">
      <c r="A92" s="19"/>
      <c r="B92" s="20">
        <f>DATE(2020,12,1)</f>
        <v>44166</v>
      </c>
      <c r="C92" s="21">
        <v>136324</v>
      </c>
      <c r="D92" s="21">
        <v>146815</v>
      </c>
      <c r="E92" s="23">
        <f t="shared" si="30"/>
        <v>-0.07145727616387972</v>
      </c>
      <c r="F92" s="21">
        <f>+C92-65497</f>
        <v>70827</v>
      </c>
      <c r="G92" s="21">
        <f>+D92-72079</f>
        <v>74736</v>
      </c>
      <c r="H92" s="23">
        <f t="shared" si="31"/>
        <v>-0.052304110468850355</v>
      </c>
      <c r="I92" s="24">
        <f t="shared" si="32"/>
        <v>46.82937157066988</v>
      </c>
      <c r="J92" s="24">
        <f t="shared" si="33"/>
        <v>90.13465556920383</v>
      </c>
      <c r="K92" s="21">
        <v>6383967.25</v>
      </c>
      <c r="L92" s="21">
        <v>5406096.83</v>
      </c>
      <c r="M92" s="25">
        <f t="shared" si="34"/>
        <v>0.18088289032736396</v>
      </c>
      <c r="N92" s="10"/>
      <c r="R92" s="2"/>
    </row>
    <row r="93" spans="1:18" ht="15.75">
      <c r="A93" s="19"/>
      <c r="B93" s="20">
        <f>DATE(2021,1,1)</f>
        <v>44197</v>
      </c>
      <c r="C93" s="21">
        <v>148941</v>
      </c>
      <c r="D93" s="21">
        <v>138036</v>
      </c>
      <c r="E93" s="23">
        <f t="shared" si="30"/>
        <v>0.07900113013996349</v>
      </c>
      <c r="F93" s="21">
        <f>+C93-73418</f>
        <v>75523</v>
      </c>
      <c r="G93" s="21">
        <f>+D93-67428</f>
        <v>70608</v>
      </c>
      <c r="H93" s="23">
        <f t="shared" si="31"/>
        <v>0.0696096759573986</v>
      </c>
      <c r="I93" s="24">
        <f t="shared" si="32"/>
        <v>46.43704581008587</v>
      </c>
      <c r="J93" s="24">
        <f t="shared" si="33"/>
        <v>91.57978417170928</v>
      </c>
      <c r="K93" s="21">
        <v>6916380.04</v>
      </c>
      <c r="L93" s="21">
        <v>5190044.03</v>
      </c>
      <c r="M93" s="25">
        <f t="shared" si="34"/>
        <v>0.3326245403740823</v>
      </c>
      <c r="N93" s="10"/>
      <c r="R93" s="2"/>
    </row>
    <row r="94" spans="1:18" ht="15.75">
      <c r="A94" s="19"/>
      <c r="B94" s="20">
        <f>DATE(2021,2,1)</f>
        <v>44228</v>
      </c>
      <c r="C94" s="21">
        <v>128308</v>
      </c>
      <c r="D94" s="21">
        <v>152132</v>
      </c>
      <c r="E94" s="23">
        <f t="shared" si="30"/>
        <v>-0.15660084663318696</v>
      </c>
      <c r="F94" s="21">
        <f>+C94-63434</f>
        <v>64874</v>
      </c>
      <c r="G94" s="21">
        <f>+D94-75603</f>
        <v>76529</v>
      </c>
      <c r="H94" s="23">
        <f t="shared" si="31"/>
        <v>-0.1522952083523893</v>
      </c>
      <c r="I94" s="24">
        <f t="shared" si="32"/>
        <v>49.65950907192069</v>
      </c>
      <c r="J94" s="24">
        <f t="shared" si="33"/>
        <v>98.21673228103708</v>
      </c>
      <c r="K94" s="21">
        <v>6371712.29</v>
      </c>
      <c r="L94" s="21">
        <v>5810822.35</v>
      </c>
      <c r="M94" s="25">
        <f t="shared" si="34"/>
        <v>0.09652505380757345</v>
      </c>
      <c r="N94" s="10"/>
      <c r="R94" s="2"/>
    </row>
    <row r="95" spans="1:18" ht="15.75">
      <c r="A95" s="19"/>
      <c r="B95" s="20">
        <f>DATE(2021,3,1)</f>
        <v>44256</v>
      </c>
      <c r="C95" s="21">
        <v>178294</v>
      </c>
      <c r="D95" s="21">
        <v>83823</v>
      </c>
      <c r="E95" s="23">
        <f t="shared" si="30"/>
        <v>1.1270295742218723</v>
      </c>
      <c r="F95" s="21">
        <f>+C95-86034</f>
        <v>92260</v>
      </c>
      <c r="G95" s="21">
        <f>+D95-41284</f>
        <v>42539</v>
      </c>
      <c r="H95" s="23">
        <f t="shared" si="31"/>
        <v>1.1688333059075202</v>
      </c>
      <c r="I95" s="24">
        <f t="shared" si="32"/>
        <v>55.776427417636036</v>
      </c>
      <c r="J95" s="24">
        <f t="shared" si="33"/>
        <v>107.78888304790809</v>
      </c>
      <c r="K95" s="21">
        <v>9944602.35</v>
      </c>
      <c r="L95" s="21">
        <v>3343303.65</v>
      </c>
      <c r="M95" s="25">
        <f t="shared" si="34"/>
        <v>1.9744837415530592</v>
      </c>
      <c r="N95" s="10"/>
      <c r="R95" s="2"/>
    </row>
    <row r="96" spans="1:18" ht="15.75">
      <c r="A96" s="19"/>
      <c r="B96" s="20">
        <f>DATE(2021,4,1)</f>
        <v>44287</v>
      </c>
      <c r="C96" s="21">
        <v>179901</v>
      </c>
      <c r="D96" s="21">
        <v>0</v>
      </c>
      <c r="E96" s="23">
        <v>1</v>
      </c>
      <c r="F96" s="21">
        <f>+C96-87677</f>
        <v>92224</v>
      </c>
      <c r="G96" s="21">
        <v>0</v>
      </c>
      <c r="H96" s="23">
        <v>1</v>
      </c>
      <c r="I96" s="24">
        <f t="shared" si="32"/>
        <v>55.27194879405895</v>
      </c>
      <c r="J96" s="24">
        <f t="shared" si="33"/>
        <v>107.81877667418459</v>
      </c>
      <c r="K96" s="21">
        <v>9943478.86</v>
      </c>
      <c r="L96" s="21">
        <v>0</v>
      </c>
      <c r="M96" s="25">
        <v>1</v>
      </c>
      <c r="N96" s="10"/>
      <c r="R96" s="2"/>
    </row>
    <row r="97" spans="1:18" ht="15.75" customHeight="1" thickBot="1">
      <c r="A97" s="19"/>
      <c r="B97" s="45"/>
      <c r="C97" s="21"/>
      <c r="D97" s="21"/>
      <c r="E97" s="23"/>
      <c r="F97" s="21"/>
      <c r="G97" s="21"/>
      <c r="H97" s="23"/>
      <c r="I97" s="24"/>
      <c r="J97" s="24"/>
      <c r="K97" s="21"/>
      <c r="L97" s="21"/>
      <c r="M97" s="25"/>
      <c r="N97" s="10"/>
      <c r="R97" s="2"/>
    </row>
    <row r="98" spans="1:18" ht="17.25" customHeight="1" thickBot="1" thickTop="1">
      <c r="A98" s="39" t="s">
        <v>14</v>
      </c>
      <c r="B98" s="52"/>
      <c r="C98" s="47">
        <f>SUM(C87:C97)</f>
        <v>1328109</v>
      </c>
      <c r="D98" s="48">
        <f>SUM(D87:D97)</f>
        <v>1263412</v>
      </c>
      <c r="E98" s="281">
        <f>(+C98-D98)/D98</f>
        <v>0.05120815695909173</v>
      </c>
      <c r="F98" s="48">
        <f>SUM(F87:F97)</f>
        <v>685679</v>
      </c>
      <c r="G98" s="47">
        <f>SUM(G87:G97)</f>
        <v>651910</v>
      </c>
      <c r="H98" s="53">
        <f>(+F98-G98)/G98</f>
        <v>0.05180009510515255</v>
      </c>
      <c r="I98" s="51">
        <f>K98/C98</f>
        <v>49.51740031879913</v>
      </c>
      <c r="J98" s="50">
        <f>K98/F98</f>
        <v>95.91150526704186</v>
      </c>
      <c r="K98" s="47">
        <f>SUM(K87:K97)</f>
        <v>65764505.019999996</v>
      </c>
      <c r="L98" s="48">
        <f>SUM(L87:L97)</f>
        <v>46569359.38</v>
      </c>
      <c r="M98" s="44">
        <f>(+K98-L98)/L98</f>
        <v>0.41218401746457506</v>
      </c>
      <c r="N98" s="10"/>
      <c r="R98" s="2"/>
    </row>
    <row r="99" spans="1:18" ht="15.75" customHeight="1" thickTop="1">
      <c r="A99" s="19"/>
      <c r="B99" s="45"/>
      <c r="C99" s="21"/>
      <c r="D99" s="21"/>
      <c r="E99" s="23"/>
      <c r="F99" s="21"/>
      <c r="G99" s="21"/>
      <c r="H99" s="23"/>
      <c r="I99" s="24"/>
      <c r="J99" s="24"/>
      <c r="K99" s="21"/>
      <c r="L99" s="21"/>
      <c r="M99" s="25"/>
      <c r="N99" s="10"/>
      <c r="R99" s="2"/>
    </row>
    <row r="100" spans="1:18" ht="15.75" customHeight="1">
      <c r="A100" s="19" t="s">
        <v>60</v>
      </c>
      <c r="B100" s="20">
        <f>DATE(2020,7,1)</f>
        <v>44013</v>
      </c>
      <c r="C100" s="21">
        <v>198458</v>
      </c>
      <c r="D100" s="21">
        <v>323723</v>
      </c>
      <c r="E100" s="23">
        <f aca="true" t="shared" si="35" ref="E100:E108">(+C100-D100)/D100</f>
        <v>-0.3869511897517322</v>
      </c>
      <c r="F100" s="21">
        <f>+C100-91512</f>
        <v>106946</v>
      </c>
      <c r="G100" s="21">
        <f>+D100-139054</f>
        <v>184669</v>
      </c>
      <c r="H100" s="23">
        <f aca="true" t="shared" si="36" ref="H100:H108">(+F100-G100)/G100</f>
        <v>-0.42087735353524414</v>
      </c>
      <c r="I100" s="24">
        <f aca="true" t="shared" si="37" ref="I100:I109">K100/C100</f>
        <v>57.55968401374598</v>
      </c>
      <c r="J100" s="24">
        <f aca="true" t="shared" si="38" ref="J100:J109">K100/F100</f>
        <v>106.81259486095786</v>
      </c>
      <c r="K100" s="21">
        <v>11423179.77</v>
      </c>
      <c r="L100" s="21">
        <v>12562489.76</v>
      </c>
      <c r="M100" s="25">
        <f aca="true" t="shared" si="39" ref="M100:M108">(+K100-L100)/L100</f>
        <v>-0.09069141641234661</v>
      </c>
      <c r="N100" s="10"/>
      <c r="R100" s="2"/>
    </row>
    <row r="101" spans="1:18" ht="15.75" customHeight="1">
      <c r="A101" s="19"/>
      <c r="B101" s="20">
        <f>DATE(2020,8,1)</f>
        <v>44044</v>
      </c>
      <c r="C101" s="21">
        <v>207170</v>
      </c>
      <c r="D101" s="21">
        <v>324702</v>
      </c>
      <c r="E101" s="23">
        <f t="shared" si="35"/>
        <v>-0.36196882064169605</v>
      </c>
      <c r="F101" s="21">
        <f>+C101-94983</f>
        <v>112187</v>
      </c>
      <c r="G101" s="21">
        <f>+D101-140464</f>
        <v>184238</v>
      </c>
      <c r="H101" s="23">
        <f t="shared" si="36"/>
        <v>-0.39107567385664194</v>
      </c>
      <c r="I101" s="24">
        <f t="shared" si="37"/>
        <v>58.30113790606748</v>
      </c>
      <c r="J101" s="24">
        <f t="shared" si="38"/>
        <v>107.66173210799826</v>
      </c>
      <c r="K101" s="21">
        <v>12078246.74</v>
      </c>
      <c r="L101" s="21">
        <v>12914541.61</v>
      </c>
      <c r="M101" s="25">
        <f t="shared" si="39"/>
        <v>-0.06475606299122832</v>
      </c>
      <c r="N101" s="10"/>
      <c r="R101" s="2"/>
    </row>
    <row r="102" spans="1:18" ht="15.75" customHeight="1">
      <c r="A102" s="19"/>
      <c r="B102" s="20">
        <f>DATE(2020,9,1)</f>
        <v>44075</v>
      </c>
      <c r="C102" s="21">
        <v>214679</v>
      </c>
      <c r="D102" s="21">
        <v>300779</v>
      </c>
      <c r="E102" s="23">
        <f t="shared" si="35"/>
        <v>-0.2862566868032675</v>
      </c>
      <c r="F102" s="21">
        <f>+C102-98438</f>
        <v>116241</v>
      </c>
      <c r="G102" s="21">
        <f>+D102-129539</f>
        <v>171240</v>
      </c>
      <c r="H102" s="23">
        <f t="shared" si="36"/>
        <v>-0.32118079887876666</v>
      </c>
      <c r="I102" s="24">
        <f t="shared" si="37"/>
        <v>53.75294761015283</v>
      </c>
      <c r="J102" s="24">
        <f t="shared" si="38"/>
        <v>99.27331182629192</v>
      </c>
      <c r="K102" s="21">
        <v>11539629.04</v>
      </c>
      <c r="L102" s="21">
        <v>12290273.1</v>
      </c>
      <c r="M102" s="25">
        <f t="shared" si="39"/>
        <v>-0.06107627177137346</v>
      </c>
      <c r="N102" s="10"/>
      <c r="R102" s="2"/>
    </row>
    <row r="103" spans="1:18" ht="15.75" customHeight="1">
      <c r="A103" s="19"/>
      <c r="B103" s="20">
        <f>DATE(2020,10,1)</f>
        <v>44105</v>
      </c>
      <c r="C103" s="21">
        <v>212255</v>
      </c>
      <c r="D103" s="21">
        <v>283562</v>
      </c>
      <c r="E103" s="23">
        <f t="shared" si="35"/>
        <v>-0.2514688145802329</v>
      </c>
      <c r="F103" s="21">
        <f>+C103-97155</f>
        <v>115100</v>
      </c>
      <c r="G103" s="21">
        <f>+D103-124664</f>
        <v>158898</v>
      </c>
      <c r="H103" s="23">
        <f t="shared" si="36"/>
        <v>-0.27563594255434304</v>
      </c>
      <c r="I103" s="24">
        <f t="shared" si="37"/>
        <v>53.311127323266824</v>
      </c>
      <c r="J103" s="24">
        <f t="shared" si="38"/>
        <v>98.3106284100782</v>
      </c>
      <c r="K103" s="21">
        <v>11315553.33</v>
      </c>
      <c r="L103" s="21">
        <v>11906925.06</v>
      </c>
      <c r="M103" s="25">
        <f t="shared" si="39"/>
        <v>-0.049666200721011376</v>
      </c>
      <c r="N103" s="10"/>
      <c r="R103" s="2"/>
    </row>
    <row r="104" spans="1:18" ht="15.75" customHeight="1">
      <c r="A104" s="19"/>
      <c r="B104" s="20">
        <f>DATE(2020,11,1)</f>
        <v>44136</v>
      </c>
      <c r="C104" s="21">
        <v>182201</v>
      </c>
      <c r="D104" s="21">
        <v>284154</v>
      </c>
      <c r="E104" s="23">
        <f t="shared" si="35"/>
        <v>-0.3587948788333087</v>
      </c>
      <c r="F104" s="21">
        <f>+C104-83158</f>
        <v>99043</v>
      </c>
      <c r="G104" s="21">
        <f>+D104-126846</f>
        <v>157308</v>
      </c>
      <c r="H104" s="23">
        <f t="shared" si="36"/>
        <v>-0.3703880285808732</v>
      </c>
      <c r="I104" s="24">
        <f t="shared" si="37"/>
        <v>57.958710984023135</v>
      </c>
      <c r="J104" s="24">
        <f t="shared" si="38"/>
        <v>106.62172086871358</v>
      </c>
      <c r="K104" s="21">
        <v>10560135.1</v>
      </c>
      <c r="L104" s="21">
        <v>12108761.95</v>
      </c>
      <c r="M104" s="25">
        <f t="shared" si="39"/>
        <v>-0.12789307911037096</v>
      </c>
      <c r="N104" s="10"/>
      <c r="R104" s="2"/>
    </row>
    <row r="105" spans="1:18" ht="15.75" customHeight="1">
      <c r="A105" s="19"/>
      <c r="B105" s="20">
        <f>DATE(2020,12,1)</f>
        <v>44166</v>
      </c>
      <c r="C105" s="21">
        <v>236586</v>
      </c>
      <c r="D105" s="21">
        <v>309372</v>
      </c>
      <c r="E105" s="23">
        <f t="shared" si="35"/>
        <v>-0.2352701601954928</v>
      </c>
      <c r="F105" s="21">
        <f>+C105-114318</f>
        <v>122268</v>
      </c>
      <c r="G105" s="21">
        <f>+D105-141822</f>
        <v>167550</v>
      </c>
      <c r="H105" s="23">
        <f t="shared" si="36"/>
        <v>-0.270259623992838</v>
      </c>
      <c r="I105" s="24">
        <f t="shared" si="37"/>
        <v>58.413076259795595</v>
      </c>
      <c r="J105" s="24">
        <f t="shared" si="38"/>
        <v>113.02806997742664</v>
      </c>
      <c r="K105" s="21">
        <v>13819716.06</v>
      </c>
      <c r="L105" s="21">
        <v>12730914.02</v>
      </c>
      <c r="M105" s="25">
        <f t="shared" si="39"/>
        <v>0.08552426308822099</v>
      </c>
      <c r="N105" s="10"/>
      <c r="R105" s="2"/>
    </row>
    <row r="106" spans="1:18" ht="15.75" customHeight="1">
      <c r="A106" s="19"/>
      <c r="B106" s="20">
        <f>DATE(2021,1,1)</f>
        <v>44197</v>
      </c>
      <c r="C106" s="21">
        <v>267613</v>
      </c>
      <c r="D106" s="21">
        <v>285267</v>
      </c>
      <c r="E106" s="23">
        <f t="shared" si="35"/>
        <v>-0.061885882348817076</v>
      </c>
      <c r="F106" s="21">
        <f>+C106-127713</f>
        <v>139900</v>
      </c>
      <c r="G106" s="21">
        <f>+D106-129272</f>
        <v>155995</v>
      </c>
      <c r="H106" s="23">
        <f t="shared" si="36"/>
        <v>-0.103176383858457</v>
      </c>
      <c r="I106" s="24">
        <f t="shared" si="37"/>
        <v>59.538376274695175</v>
      </c>
      <c r="J106" s="24">
        <f t="shared" si="38"/>
        <v>113.89023223731236</v>
      </c>
      <c r="K106" s="21">
        <v>15933243.49</v>
      </c>
      <c r="L106" s="21">
        <v>12532066.99</v>
      </c>
      <c r="M106" s="25">
        <f t="shared" si="39"/>
        <v>0.27139788693389355</v>
      </c>
      <c r="N106" s="10"/>
      <c r="R106" s="2"/>
    </row>
    <row r="107" spans="1:18" ht="15.75" customHeight="1">
      <c r="A107" s="19"/>
      <c r="B107" s="20">
        <f>DATE(2021,2,1)</f>
        <v>44228</v>
      </c>
      <c r="C107" s="21">
        <v>191978</v>
      </c>
      <c r="D107" s="21">
        <v>302605</v>
      </c>
      <c r="E107" s="23">
        <f t="shared" si="35"/>
        <v>-0.3655821946101353</v>
      </c>
      <c r="F107" s="21">
        <f>+C107-89920</f>
        <v>102058</v>
      </c>
      <c r="G107" s="21">
        <f>+D107-136090</f>
        <v>166515</v>
      </c>
      <c r="H107" s="23">
        <f t="shared" si="36"/>
        <v>-0.3870942557727532</v>
      </c>
      <c r="I107" s="24">
        <f t="shared" si="37"/>
        <v>60.6603950452656</v>
      </c>
      <c r="J107" s="24">
        <f t="shared" si="38"/>
        <v>114.1063054341649</v>
      </c>
      <c r="K107" s="21">
        <v>11645461.32</v>
      </c>
      <c r="L107" s="21">
        <v>14123619.1</v>
      </c>
      <c r="M107" s="25">
        <f t="shared" si="39"/>
        <v>-0.1754619522414053</v>
      </c>
      <c r="N107" s="10"/>
      <c r="R107" s="2"/>
    </row>
    <row r="108" spans="1:18" ht="15.75" customHeight="1">
      <c r="A108" s="19"/>
      <c r="B108" s="20">
        <f>DATE(2021,3,1)</f>
        <v>44256</v>
      </c>
      <c r="C108" s="21">
        <v>267033</v>
      </c>
      <c r="D108" s="21">
        <v>159571</v>
      </c>
      <c r="E108" s="23">
        <f t="shared" si="35"/>
        <v>0.6734431694982171</v>
      </c>
      <c r="F108" s="21">
        <f>+C108-127518</f>
        <v>139515</v>
      </c>
      <c r="G108" s="21">
        <f>+D108-71512</f>
        <v>88059</v>
      </c>
      <c r="H108" s="23">
        <f t="shared" si="36"/>
        <v>0.5843355023336626</v>
      </c>
      <c r="I108" s="24">
        <f t="shared" si="37"/>
        <v>63.9472189579565</v>
      </c>
      <c r="J108" s="24">
        <f t="shared" si="38"/>
        <v>122.39556836182489</v>
      </c>
      <c r="K108" s="21">
        <v>17076017.72</v>
      </c>
      <c r="L108" s="21">
        <v>7271133.61</v>
      </c>
      <c r="M108" s="25">
        <f t="shared" si="39"/>
        <v>1.34846705285615</v>
      </c>
      <c r="N108" s="10"/>
      <c r="R108" s="2"/>
    </row>
    <row r="109" spans="1:18" ht="15.75" customHeight="1">
      <c r="A109" s="19"/>
      <c r="B109" s="20">
        <f>DATE(2021,4,1)</f>
        <v>44287</v>
      </c>
      <c r="C109" s="21">
        <v>260120</v>
      </c>
      <c r="D109" s="21">
        <v>0</v>
      </c>
      <c r="E109" s="23">
        <v>1</v>
      </c>
      <c r="F109" s="21">
        <f>+C109-121982</f>
        <v>138138</v>
      </c>
      <c r="G109" s="21">
        <v>0</v>
      </c>
      <c r="H109" s="23">
        <v>1</v>
      </c>
      <c r="I109" s="24">
        <f t="shared" si="37"/>
        <v>63.632863716746115</v>
      </c>
      <c r="J109" s="24">
        <f t="shared" si="38"/>
        <v>119.82351351547004</v>
      </c>
      <c r="K109" s="21">
        <v>16552180.51</v>
      </c>
      <c r="L109" s="21">
        <v>0</v>
      </c>
      <c r="M109" s="25">
        <v>1</v>
      </c>
      <c r="N109" s="10"/>
      <c r="R109" s="2"/>
    </row>
    <row r="110" spans="1:18" ht="15.75" customHeight="1" thickBot="1">
      <c r="A110" s="19"/>
      <c r="B110" s="45"/>
      <c r="C110" s="21"/>
      <c r="D110" s="21"/>
      <c r="E110" s="23"/>
      <c r="F110" s="21"/>
      <c r="G110" s="21"/>
      <c r="H110" s="23"/>
      <c r="I110" s="24"/>
      <c r="J110" s="24"/>
      <c r="K110" s="21"/>
      <c r="L110" s="21"/>
      <c r="M110" s="25"/>
      <c r="N110" s="10"/>
      <c r="R110" s="2"/>
    </row>
    <row r="111" spans="1:18" ht="17.25" thickBot="1" thickTop="1">
      <c r="A111" s="39" t="s">
        <v>14</v>
      </c>
      <c r="B111" s="40"/>
      <c r="C111" s="41">
        <f>SUM(C100:C110)</f>
        <v>2238093</v>
      </c>
      <c r="D111" s="41">
        <f>SUM(D100:D110)</f>
        <v>2573735</v>
      </c>
      <c r="E111" s="280">
        <f>(+C111-D111)/D111</f>
        <v>-0.13041047349474597</v>
      </c>
      <c r="F111" s="41">
        <f>SUM(F100:F110)</f>
        <v>1191396</v>
      </c>
      <c r="G111" s="41">
        <f>SUM(G100:G110)</f>
        <v>1434472</v>
      </c>
      <c r="H111" s="42">
        <f>(+F111-G111)/G111</f>
        <v>-0.16945329013044522</v>
      </c>
      <c r="I111" s="43">
        <f>K111/C111</f>
        <v>58.95347649985948</v>
      </c>
      <c r="J111" s="43">
        <f>K111/F111</f>
        <v>110.74685753519401</v>
      </c>
      <c r="K111" s="41">
        <f>SUM(K100:K110)</f>
        <v>131943363.08</v>
      </c>
      <c r="L111" s="41">
        <f>SUM(L100:L110)</f>
        <v>108440725.19999999</v>
      </c>
      <c r="M111" s="44">
        <f>(+K111-L111)/L111</f>
        <v>0.21673257751323127</v>
      </c>
      <c r="N111" s="10"/>
      <c r="R111" s="2"/>
    </row>
    <row r="112" spans="1:18" ht="15.75" customHeight="1" thickTop="1">
      <c r="A112" s="54"/>
      <c r="B112" s="55"/>
      <c r="C112" s="55"/>
      <c r="D112" s="55"/>
      <c r="E112" s="56"/>
      <c r="F112" s="55"/>
      <c r="G112" s="55"/>
      <c r="H112" s="56"/>
      <c r="I112" s="55"/>
      <c r="J112" s="55"/>
      <c r="K112" s="196"/>
      <c r="L112" s="196"/>
      <c r="M112" s="57"/>
      <c r="N112" s="10"/>
      <c r="R112" s="2"/>
    </row>
    <row r="113" spans="1:18" ht="15.75" customHeight="1">
      <c r="A113" s="19" t="s">
        <v>16</v>
      </c>
      <c r="B113" s="20">
        <f>DATE(2020,7,1)</f>
        <v>44013</v>
      </c>
      <c r="C113" s="21">
        <v>211446</v>
      </c>
      <c r="D113" s="21">
        <v>366609</v>
      </c>
      <c r="E113" s="23">
        <f aca="true" t="shared" si="40" ref="E113:E121">(+C113-D113)/D113</f>
        <v>-0.42323838203644754</v>
      </c>
      <c r="F113" s="21">
        <f>+C113-102823</f>
        <v>108623</v>
      </c>
      <c r="G113" s="21">
        <f>+D113-178251</f>
        <v>188358</v>
      </c>
      <c r="H113" s="23">
        <f aca="true" t="shared" si="41" ref="H113:H121">(+F113-G113)/G113</f>
        <v>-0.42331623822720565</v>
      </c>
      <c r="I113" s="24">
        <f aca="true" t="shared" si="42" ref="I113:I122">K113/C113</f>
        <v>65.39468994447755</v>
      </c>
      <c r="J113" s="24">
        <f aca="true" t="shared" si="43" ref="J113:J122">K113/F113</f>
        <v>127.29758531802656</v>
      </c>
      <c r="K113" s="21">
        <v>13827445.61</v>
      </c>
      <c r="L113" s="21">
        <v>15689376.04</v>
      </c>
      <c r="M113" s="25">
        <f aca="true" t="shared" si="44" ref="M113:M121">(+K113-L113)/L113</f>
        <v>-0.11867460026791478</v>
      </c>
      <c r="N113" s="10"/>
      <c r="R113" s="2"/>
    </row>
    <row r="114" spans="1:18" ht="15.75" customHeight="1">
      <c r="A114" s="19"/>
      <c r="B114" s="20">
        <f>DATE(2020,8,1)</f>
        <v>44044</v>
      </c>
      <c r="C114" s="21">
        <v>225551</v>
      </c>
      <c r="D114" s="21">
        <v>384874</v>
      </c>
      <c r="E114" s="23">
        <f t="shared" si="40"/>
        <v>-0.4139614523194604</v>
      </c>
      <c r="F114" s="21">
        <f>+C114-110461</f>
        <v>115090</v>
      </c>
      <c r="G114" s="21">
        <f>+D114-186167</f>
        <v>198707</v>
      </c>
      <c r="H114" s="23">
        <f t="shared" si="41"/>
        <v>-0.4208055076066772</v>
      </c>
      <c r="I114" s="24">
        <f t="shared" si="42"/>
        <v>63.5922016750092</v>
      </c>
      <c r="J114" s="24">
        <f t="shared" si="43"/>
        <v>124.62668068468155</v>
      </c>
      <c r="K114" s="21">
        <v>14343284.68</v>
      </c>
      <c r="L114" s="21">
        <v>16597532.28</v>
      </c>
      <c r="M114" s="25">
        <f t="shared" si="44"/>
        <v>-0.13581823863758136</v>
      </c>
      <c r="N114" s="10"/>
      <c r="R114" s="2"/>
    </row>
    <row r="115" spans="1:18" ht="15.75" customHeight="1">
      <c r="A115" s="19"/>
      <c r="B115" s="20">
        <f>DATE(2020,9,1)</f>
        <v>44075</v>
      </c>
      <c r="C115" s="21">
        <v>224827</v>
      </c>
      <c r="D115" s="21">
        <v>348168</v>
      </c>
      <c r="E115" s="23">
        <f t="shared" si="40"/>
        <v>-0.3542571402311528</v>
      </c>
      <c r="F115" s="21">
        <f>+C115-110393</f>
        <v>114434</v>
      </c>
      <c r="G115" s="21">
        <f>+D115-163347</f>
        <v>184821</v>
      </c>
      <c r="H115" s="23">
        <f t="shared" si="41"/>
        <v>-0.3808387575005005</v>
      </c>
      <c r="I115" s="24">
        <f t="shared" si="42"/>
        <v>60.45800201933042</v>
      </c>
      <c r="J115" s="24">
        <f t="shared" si="43"/>
        <v>118.78105475645351</v>
      </c>
      <c r="K115" s="21">
        <v>13592591.22</v>
      </c>
      <c r="L115" s="21">
        <v>15466295.43</v>
      </c>
      <c r="M115" s="25">
        <f t="shared" si="44"/>
        <v>-0.12114757657904114</v>
      </c>
      <c r="N115" s="10"/>
      <c r="R115" s="2"/>
    </row>
    <row r="116" spans="1:18" ht="15.75" customHeight="1">
      <c r="A116" s="19"/>
      <c r="B116" s="20">
        <f>DATE(2020,10,1)</f>
        <v>44105</v>
      </c>
      <c r="C116" s="21">
        <v>236689</v>
      </c>
      <c r="D116" s="21">
        <v>347400</v>
      </c>
      <c r="E116" s="23">
        <f t="shared" si="40"/>
        <v>-0.3186845135290731</v>
      </c>
      <c r="F116" s="21">
        <f>+C116-116990</f>
        <v>119699</v>
      </c>
      <c r="G116" s="21">
        <f>+D116-164019</f>
        <v>183381</v>
      </c>
      <c r="H116" s="23">
        <f t="shared" si="41"/>
        <v>-0.3472660744570048</v>
      </c>
      <c r="I116" s="24">
        <f t="shared" si="42"/>
        <v>61.045766089678864</v>
      </c>
      <c r="J116" s="24">
        <f t="shared" si="43"/>
        <v>120.70995856272818</v>
      </c>
      <c r="K116" s="21">
        <v>14448861.33</v>
      </c>
      <c r="L116" s="21">
        <v>16339837.66</v>
      </c>
      <c r="M116" s="25">
        <f t="shared" si="44"/>
        <v>-0.11572797535370373</v>
      </c>
      <c r="N116" s="10"/>
      <c r="R116" s="2"/>
    </row>
    <row r="117" spans="1:18" ht="15.75" customHeight="1">
      <c r="A117" s="19"/>
      <c r="B117" s="20">
        <f>DATE(2020,11,1)</f>
        <v>44136</v>
      </c>
      <c r="C117" s="21">
        <v>217833</v>
      </c>
      <c r="D117" s="21">
        <v>367906</v>
      </c>
      <c r="E117" s="23">
        <f t="shared" si="40"/>
        <v>-0.4079112599413981</v>
      </c>
      <c r="F117" s="21">
        <f>+C117-108450</f>
        <v>109383</v>
      </c>
      <c r="G117" s="21">
        <f>+D117-173004</f>
        <v>194902</v>
      </c>
      <c r="H117" s="23">
        <f t="shared" si="41"/>
        <v>-0.43877948917917725</v>
      </c>
      <c r="I117" s="24">
        <f t="shared" si="42"/>
        <v>57.770713482346565</v>
      </c>
      <c r="J117" s="24">
        <f t="shared" si="43"/>
        <v>115.04866231498497</v>
      </c>
      <c r="K117" s="21">
        <v>12584367.83</v>
      </c>
      <c r="L117" s="21">
        <v>16579737.3</v>
      </c>
      <c r="M117" s="25">
        <f t="shared" si="44"/>
        <v>-0.24097905761148583</v>
      </c>
      <c r="N117" s="10"/>
      <c r="R117" s="2"/>
    </row>
    <row r="118" spans="1:18" ht="15.75" customHeight="1">
      <c r="A118" s="19"/>
      <c r="B118" s="20">
        <f>DATE(2020,12,1)</f>
        <v>44166</v>
      </c>
      <c r="C118" s="21">
        <v>232838</v>
      </c>
      <c r="D118" s="21">
        <v>375779</v>
      </c>
      <c r="E118" s="23">
        <f t="shared" si="40"/>
        <v>-0.3803858118734682</v>
      </c>
      <c r="F118" s="21">
        <f>+C118-115697</f>
        <v>117141</v>
      </c>
      <c r="G118" s="21">
        <f>+D118-181369</f>
        <v>194410</v>
      </c>
      <c r="H118" s="23">
        <f t="shared" si="41"/>
        <v>-0.397453834679286</v>
      </c>
      <c r="I118" s="24">
        <f t="shared" si="42"/>
        <v>60.64107392264149</v>
      </c>
      <c r="J118" s="24">
        <f t="shared" si="43"/>
        <v>120.53462382940216</v>
      </c>
      <c r="K118" s="21">
        <v>14119546.37</v>
      </c>
      <c r="L118" s="21">
        <v>15685280.15</v>
      </c>
      <c r="M118" s="25">
        <f t="shared" si="44"/>
        <v>-0.09982185622613832</v>
      </c>
      <c r="N118" s="10"/>
      <c r="R118" s="2"/>
    </row>
    <row r="119" spans="1:18" ht="15.75" customHeight="1">
      <c r="A119" s="19"/>
      <c r="B119" s="20">
        <f>DATE(2021,1,1)</f>
        <v>44197</v>
      </c>
      <c r="C119" s="21">
        <v>260524</v>
      </c>
      <c r="D119" s="21">
        <v>330613</v>
      </c>
      <c r="E119" s="23">
        <f t="shared" si="40"/>
        <v>-0.211997108401666</v>
      </c>
      <c r="F119" s="21">
        <f>+C119-129652</f>
        <v>130872</v>
      </c>
      <c r="G119" s="21">
        <f>+D119-158076</f>
        <v>172537</v>
      </c>
      <c r="H119" s="23">
        <f t="shared" si="41"/>
        <v>-0.24148443522258994</v>
      </c>
      <c r="I119" s="24">
        <f t="shared" si="42"/>
        <v>60.423358462176225</v>
      </c>
      <c r="J119" s="24">
        <f t="shared" si="43"/>
        <v>120.28344519836175</v>
      </c>
      <c r="K119" s="21">
        <v>15741735.04</v>
      </c>
      <c r="L119" s="21">
        <v>15064884.39</v>
      </c>
      <c r="M119" s="25">
        <f t="shared" si="44"/>
        <v>0.04492903048424911</v>
      </c>
      <c r="N119" s="10"/>
      <c r="R119" s="2"/>
    </row>
    <row r="120" spans="1:18" ht="15.75" customHeight="1">
      <c r="A120" s="19"/>
      <c r="B120" s="20">
        <f>DATE(2021,2,1)</f>
        <v>44228</v>
      </c>
      <c r="C120" s="21">
        <v>219600</v>
      </c>
      <c r="D120" s="21">
        <v>374709</v>
      </c>
      <c r="E120" s="23">
        <f t="shared" si="40"/>
        <v>-0.4139452214918777</v>
      </c>
      <c r="F120" s="21">
        <f>+C120-109391</f>
        <v>110209</v>
      </c>
      <c r="G120" s="21">
        <f>+D120-179401</f>
        <v>195308</v>
      </c>
      <c r="H120" s="23">
        <f t="shared" si="41"/>
        <v>-0.4357169189178119</v>
      </c>
      <c r="I120" s="24">
        <f t="shared" si="42"/>
        <v>60.750195628415305</v>
      </c>
      <c r="J120" s="24">
        <f t="shared" si="43"/>
        <v>121.04948742843145</v>
      </c>
      <c r="K120" s="21">
        <v>13340742.96</v>
      </c>
      <c r="L120" s="21">
        <v>17069473.64</v>
      </c>
      <c r="M120" s="25">
        <f t="shared" si="44"/>
        <v>-0.2184443854942442</v>
      </c>
      <c r="N120" s="10"/>
      <c r="R120" s="2"/>
    </row>
    <row r="121" spans="1:18" ht="15.75" customHeight="1">
      <c r="A121" s="19"/>
      <c r="B121" s="20">
        <f>DATE(2021,3,1)</f>
        <v>44256</v>
      </c>
      <c r="C121" s="21">
        <v>314144</v>
      </c>
      <c r="D121" s="21">
        <v>181154</v>
      </c>
      <c r="E121" s="23">
        <f t="shared" si="40"/>
        <v>0.7341267650728109</v>
      </c>
      <c r="F121" s="21">
        <f>+C121-159326</f>
        <v>154818</v>
      </c>
      <c r="G121" s="21">
        <f>+D121-86940</f>
        <v>94214</v>
      </c>
      <c r="H121" s="23">
        <f t="shared" si="41"/>
        <v>0.6432589636359777</v>
      </c>
      <c r="I121" s="24">
        <f t="shared" si="42"/>
        <v>62.66379198711419</v>
      </c>
      <c r="J121" s="24">
        <f t="shared" si="43"/>
        <v>127.15223210479401</v>
      </c>
      <c r="K121" s="21">
        <v>19685454.27</v>
      </c>
      <c r="L121" s="21">
        <v>8556336.37</v>
      </c>
      <c r="M121" s="25">
        <f t="shared" si="44"/>
        <v>1.3006872823537676</v>
      </c>
      <c r="N121" s="10"/>
      <c r="R121" s="2"/>
    </row>
    <row r="122" spans="1:18" ht="15.75" customHeight="1">
      <c r="A122" s="19"/>
      <c r="B122" s="20">
        <f>DATE(2021,4,1)</f>
        <v>44287</v>
      </c>
      <c r="C122" s="21">
        <v>297291</v>
      </c>
      <c r="D122" s="21">
        <v>0</v>
      </c>
      <c r="E122" s="23">
        <v>1</v>
      </c>
      <c r="F122" s="21">
        <f>+C122-148792</f>
        <v>148499</v>
      </c>
      <c r="G122" s="21">
        <v>0</v>
      </c>
      <c r="H122" s="23">
        <v>1</v>
      </c>
      <c r="I122" s="24">
        <f t="shared" si="42"/>
        <v>65.3780196171428</v>
      </c>
      <c r="J122" s="24">
        <f t="shared" si="43"/>
        <v>130.8850351180816</v>
      </c>
      <c r="K122" s="21">
        <v>19436296.83</v>
      </c>
      <c r="L122" s="21">
        <v>0</v>
      </c>
      <c r="M122" s="25">
        <v>1</v>
      </c>
      <c r="N122" s="10"/>
      <c r="R122" s="2"/>
    </row>
    <row r="123" spans="1:18" ht="15.75" customHeight="1" thickBot="1">
      <c r="A123" s="19"/>
      <c r="B123" s="45"/>
      <c r="C123" s="21"/>
      <c r="D123" s="21"/>
      <c r="E123" s="23"/>
      <c r="F123" s="21"/>
      <c r="G123" s="21"/>
      <c r="H123" s="23"/>
      <c r="I123" s="24"/>
      <c r="J123" s="24"/>
      <c r="K123" s="21"/>
      <c r="L123" s="21"/>
      <c r="M123" s="25"/>
      <c r="N123" s="10"/>
      <c r="R123" s="2"/>
    </row>
    <row r="124" spans="1:18" ht="17.25" thickBot="1" thickTop="1">
      <c r="A124" s="39" t="s">
        <v>14</v>
      </c>
      <c r="B124" s="40"/>
      <c r="C124" s="41">
        <f>SUM(C113:C123)</f>
        <v>2440743</v>
      </c>
      <c r="D124" s="41">
        <f>SUM(D113:D123)</f>
        <v>3077212</v>
      </c>
      <c r="E124" s="280">
        <f>(+C124-D124)/D124</f>
        <v>-0.20683300338098254</v>
      </c>
      <c r="F124" s="41">
        <f>SUM(F113:F123)</f>
        <v>1228768</v>
      </c>
      <c r="G124" s="41">
        <f>SUM(G113:G123)</f>
        <v>1606638</v>
      </c>
      <c r="H124" s="42">
        <f>(+F124-G124)/G124</f>
        <v>-0.23519299307000083</v>
      </c>
      <c r="I124" s="43">
        <f>K124/C124</f>
        <v>61.91570605344357</v>
      </c>
      <c r="J124" s="43">
        <f>K124/F124</f>
        <v>122.98523898734344</v>
      </c>
      <c r="K124" s="41">
        <f>SUM(K113:K123)</f>
        <v>151120326.14000002</v>
      </c>
      <c r="L124" s="41">
        <f>SUM(L113:L123)</f>
        <v>137048753.26</v>
      </c>
      <c r="M124" s="44">
        <f>(+K124-L124)/L124</f>
        <v>0.10267567230841095</v>
      </c>
      <c r="N124" s="10"/>
      <c r="R124" s="2"/>
    </row>
    <row r="125" spans="1:18" ht="15.75" customHeight="1" thickTop="1">
      <c r="A125" s="54"/>
      <c r="B125" s="55"/>
      <c r="C125" s="55"/>
      <c r="D125" s="55"/>
      <c r="E125" s="56"/>
      <c r="F125" s="55"/>
      <c r="G125" s="55"/>
      <c r="H125" s="56"/>
      <c r="I125" s="55"/>
      <c r="J125" s="55"/>
      <c r="K125" s="196"/>
      <c r="L125" s="196"/>
      <c r="M125" s="57"/>
      <c r="N125" s="10"/>
      <c r="R125" s="2"/>
    </row>
    <row r="126" spans="1:18" ht="15.75" customHeight="1">
      <c r="A126" s="19" t="s">
        <v>54</v>
      </c>
      <c r="B126" s="20">
        <f>DATE(2020,7,1)</f>
        <v>44013</v>
      </c>
      <c r="C126" s="21">
        <v>223492</v>
      </c>
      <c r="D126" s="21">
        <v>420137</v>
      </c>
      <c r="E126" s="23">
        <f aca="true" t="shared" si="45" ref="E126:E134">(+C126-D126)/D126</f>
        <v>-0.4680497075953796</v>
      </c>
      <c r="F126" s="21">
        <f>+C126-109534</f>
        <v>113958</v>
      </c>
      <c r="G126" s="21">
        <f>+D126-190250</f>
        <v>229887</v>
      </c>
      <c r="H126" s="23">
        <f aca="true" t="shared" si="46" ref="H126:H134">(+F126-G126)/G126</f>
        <v>-0.5042868887757899</v>
      </c>
      <c r="I126" s="24">
        <f aca="true" t="shared" si="47" ref="I126:I135">K126/C126</f>
        <v>67.28460741324075</v>
      </c>
      <c r="J126" s="24">
        <f aca="true" t="shared" si="48" ref="J126:J135">K126/F126</f>
        <v>131.9571375419014</v>
      </c>
      <c r="K126" s="21">
        <v>15037571.48</v>
      </c>
      <c r="L126" s="21">
        <v>18224766.8</v>
      </c>
      <c r="M126" s="25">
        <f aca="true" t="shared" si="49" ref="M126:M134">(+K126-L126)/L126</f>
        <v>-0.17488263937621415</v>
      </c>
      <c r="N126" s="10"/>
      <c r="R126" s="2"/>
    </row>
    <row r="127" spans="1:18" ht="15.75" customHeight="1">
      <c r="A127" s="19"/>
      <c r="B127" s="20">
        <f>DATE(2020,8,1)</f>
        <v>44044</v>
      </c>
      <c r="C127" s="21">
        <v>243172</v>
      </c>
      <c r="D127" s="21">
        <v>436427</v>
      </c>
      <c r="E127" s="23">
        <f t="shared" si="45"/>
        <v>-0.44281174171167226</v>
      </c>
      <c r="F127" s="21">
        <f>+C127-117936</f>
        <v>125236</v>
      </c>
      <c r="G127" s="21">
        <f>+D127-195454</f>
        <v>240973</v>
      </c>
      <c r="H127" s="23">
        <f t="shared" si="46"/>
        <v>-0.48029032298224283</v>
      </c>
      <c r="I127" s="24">
        <f t="shared" si="47"/>
        <v>65.22778856118303</v>
      </c>
      <c r="J127" s="24">
        <f t="shared" si="48"/>
        <v>126.65345268133764</v>
      </c>
      <c r="K127" s="21">
        <v>15861571.8</v>
      </c>
      <c r="L127" s="21">
        <v>19518295.3</v>
      </c>
      <c r="M127" s="25">
        <f t="shared" si="49"/>
        <v>-0.18734850783818194</v>
      </c>
      <c r="N127" s="10"/>
      <c r="R127" s="2"/>
    </row>
    <row r="128" spans="1:18" ht="15.75" customHeight="1">
      <c r="A128" s="19"/>
      <c r="B128" s="20">
        <f>DATE(2020,9,1)</f>
        <v>44075</v>
      </c>
      <c r="C128" s="21">
        <v>258989</v>
      </c>
      <c r="D128" s="21">
        <v>419890</v>
      </c>
      <c r="E128" s="23">
        <f t="shared" si="45"/>
        <v>-0.3831979804234442</v>
      </c>
      <c r="F128" s="21">
        <f>+C128-126754</f>
        <v>132235</v>
      </c>
      <c r="G128" s="21">
        <f>+D128-187135</f>
        <v>232755</v>
      </c>
      <c r="H128" s="23">
        <f t="shared" si="46"/>
        <v>-0.4318704216880411</v>
      </c>
      <c r="I128" s="24">
        <f t="shared" si="47"/>
        <v>63.34660912239516</v>
      </c>
      <c r="J128" s="24">
        <f t="shared" si="48"/>
        <v>124.06756872235036</v>
      </c>
      <c r="K128" s="21">
        <v>16406074.95</v>
      </c>
      <c r="L128" s="21">
        <v>18459322.53</v>
      </c>
      <c r="M128" s="25">
        <f t="shared" si="49"/>
        <v>-0.11123092825660714</v>
      </c>
      <c r="N128" s="10"/>
      <c r="R128" s="2"/>
    </row>
    <row r="129" spans="1:18" ht="15.75" customHeight="1">
      <c r="A129" s="19"/>
      <c r="B129" s="20">
        <f>DATE(2020,10,1)</f>
        <v>44105</v>
      </c>
      <c r="C129" s="21">
        <v>272659</v>
      </c>
      <c r="D129" s="21">
        <v>422307</v>
      </c>
      <c r="E129" s="23">
        <f t="shared" si="45"/>
        <v>-0.3543583222631877</v>
      </c>
      <c r="F129" s="21">
        <f>+C129-130567</f>
        <v>142092</v>
      </c>
      <c r="G129" s="21">
        <f>+D129-185957</f>
        <v>236350</v>
      </c>
      <c r="H129" s="23">
        <f t="shared" si="46"/>
        <v>-0.39880685424159085</v>
      </c>
      <c r="I129" s="24">
        <f t="shared" si="47"/>
        <v>60.09047058780381</v>
      </c>
      <c r="J129" s="24">
        <f t="shared" si="48"/>
        <v>115.30703783464234</v>
      </c>
      <c r="K129" s="21">
        <v>16384207.62</v>
      </c>
      <c r="L129" s="21">
        <v>18621742.49</v>
      </c>
      <c r="M129" s="25">
        <f t="shared" si="49"/>
        <v>-0.12015711586612104</v>
      </c>
      <c r="N129" s="10"/>
      <c r="R129" s="2"/>
    </row>
    <row r="130" spans="1:18" ht="15.75" customHeight="1">
      <c r="A130" s="19"/>
      <c r="B130" s="20">
        <f>DATE(2020,11,1)</f>
        <v>44136</v>
      </c>
      <c r="C130" s="21">
        <v>229316</v>
      </c>
      <c r="D130" s="21">
        <v>434809</v>
      </c>
      <c r="E130" s="23">
        <f t="shared" si="45"/>
        <v>-0.4726052128635792</v>
      </c>
      <c r="F130" s="21">
        <f>+C130-112072</f>
        <v>117244</v>
      </c>
      <c r="G130" s="21">
        <f>+D130-195397</f>
        <v>239412</v>
      </c>
      <c r="H130" s="23">
        <f t="shared" si="46"/>
        <v>-0.5102835279768767</v>
      </c>
      <c r="I130" s="24">
        <f t="shared" si="47"/>
        <v>63.17435848349003</v>
      </c>
      <c r="J130" s="24">
        <f t="shared" si="48"/>
        <v>123.56189817815837</v>
      </c>
      <c r="K130" s="21">
        <v>14486891.19</v>
      </c>
      <c r="L130" s="21">
        <v>19750307.15</v>
      </c>
      <c r="M130" s="25">
        <f t="shared" si="49"/>
        <v>-0.2664979293752401</v>
      </c>
      <c r="N130" s="10"/>
      <c r="R130" s="2"/>
    </row>
    <row r="131" spans="1:18" ht="15.75" customHeight="1">
      <c r="A131" s="19"/>
      <c r="B131" s="20">
        <f>DATE(2020,12,1)</f>
        <v>44166</v>
      </c>
      <c r="C131" s="21">
        <v>224469</v>
      </c>
      <c r="D131" s="21">
        <v>424920</v>
      </c>
      <c r="E131" s="23">
        <f t="shared" si="45"/>
        <v>-0.4717382095453262</v>
      </c>
      <c r="F131" s="21">
        <f>+C131-110658</f>
        <v>113811</v>
      </c>
      <c r="G131" s="21">
        <f>+D131-195550</f>
        <v>229370</v>
      </c>
      <c r="H131" s="23">
        <f t="shared" si="46"/>
        <v>-0.5038104372847364</v>
      </c>
      <c r="I131" s="24">
        <f t="shared" si="47"/>
        <v>62.79005247940695</v>
      </c>
      <c r="J131" s="24">
        <f t="shared" si="48"/>
        <v>123.840580348121</v>
      </c>
      <c r="K131" s="21">
        <v>14094420.29</v>
      </c>
      <c r="L131" s="21">
        <v>19938989.45</v>
      </c>
      <c r="M131" s="25">
        <f t="shared" si="49"/>
        <v>-0.2931226366640161</v>
      </c>
      <c r="N131" s="10"/>
      <c r="R131" s="2"/>
    </row>
    <row r="132" spans="1:18" ht="15.75" customHeight="1">
      <c r="A132" s="19"/>
      <c r="B132" s="20">
        <f>DATE(2021,1,1)</f>
        <v>44197</v>
      </c>
      <c r="C132" s="21">
        <v>245222</v>
      </c>
      <c r="D132" s="21">
        <v>399730</v>
      </c>
      <c r="E132" s="23">
        <f t="shared" si="45"/>
        <v>-0.38653090836314513</v>
      </c>
      <c r="F132" s="21">
        <f>+C132-119074</f>
        <v>126148</v>
      </c>
      <c r="G132" s="21">
        <f>+D132-185431</f>
        <v>214299</v>
      </c>
      <c r="H132" s="23">
        <f t="shared" si="46"/>
        <v>-0.41134582989188</v>
      </c>
      <c r="I132" s="24">
        <f t="shared" si="47"/>
        <v>63.97669528019509</v>
      </c>
      <c r="J132" s="24">
        <f t="shared" si="48"/>
        <v>124.36577012715223</v>
      </c>
      <c r="K132" s="21">
        <v>15688493.17</v>
      </c>
      <c r="L132" s="21">
        <v>18939147.04</v>
      </c>
      <c r="M132" s="25">
        <f t="shared" si="49"/>
        <v>-0.17163676184225873</v>
      </c>
      <c r="N132" s="10"/>
      <c r="R132" s="2"/>
    </row>
    <row r="133" spans="1:18" ht="15.75" customHeight="1">
      <c r="A133" s="19"/>
      <c r="B133" s="20">
        <f>DATE(2021,2,1)</f>
        <v>44228</v>
      </c>
      <c r="C133" s="21">
        <v>206903</v>
      </c>
      <c r="D133" s="21">
        <v>435690</v>
      </c>
      <c r="E133" s="23">
        <f t="shared" si="45"/>
        <v>-0.525114186692373</v>
      </c>
      <c r="F133" s="21">
        <f>+C133-98743</f>
        <v>108160</v>
      </c>
      <c r="G133" s="21">
        <f>+D133-192836</f>
        <v>242854</v>
      </c>
      <c r="H133" s="23">
        <f t="shared" si="46"/>
        <v>-0.5546295304998065</v>
      </c>
      <c r="I133" s="24">
        <f t="shared" si="47"/>
        <v>64.50058563674766</v>
      </c>
      <c r="J133" s="24">
        <f t="shared" si="48"/>
        <v>123.38539820636095</v>
      </c>
      <c r="K133" s="21">
        <v>13345364.67</v>
      </c>
      <c r="L133" s="21">
        <v>18816164.98</v>
      </c>
      <c r="M133" s="25">
        <f t="shared" si="49"/>
        <v>-0.29075001817931556</v>
      </c>
      <c r="N133" s="10"/>
      <c r="R133" s="2"/>
    </row>
    <row r="134" spans="1:18" ht="15.75" customHeight="1">
      <c r="A134" s="19"/>
      <c r="B134" s="20">
        <f>DATE(2021,3,1)</f>
        <v>44256</v>
      </c>
      <c r="C134" s="21">
        <v>292430</v>
      </c>
      <c r="D134" s="21">
        <v>197840</v>
      </c>
      <c r="E134" s="23">
        <f t="shared" si="45"/>
        <v>0.4781136271734735</v>
      </c>
      <c r="F134" s="21">
        <f>+C134-142039</f>
        <v>150391</v>
      </c>
      <c r="G134" s="21">
        <f>+D134-89524</f>
        <v>108316</v>
      </c>
      <c r="H134" s="23">
        <f t="shared" si="46"/>
        <v>0.38844676686731416</v>
      </c>
      <c r="I134" s="24">
        <f t="shared" si="47"/>
        <v>64.7889830044797</v>
      </c>
      <c r="J134" s="24">
        <f t="shared" si="48"/>
        <v>125.97989440857499</v>
      </c>
      <c r="K134" s="21">
        <v>18946242.3</v>
      </c>
      <c r="L134" s="21">
        <v>9648338.77</v>
      </c>
      <c r="M134" s="25">
        <f t="shared" si="49"/>
        <v>0.9636792148002077</v>
      </c>
      <c r="N134" s="10"/>
      <c r="R134" s="2"/>
    </row>
    <row r="135" spans="1:18" ht="15.75" customHeight="1">
      <c r="A135" s="19"/>
      <c r="B135" s="20">
        <f>DATE(2021,4,1)</f>
        <v>44287</v>
      </c>
      <c r="C135" s="21">
        <v>297361</v>
      </c>
      <c r="D135" s="21">
        <v>0</v>
      </c>
      <c r="E135" s="23">
        <v>1</v>
      </c>
      <c r="F135" s="21">
        <f>+C135-142685</f>
        <v>154676</v>
      </c>
      <c r="G135" s="21">
        <v>0</v>
      </c>
      <c r="H135" s="23">
        <v>1</v>
      </c>
      <c r="I135" s="24">
        <f t="shared" si="47"/>
        <v>64.36083985458752</v>
      </c>
      <c r="J135" s="24">
        <f t="shared" si="48"/>
        <v>123.73221249579767</v>
      </c>
      <c r="K135" s="21">
        <v>19138403.7</v>
      </c>
      <c r="L135" s="21">
        <v>0</v>
      </c>
      <c r="M135" s="25">
        <v>1</v>
      </c>
      <c r="N135" s="10"/>
      <c r="R135" s="2"/>
    </row>
    <row r="136" spans="1:18" ht="15.75" customHeight="1" thickBot="1">
      <c r="A136" s="19"/>
      <c r="B136" s="45"/>
      <c r="C136" s="21"/>
      <c r="D136" s="21"/>
      <c r="E136" s="23"/>
      <c r="F136" s="21"/>
      <c r="G136" s="21"/>
      <c r="H136" s="23"/>
      <c r="I136" s="24"/>
      <c r="J136" s="24"/>
      <c r="K136" s="21"/>
      <c r="L136" s="21"/>
      <c r="M136" s="25"/>
      <c r="N136" s="10"/>
      <c r="R136" s="2"/>
    </row>
    <row r="137" spans="1:18" ht="17.25" thickBot="1" thickTop="1">
      <c r="A137" s="39" t="s">
        <v>14</v>
      </c>
      <c r="B137" s="40"/>
      <c r="C137" s="41">
        <f>SUM(C126:C136)</f>
        <v>2494013</v>
      </c>
      <c r="D137" s="41">
        <f>SUM(D126:D136)</f>
        <v>3591750</v>
      </c>
      <c r="E137" s="280">
        <f>(+C137-D137)/D137</f>
        <v>-0.3056273404329366</v>
      </c>
      <c r="F137" s="41">
        <f>SUM(F126:F136)</f>
        <v>1283951</v>
      </c>
      <c r="G137" s="41">
        <f>SUM(G126:G136)</f>
        <v>1974216</v>
      </c>
      <c r="H137" s="42">
        <f>(+F137-G137)/G137</f>
        <v>-0.34964005964899486</v>
      </c>
      <c r="I137" s="43">
        <f>K137/C137</f>
        <v>63.90874513083934</v>
      </c>
      <c r="J137" s="43">
        <f>K137/F137</f>
        <v>124.13966044654353</v>
      </c>
      <c r="K137" s="41">
        <f>SUM(K126:K136)</f>
        <v>159389241.17000002</v>
      </c>
      <c r="L137" s="41">
        <f>SUM(L126:L136)</f>
        <v>161917074.51000002</v>
      </c>
      <c r="M137" s="44">
        <f>(+K137-L137)/L137</f>
        <v>-0.015611901015688646</v>
      </c>
      <c r="N137" s="10"/>
      <c r="R137" s="2"/>
    </row>
    <row r="138" spans="1:18" ht="15.75" customHeight="1" thickTop="1">
      <c r="A138" s="58"/>
      <c r="B138" s="59"/>
      <c r="C138" s="59"/>
      <c r="D138" s="59"/>
      <c r="E138" s="60"/>
      <c r="F138" s="59"/>
      <c r="G138" s="59"/>
      <c r="H138" s="60"/>
      <c r="I138" s="59"/>
      <c r="J138" s="59"/>
      <c r="K138" s="197"/>
      <c r="L138" s="197"/>
      <c r="M138" s="61"/>
      <c r="N138" s="10"/>
      <c r="R138" s="2"/>
    </row>
    <row r="139" spans="1:18" ht="15" customHeight="1">
      <c r="A139" s="19" t="s">
        <v>55</v>
      </c>
      <c r="B139" s="20">
        <f>DATE(2020,7,1)</f>
        <v>44013</v>
      </c>
      <c r="C139" s="21">
        <v>43226</v>
      </c>
      <c r="D139" s="21">
        <v>61327</v>
      </c>
      <c r="E139" s="23">
        <f aca="true" t="shared" si="50" ref="E139:E147">(+C139-D139)/D139</f>
        <v>-0.29515547801131636</v>
      </c>
      <c r="F139" s="21">
        <f>+C139-22161</f>
        <v>21065</v>
      </c>
      <c r="G139" s="21">
        <f>+D139-29380</f>
        <v>31947</v>
      </c>
      <c r="H139" s="23">
        <f aca="true" t="shared" si="51" ref="H139:H147">(+F139-G139)/G139</f>
        <v>-0.3406266629104454</v>
      </c>
      <c r="I139" s="24">
        <f aca="true" t="shared" si="52" ref="I139:I148">K139/C139</f>
        <v>68.78585689168557</v>
      </c>
      <c r="J139" s="24">
        <f aca="true" t="shared" si="53" ref="J139:J148">K139/F139</f>
        <v>141.15060289579873</v>
      </c>
      <c r="K139" s="21">
        <v>2973337.45</v>
      </c>
      <c r="L139" s="21">
        <v>2748922.94</v>
      </c>
      <c r="M139" s="25">
        <f aca="true" t="shared" si="54" ref="M139:M147">(+K139-L139)/L139</f>
        <v>0.08163725026064217</v>
      </c>
      <c r="N139" s="10"/>
      <c r="R139" s="2"/>
    </row>
    <row r="140" spans="1:18" ht="15" customHeight="1">
      <c r="A140" s="19"/>
      <c r="B140" s="20">
        <f>DATE(2020,8,1)</f>
        <v>44044</v>
      </c>
      <c r="C140" s="21">
        <v>46706</v>
      </c>
      <c r="D140" s="21">
        <v>62887</v>
      </c>
      <c r="E140" s="23">
        <f t="shared" si="50"/>
        <v>-0.25730278117894</v>
      </c>
      <c r="F140" s="21">
        <f>+C140-23797</f>
        <v>22909</v>
      </c>
      <c r="G140" s="21">
        <f>+D140-30695</f>
        <v>32192</v>
      </c>
      <c r="H140" s="23">
        <f t="shared" si="51"/>
        <v>-0.2883635685884692</v>
      </c>
      <c r="I140" s="24">
        <f t="shared" si="52"/>
        <v>65.78854579711385</v>
      </c>
      <c r="J140" s="24">
        <f t="shared" si="53"/>
        <v>134.12719106028197</v>
      </c>
      <c r="K140" s="21">
        <v>3072719.82</v>
      </c>
      <c r="L140" s="21">
        <v>2960495.62</v>
      </c>
      <c r="M140" s="25">
        <f t="shared" si="54"/>
        <v>0.037907233924568254</v>
      </c>
      <c r="N140" s="10"/>
      <c r="R140" s="2"/>
    </row>
    <row r="141" spans="1:18" ht="15" customHeight="1">
      <c r="A141" s="19"/>
      <c r="B141" s="20">
        <f>DATE(2020,9,1)</f>
        <v>44075</v>
      </c>
      <c r="C141" s="21">
        <v>44655</v>
      </c>
      <c r="D141" s="21">
        <v>59108</v>
      </c>
      <c r="E141" s="23">
        <f t="shared" si="50"/>
        <v>-0.2445185084929282</v>
      </c>
      <c r="F141" s="21">
        <f>+C141-22941</f>
        <v>21714</v>
      </c>
      <c r="G141" s="21">
        <f>+D141-28508</f>
        <v>30600</v>
      </c>
      <c r="H141" s="23">
        <f t="shared" si="51"/>
        <v>-0.2903921568627451</v>
      </c>
      <c r="I141" s="24">
        <f t="shared" si="52"/>
        <v>63.064807748292466</v>
      </c>
      <c r="J141" s="24">
        <f t="shared" si="53"/>
        <v>129.69323892419638</v>
      </c>
      <c r="K141" s="21">
        <v>2816158.99</v>
      </c>
      <c r="L141" s="21">
        <v>2697791.52</v>
      </c>
      <c r="M141" s="25">
        <f t="shared" si="54"/>
        <v>0.04387569206978611</v>
      </c>
      <c r="N141" s="10"/>
      <c r="R141" s="2"/>
    </row>
    <row r="142" spans="1:18" ht="15" customHeight="1">
      <c r="A142" s="19"/>
      <c r="B142" s="20">
        <f>DATE(2020,10,1)</f>
        <v>44105</v>
      </c>
      <c r="C142" s="21">
        <v>42403</v>
      </c>
      <c r="D142" s="21">
        <v>56197</v>
      </c>
      <c r="E142" s="23">
        <f t="shared" si="50"/>
        <v>-0.24545794259480044</v>
      </c>
      <c r="F142" s="21">
        <f>+C142-22277</f>
        <v>20126</v>
      </c>
      <c r="G142" s="21">
        <f>+D142-27661</f>
        <v>28536</v>
      </c>
      <c r="H142" s="23">
        <f t="shared" si="51"/>
        <v>-0.29471544715447157</v>
      </c>
      <c r="I142" s="24">
        <f t="shared" si="52"/>
        <v>67.73606513690069</v>
      </c>
      <c r="J142" s="24">
        <f t="shared" si="53"/>
        <v>142.71153582430688</v>
      </c>
      <c r="K142" s="21">
        <v>2872212.37</v>
      </c>
      <c r="L142" s="21">
        <v>2815045.18</v>
      </c>
      <c r="M142" s="25">
        <f t="shared" si="54"/>
        <v>0.020307734457036295</v>
      </c>
      <c r="N142" s="10"/>
      <c r="R142" s="2"/>
    </row>
    <row r="143" spans="1:18" ht="15" customHeight="1">
      <c r="A143" s="19"/>
      <c r="B143" s="20">
        <f>DATE(2020,11,1)</f>
        <v>44136</v>
      </c>
      <c r="C143" s="21">
        <v>37816</v>
      </c>
      <c r="D143" s="21">
        <v>56040</v>
      </c>
      <c r="E143" s="23">
        <f t="shared" si="50"/>
        <v>-0.3251962883654532</v>
      </c>
      <c r="F143" s="21">
        <f>+C143-19316</f>
        <v>18500</v>
      </c>
      <c r="G143" s="21">
        <f>+D143-27978</f>
        <v>28062</v>
      </c>
      <c r="H143" s="23">
        <f t="shared" si="51"/>
        <v>-0.3407454921245813</v>
      </c>
      <c r="I143" s="24">
        <f t="shared" si="52"/>
        <v>70.01662788237782</v>
      </c>
      <c r="J143" s="24">
        <f t="shared" si="53"/>
        <v>143.12155675675675</v>
      </c>
      <c r="K143" s="21">
        <v>2647748.8</v>
      </c>
      <c r="L143" s="21">
        <v>2921369.96</v>
      </c>
      <c r="M143" s="25">
        <f t="shared" si="54"/>
        <v>-0.09366193386886204</v>
      </c>
      <c r="N143" s="10"/>
      <c r="R143" s="2"/>
    </row>
    <row r="144" spans="1:18" ht="15" customHeight="1">
      <c r="A144" s="19"/>
      <c r="B144" s="20">
        <f>DATE(2020,12,1)</f>
        <v>44166</v>
      </c>
      <c r="C144" s="21">
        <v>48198</v>
      </c>
      <c r="D144" s="21">
        <v>57797</v>
      </c>
      <c r="E144" s="23">
        <f t="shared" si="50"/>
        <v>-0.16608128449573506</v>
      </c>
      <c r="F144" s="21">
        <f>+C144-24463</f>
        <v>23735</v>
      </c>
      <c r="G144" s="21">
        <f>+D144-28840</f>
        <v>28957</v>
      </c>
      <c r="H144" s="23">
        <f t="shared" si="51"/>
        <v>-0.18033636081085747</v>
      </c>
      <c r="I144" s="24">
        <f t="shared" si="52"/>
        <v>68.9458552222084</v>
      </c>
      <c r="J144" s="24">
        <f t="shared" si="53"/>
        <v>140.0064179481778</v>
      </c>
      <c r="K144" s="21">
        <v>3323052.33</v>
      </c>
      <c r="L144" s="21">
        <v>2789521.62</v>
      </c>
      <c r="M144" s="25">
        <f t="shared" si="54"/>
        <v>0.1912624394716109</v>
      </c>
      <c r="N144" s="10"/>
      <c r="R144" s="2"/>
    </row>
    <row r="145" spans="1:18" ht="15" customHeight="1">
      <c r="A145" s="19"/>
      <c r="B145" s="20">
        <f>DATE(2021,1,1)</f>
        <v>44197</v>
      </c>
      <c r="C145" s="21">
        <v>49456</v>
      </c>
      <c r="D145" s="21">
        <v>48934</v>
      </c>
      <c r="E145" s="23">
        <f t="shared" si="50"/>
        <v>0.010667429599051785</v>
      </c>
      <c r="F145" s="21">
        <f>+C145-25797</f>
        <v>23659</v>
      </c>
      <c r="G145" s="21">
        <f>+D145-24962</f>
        <v>23972</v>
      </c>
      <c r="H145" s="23">
        <f t="shared" si="51"/>
        <v>-0.013056899716335725</v>
      </c>
      <c r="I145" s="24">
        <f t="shared" si="52"/>
        <v>70.99026670171466</v>
      </c>
      <c r="J145" s="24">
        <f t="shared" si="53"/>
        <v>148.39573227947082</v>
      </c>
      <c r="K145" s="21">
        <v>3510894.63</v>
      </c>
      <c r="L145" s="21">
        <v>2557164.3</v>
      </c>
      <c r="M145" s="25">
        <f t="shared" si="54"/>
        <v>0.3729640406758377</v>
      </c>
      <c r="N145" s="10"/>
      <c r="R145" s="2"/>
    </row>
    <row r="146" spans="1:18" ht="15" customHeight="1">
      <c r="A146" s="19"/>
      <c r="B146" s="20">
        <f>DATE(2021,2,1)</f>
        <v>44228</v>
      </c>
      <c r="C146" s="21">
        <v>37429</v>
      </c>
      <c r="D146" s="21">
        <v>57643</v>
      </c>
      <c r="E146" s="23">
        <f t="shared" si="50"/>
        <v>-0.35067571084086535</v>
      </c>
      <c r="F146" s="21">
        <f>+C146-19952</f>
        <v>17477</v>
      </c>
      <c r="G146" s="21">
        <f>+D146-29130</f>
        <v>28513</v>
      </c>
      <c r="H146" s="23">
        <f t="shared" si="51"/>
        <v>-0.3870515203591344</v>
      </c>
      <c r="I146" s="24">
        <f t="shared" si="52"/>
        <v>70.19473402976303</v>
      </c>
      <c r="J146" s="24">
        <f t="shared" si="53"/>
        <v>150.33007381129485</v>
      </c>
      <c r="K146" s="21">
        <v>2627318.7</v>
      </c>
      <c r="L146" s="21">
        <v>2997668.94</v>
      </c>
      <c r="M146" s="25">
        <f t="shared" si="54"/>
        <v>-0.12354607777335137</v>
      </c>
      <c r="N146" s="10"/>
      <c r="R146" s="2"/>
    </row>
    <row r="147" spans="1:18" ht="15" customHeight="1">
      <c r="A147" s="19"/>
      <c r="B147" s="20">
        <f>DATE(2021,3,1)</f>
        <v>44256</v>
      </c>
      <c r="C147" s="21">
        <v>59560</v>
      </c>
      <c r="D147" s="21">
        <v>31920</v>
      </c>
      <c r="E147" s="23">
        <f t="shared" si="50"/>
        <v>0.8659147869674185</v>
      </c>
      <c r="F147" s="21">
        <f>+C147-31450</f>
        <v>28110</v>
      </c>
      <c r="G147" s="21">
        <f>+D147-15915</f>
        <v>16005</v>
      </c>
      <c r="H147" s="23">
        <f t="shared" si="51"/>
        <v>0.7563261480787254</v>
      </c>
      <c r="I147" s="24">
        <f t="shared" si="52"/>
        <v>71.87157102081933</v>
      </c>
      <c r="J147" s="24">
        <f t="shared" si="53"/>
        <v>152.28284489505512</v>
      </c>
      <c r="K147" s="21">
        <v>4280670.77</v>
      </c>
      <c r="L147" s="21">
        <v>1820820.56</v>
      </c>
      <c r="M147" s="25">
        <f t="shared" si="54"/>
        <v>1.3509569608550551</v>
      </c>
      <c r="N147" s="10"/>
      <c r="R147" s="2"/>
    </row>
    <row r="148" spans="1:18" ht="15" customHeight="1">
      <c r="A148" s="19"/>
      <c r="B148" s="20">
        <f>DATE(2021,4,1)</f>
        <v>44287</v>
      </c>
      <c r="C148" s="21">
        <v>56019</v>
      </c>
      <c r="D148" s="21">
        <v>0</v>
      </c>
      <c r="E148" s="23">
        <v>1</v>
      </c>
      <c r="F148" s="21">
        <f>+C148-29778</f>
        <v>26241</v>
      </c>
      <c r="G148" s="21">
        <v>0</v>
      </c>
      <c r="H148" s="23">
        <v>1</v>
      </c>
      <c r="I148" s="24">
        <f t="shared" si="52"/>
        <v>69.85632446134348</v>
      </c>
      <c r="J148" s="24">
        <f t="shared" si="53"/>
        <v>149.12851796806524</v>
      </c>
      <c r="K148" s="21">
        <v>3913281.44</v>
      </c>
      <c r="L148" s="21">
        <v>0</v>
      </c>
      <c r="M148" s="25">
        <v>1</v>
      </c>
      <c r="N148" s="10"/>
      <c r="R148" s="2"/>
    </row>
    <row r="149" spans="1:18" ht="15.75" thickBot="1">
      <c r="A149" s="38"/>
      <c r="B149" s="20"/>
      <c r="C149" s="21"/>
      <c r="D149" s="21"/>
      <c r="E149" s="23"/>
      <c r="F149" s="21"/>
      <c r="G149" s="21"/>
      <c r="H149" s="23"/>
      <c r="I149" s="24"/>
      <c r="J149" s="24"/>
      <c r="K149" s="21"/>
      <c r="L149" s="21"/>
      <c r="M149" s="25"/>
      <c r="N149" s="10"/>
      <c r="R149" s="2"/>
    </row>
    <row r="150" spans="1:18" ht="17.25" thickBot="1" thickTop="1">
      <c r="A150" s="62" t="s">
        <v>14</v>
      </c>
      <c r="B150" s="52"/>
      <c r="C150" s="48">
        <f>SUM(C139:C149)</f>
        <v>465468</v>
      </c>
      <c r="D150" s="48">
        <f>SUM(D139:D149)</f>
        <v>491853</v>
      </c>
      <c r="E150" s="280">
        <f>(+C150-D150)/D150</f>
        <v>-0.05364407658385737</v>
      </c>
      <c r="F150" s="48">
        <f>SUM(F139:F149)</f>
        <v>223536</v>
      </c>
      <c r="G150" s="48">
        <f>SUM(G139:G149)</f>
        <v>248784</v>
      </c>
      <c r="H150" s="42">
        <f>(+F150-G150)/G150</f>
        <v>-0.1014856260852788</v>
      </c>
      <c r="I150" s="50">
        <f>K150/C150</f>
        <v>68.82835189529678</v>
      </c>
      <c r="J150" s="50">
        <f>K150/F150</f>
        <v>143.3209653031279</v>
      </c>
      <c r="K150" s="48">
        <f>SUM(K139:K149)</f>
        <v>32037395.299999997</v>
      </c>
      <c r="L150" s="48">
        <f>SUM(L139:L149)</f>
        <v>24308800.64</v>
      </c>
      <c r="M150" s="44">
        <f>(+K150-L150)/L150</f>
        <v>0.31793401799028437</v>
      </c>
      <c r="N150" s="10"/>
      <c r="R150" s="2"/>
    </row>
    <row r="151" spans="1:18" ht="15.75" customHeight="1" thickTop="1">
      <c r="A151" s="19"/>
      <c r="B151" s="45"/>
      <c r="C151" s="21"/>
      <c r="D151" s="21"/>
      <c r="E151" s="23"/>
      <c r="F151" s="21"/>
      <c r="G151" s="21"/>
      <c r="H151" s="23"/>
      <c r="I151" s="24"/>
      <c r="J151" s="24"/>
      <c r="K151" s="21"/>
      <c r="L151" s="21"/>
      <c r="M151" s="25"/>
      <c r="N151" s="10"/>
      <c r="R151" s="2"/>
    </row>
    <row r="152" spans="1:18" ht="15.75">
      <c r="A152" s="19" t="s">
        <v>17</v>
      </c>
      <c r="B152" s="20">
        <f>DATE(2020,7,1)</f>
        <v>44013</v>
      </c>
      <c r="C152" s="21">
        <v>316439</v>
      </c>
      <c r="D152" s="21">
        <v>447474</v>
      </c>
      <c r="E152" s="23">
        <f aca="true" t="shared" si="55" ref="E152:E160">(+C152-D152)/D152</f>
        <v>-0.2928326561990194</v>
      </c>
      <c r="F152" s="21">
        <f>+C152-163690</f>
        <v>152749</v>
      </c>
      <c r="G152" s="21">
        <f>+D152-208413</f>
        <v>239061</v>
      </c>
      <c r="H152" s="23">
        <f aca="true" t="shared" si="56" ref="H152:H160">(+F152-G152)/G152</f>
        <v>-0.3610459255169183</v>
      </c>
      <c r="I152" s="24">
        <f aca="true" t="shared" si="57" ref="I152:I161">K152/C152</f>
        <v>71.81767041989134</v>
      </c>
      <c r="J152" s="24">
        <f aca="true" t="shared" si="58" ref="J152:J161">K152/F152</f>
        <v>148.77944739409094</v>
      </c>
      <c r="K152" s="21">
        <v>22725911.81</v>
      </c>
      <c r="L152" s="21">
        <v>22798067.89</v>
      </c>
      <c r="M152" s="25">
        <f aca="true" t="shared" si="59" ref="M152:M160">(+K152-L152)/L152</f>
        <v>-0.00316500855897758</v>
      </c>
      <c r="N152" s="10"/>
      <c r="R152" s="2"/>
    </row>
    <row r="153" spans="1:18" ht="15.75">
      <c r="A153" s="19"/>
      <c r="B153" s="20">
        <f>DATE(2020,8,1)</f>
        <v>44044</v>
      </c>
      <c r="C153" s="21">
        <v>305395</v>
      </c>
      <c r="D153" s="21">
        <v>463395</v>
      </c>
      <c r="E153" s="23">
        <f t="shared" si="55"/>
        <v>-0.3409618144347695</v>
      </c>
      <c r="F153" s="21">
        <f>+C153-155433</f>
        <v>149962</v>
      </c>
      <c r="G153" s="21">
        <f>+D153-219743</f>
        <v>243652</v>
      </c>
      <c r="H153" s="23">
        <f t="shared" si="56"/>
        <v>-0.3845238290676867</v>
      </c>
      <c r="I153" s="24">
        <f t="shared" si="57"/>
        <v>68.0289568918941</v>
      </c>
      <c r="J153" s="24">
        <f t="shared" si="58"/>
        <v>138.53978534562088</v>
      </c>
      <c r="K153" s="21">
        <v>20775703.29</v>
      </c>
      <c r="L153" s="21">
        <v>23200828.35</v>
      </c>
      <c r="M153" s="25">
        <f t="shared" si="59"/>
        <v>-0.10452752045812201</v>
      </c>
      <c r="N153" s="10"/>
      <c r="R153" s="2"/>
    </row>
    <row r="154" spans="1:18" ht="15.75">
      <c r="A154" s="19"/>
      <c r="B154" s="20">
        <f>DATE(2020,9,1)</f>
        <v>44075</v>
      </c>
      <c r="C154" s="21">
        <v>318244</v>
      </c>
      <c r="D154" s="21">
        <v>425892</v>
      </c>
      <c r="E154" s="23">
        <f t="shared" si="55"/>
        <v>-0.2527589154057836</v>
      </c>
      <c r="F154" s="21">
        <f>+C154-166636</f>
        <v>151608</v>
      </c>
      <c r="G154" s="21">
        <f>+D154-202215</f>
        <v>223677</v>
      </c>
      <c r="H154" s="23">
        <f t="shared" si="56"/>
        <v>-0.3222012097801741</v>
      </c>
      <c r="I154" s="24">
        <f t="shared" si="57"/>
        <v>64.09320411382461</v>
      </c>
      <c r="J154" s="24">
        <f t="shared" si="58"/>
        <v>134.53958663131232</v>
      </c>
      <c r="K154" s="21">
        <v>20397277.65</v>
      </c>
      <c r="L154" s="21">
        <v>21530902.17</v>
      </c>
      <c r="M154" s="25">
        <f t="shared" si="59"/>
        <v>-0.0526510459733329</v>
      </c>
      <c r="N154" s="10"/>
      <c r="R154" s="2"/>
    </row>
    <row r="155" spans="1:18" ht="15.75">
      <c r="A155" s="19"/>
      <c r="B155" s="20">
        <f>DATE(2020,10,1)</f>
        <v>44105</v>
      </c>
      <c r="C155" s="21">
        <v>334295</v>
      </c>
      <c r="D155" s="21">
        <v>405696</v>
      </c>
      <c r="E155" s="23">
        <f t="shared" si="55"/>
        <v>-0.1759963125098596</v>
      </c>
      <c r="F155" s="21">
        <f>+C155-175103</f>
        <v>159192</v>
      </c>
      <c r="G155" s="21">
        <f>+D155-186355</f>
        <v>219341</v>
      </c>
      <c r="H155" s="23">
        <f t="shared" si="56"/>
        <v>-0.2742259769035429</v>
      </c>
      <c r="I155" s="24">
        <f t="shared" si="57"/>
        <v>65.55346891218834</v>
      </c>
      <c r="J155" s="24">
        <f t="shared" si="58"/>
        <v>137.65890804814313</v>
      </c>
      <c r="K155" s="21">
        <v>21914196.89</v>
      </c>
      <c r="L155" s="21">
        <v>21798172.19</v>
      </c>
      <c r="M155" s="25">
        <f t="shared" si="59"/>
        <v>0.005322680222391584</v>
      </c>
      <c r="N155" s="10"/>
      <c r="R155" s="2"/>
    </row>
    <row r="156" spans="1:18" ht="15.75">
      <c r="A156" s="19"/>
      <c r="B156" s="20">
        <f>DATE(2020,11,1)</f>
        <v>44136</v>
      </c>
      <c r="C156" s="21">
        <v>292924</v>
      </c>
      <c r="D156" s="21">
        <v>410474</v>
      </c>
      <c r="E156" s="23">
        <f t="shared" si="55"/>
        <v>-0.2863762382026633</v>
      </c>
      <c r="F156" s="21">
        <f>+C156-150746</f>
        <v>142178</v>
      </c>
      <c r="G156" s="21">
        <f>+D156-191079</f>
        <v>219395</v>
      </c>
      <c r="H156" s="23">
        <f t="shared" si="56"/>
        <v>-0.35195423779028695</v>
      </c>
      <c r="I156" s="24">
        <f t="shared" si="57"/>
        <v>65.06926646502164</v>
      </c>
      <c r="J156" s="24">
        <f t="shared" si="58"/>
        <v>134.05976881092712</v>
      </c>
      <c r="K156" s="21">
        <v>19060349.81</v>
      </c>
      <c r="L156" s="21">
        <v>20825709.97</v>
      </c>
      <c r="M156" s="25">
        <f t="shared" si="59"/>
        <v>-0.08476830622067864</v>
      </c>
      <c r="N156" s="10"/>
      <c r="R156" s="2"/>
    </row>
    <row r="157" spans="1:18" ht="15.75">
      <c r="A157" s="19"/>
      <c r="B157" s="20">
        <f>DATE(2020,12,1)</f>
        <v>44166</v>
      </c>
      <c r="C157" s="21">
        <v>344056</v>
      </c>
      <c r="D157" s="21">
        <v>436988</v>
      </c>
      <c r="E157" s="23">
        <f t="shared" si="55"/>
        <v>-0.21266487866943715</v>
      </c>
      <c r="F157" s="21">
        <f>+C157-176597</f>
        <v>167459</v>
      </c>
      <c r="G157" s="21">
        <f>+D157-202156</f>
        <v>234832</v>
      </c>
      <c r="H157" s="23">
        <f t="shared" si="56"/>
        <v>-0.28689871908428155</v>
      </c>
      <c r="I157" s="24">
        <f t="shared" si="57"/>
        <v>69.41043402818146</v>
      </c>
      <c r="J157" s="24">
        <f t="shared" si="58"/>
        <v>142.60849694552098</v>
      </c>
      <c r="K157" s="21">
        <v>23881076.29</v>
      </c>
      <c r="L157" s="21">
        <v>22010059.18</v>
      </c>
      <c r="M157" s="25">
        <f t="shared" si="59"/>
        <v>0.08500736389205835</v>
      </c>
      <c r="N157" s="10"/>
      <c r="R157" s="2"/>
    </row>
    <row r="158" spans="1:18" ht="15.75">
      <c r="A158" s="19"/>
      <c r="B158" s="20">
        <f>DATE(2021,1,1)</f>
        <v>44197</v>
      </c>
      <c r="C158" s="21">
        <v>393510</v>
      </c>
      <c r="D158" s="21">
        <v>413705</v>
      </c>
      <c r="E158" s="23">
        <f t="shared" si="55"/>
        <v>-0.048814976855488815</v>
      </c>
      <c r="F158" s="21">
        <f>+C158-207236</f>
        <v>186274</v>
      </c>
      <c r="G158" s="21">
        <f>+D158-196166</f>
        <v>217539</v>
      </c>
      <c r="H158" s="23">
        <f t="shared" si="56"/>
        <v>-0.14372135571093</v>
      </c>
      <c r="I158" s="24">
        <f t="shared" si="57"/>
        <v>66.00784155421718</v>
      </c>
      <c r="J158" s="24">
        <f t="shared" si="58"/>
        <v>139.44375344921997</v>
      </c>
      <c r="K158" s="21">
        <v>25974745.73</v>
      </c>
      <c r="L158" s="21">
        <v>21171280.83</v>
      </c>
      <c r="M158" s="25">
        <f t="shared" si="59"/>
        <v>0.22688589030444611</v>
      </c>
      <c r="N158" s="10"/>
      <c r="R158" s="2"/>
    </row>
    <row r="159" spans="1:18" ht="15.75">
      <c r="A159" s="19"/>
      <c r="B159" s="20">
        <f>DATE(2021,2,1)</f>
        <v>44228</v>
      </c>
      <c r="C159" s="21">
        <v>319714</v>
      </c>
      <c r="D159" s="21">
        <v>430579</v>
      </c>
      <c r="E159" s="23">
        <f t="shared" si="55"/>
        <v>-0.25747888308533395</v>
      </c>
      <c r="F159" s="21">
        <f>+C159-169622</f>
        <v>150092</v>
      </c>
      <c r="G159" s="21">
        <f>+D159-205960</f>
        <v>224619</v>
      </c>
      <c r="H159" s="23">
        <f t="shared" si="56"/>
        <v>-0.33179294716831614</v>
      </c>
      <c r="I159" s="24">
        <f t="shared" si="57"/>
        <v>68.92292833595026</v>
      </c>
      <c r="J159" s="24">
        <f t="shared" si="58"/>
        <v>146.81412140553795</v>
      </c>
      <c r="K159" s="21">
        <v>22035625.11</v>
      </c>
      <c r="L159" s="21">
        <v>21286896.96</v>
      </c>
      <c r="M159" s="25">
        <f t="shared" si="59"/>
        <v>0.03517319369783798</v>
      </c>
      <c r="N159" s="10"/>
      <c r="R159" s="2"/>
    </row>
    <row r="160" spans="1:18" ht="15.75">
      <c r="A160" s="19"/>
      <c r="B160" s="20">
        <f>DATE(2021,3,1)</f>
        <v>44256</v>
      </c>
      <c r="C160" s="21">
        <v>399522</v>
      </c>
      <c r="D160" s="21">
        <v>213931</v>
      </c>
      <c r="E160" s="23">
        <f t="shared" si="55"/>
        <v>0.8675273803235622</v>
      </c>
      <c r="F160" s="21">
        <f>+C160-209767</f>
        <v>189755</v>
      </c>
      <c r="G160" s="21">
        <f>+D160-102211</f>
        <v>111720</v>
      </c>
      <c r="H160" s="23">
        <f t="shared" si="56"/>
        <v>0.6984872896527032</v>
      </c>
      <c r="I160" s="24">
        <f t="shared" si="57"/>
        <v>70.02679124053245</v>
      </c>
      <c r="J160" s="24">
        <f t="shared" si="58"/>
        <v>147.4387694131907</v>
      </c>
      <c r="K160" s="21">
        <v>27977243.69</v>
      </c>
      <c r="L160" s="21">
        <v>11674661.05</v>
      </c>
      <c r="M160" s="25">
        <f t="shared" si="59"/>
        <v>1.3964073620792614</v>
      </c>
      <c r="N160" s="10"/>
      <c r="R160" s="2"/>
    </row>
    <row r="161" spans="1:18" ht="15.75">
      <c r="A161" s="19"/>
      <c r="B161" s="20">
        <f>DATE(2021,4,1)</f>
        <v>44287</v>
      </c>
      <c r="C161" s="21">
        <v>387065</v>
      </c>
      <c r="D161" s="21">
        <v>0</v>
      </c>
      <c r="E161" s="23">
        <v>1</v>
      </c>
      <c r="F161" s="21">
        <f>+C161-202718</f>
        <v>184347</v>
      </c>
      <c r="G161" s="21">
        <v>0</v>
      </c>
      <c r="H161" s="23">
        <v>1</v>
      </c>
      <c r="I161" s="24">
        <f t="shared" si="57"/>
        <v>69.58327991422628</v>
      </c>
      <c r="J161" s="24">
        <f t="shared" si="58"/>
        <v>146.10084373491296</v>
      </c>
      <c r="K161" s="21">
        <v>26933252.24</v>
      </c>
      <c r="L161" s="21">
        <v>0</v>
      </c>
      <c r="M161" s="25">
        <v>1</v>
      </c>
      <c r="N161" s="10"/>
      <c r="R161" s="2"/>
    </row>
    <row r="162" spans="1:18" ht="15.75" thickBot="1">
      <c r="A162" s="38"/>
      <c r="B162" s="45"/>
      <c r="C162" s="21"/>
      <c r="D162" s="21"/>
      <c r="E162" s="23"/>
      <c r="F162" s="21"/>
      <c r="G162" s="21"/>
      <c r="H162" s="23"/>
      <c r="I162" s="24"/>
      <c r="J162" s="24"/>
      <c r="K162" s="21"/>
      <c r="L162" s="21"/>
      <c r="M162" s="25"/>
      <c r="N162" s="10"/>
      <c r="R162" s="2"/>
    </row>
    <row r="163" spans="1:18" ht="17.25" thickBot="1" thickTop="1">
      <c r="A163" s="39" t="s">
        <v>14</v>
      </c>
      <c r="B163" s="40"/>
      <c r="C163" s="41">
        <f>SUM(C152:C162)</f>
        <v>3411164</v>
      </c>
      <c r="D163" s="41">
        <f>SUM(D152:D162)</f>
        <v>3648134</v>
      </c>
      <c r="E163" s="280">
        <f>(+C163-D163)/D163</f>
        <v>-0.06495649556732291</v>
      </c>
      <c r="F163" s="41">
        <f>SUM(F152:F162)</f>
        <v>1633616</v>
      </c>
      <c r="G163" s="41">
        <f>SUM(G152:G162)</f>
        <v>1933836</v>
      </c>
      <c r="H163" s="42">
        <f>(+F163-G163)/G163</f>
        <v>-0.15524584297737762</v>
      </c>
      <c r="I163" s="43">
        <f>K163/C163</f>
        <v>67.9168115370589</v>
      </c>
      <c r="J163" s="43">
        <f>K163/F163</f>
        <v>141.81752780947298</v>
      </c>
      <c r="K163" s="41">
        <f>SUM(K152:K162)</f>
        <v>231675382.51</v>
      </c>
      <c r="L163" s="41">
        <f>SUM(L152:L162)</f>
        <v>186296578.59</v>
      </c>
      <c r="M163" s="44">
        <f>(+K163-L163)/L163</f>
        <v>0.24358366784539445</v>
      </c>
      <c r="N163" s="10"/>
      <c r="R163" s="2"/>
    </row>
    <row r="164" spans="1:18" ht="15.75" customHeight="1" thickTop="1">
      <c r="A164" s="19"/>
      <c r="B164" s="45"/>
      <c r="C164" s="21"/>
      <c r="D164" s="21"/>
      <c r="E164" s="23"/>
      <c r="F164" s="21"/>
      <c r="G164" s="21"/>
      <c r="H164" s="23"/>
      <c r="I164" s="24"/>
      <c r="J164" s="24"/>
      <c r="K164" s="21"/>
      <c r="L164" s="21"/>
      <c r="M164" s="25"/>
      <c r="N164" s="10"/>
      <c r="R164" s="2"/>
    </row>
    <row r="165" spans="1:18" ht="15.75">
      <c r="A165" s="19" t="s">
        <v>57</v>
      </c>
      <c r="B165" s="20">
        <f>DATE(2020,7,1)</f>
        <v>44013</v>
      </c>
      <c r="C165" s="21">
        <v>61338</v>
      </c>
      <c r="D165" s="21">
        <v>77431</v>
      </c>
      <c r="E165" s="23">
        <f aca="true" t="shared" si="60" ref="E165:E173">(+C165-D165)/D165</f>
        <v>-0.2078366545698751</v>
      </c>
      <c r="F165" s="21">
        <f>+C165-27914</f>
        <v>33424</v>
      </c>
      <c r="G165" s="21">
        <f>+D165-35761</f>
        <v>41670</v>
      </c>
      <c r="H165" s="23">
        <f aca="true" t="shared" si="61" ref="H165:H173">(+F165-G165)/G165</f>
        <v>-0.19788816894648428</v>
      </c>
      <c r="I165" s="24">
        <f aca="true" t="shared" si="62" ref="I165:I174">K165/C165</f>
        <v>57.274320812546875</v>
      </c>
      <c r="J165" s="24">
        <f aca="true" t="shared" si="63" ref="J165:J174">K165/F165</f>
        <v>105.10687799186213</v>
      </c>
      <c r="K165" s="21">
        <v>3513092.29</v>
      </c>
      <c r="L165" s="21">
        <v>3396657.88</v>
      </c>
      <c r="M165" s="25">
        <f aca="true" t="shared" si="64" ref="M165:M173">(+K165-L165)/L165</f>
        <v>0.0342791102647053</v>
      </c>
      <c r="N165" s="10"/>
      <c r="R165" s="2"/>
    </row>
    <row r="166" spans="1:18" ht="15.75">
      <c r="A166" s="19"/>
      <c r="B166" s="20">
        <f>DATE(2020,8,1)</f>
        <v>44044</v>
      </c>
      <c r="C166" s="21">
        <v>61855</v>
      </c>
      <c r="D166" s="21">
        <v>83032</v>
      </c>
      <c r="E166" s="23">
        <f t="shared" si="60"/>
        <v>-0.25504624722998365</v>
      </c>
      <c r="F166" s="21">
        <f>+C166-27562</f>
        <v>34293</v>
      </c>
      <c r="G166" s="21">
        <f>+D166-37844</f>
        <v>45188</v>
      </c>
      <c r="H166" s="23">
        <f t="shared" si="61"/>
        <v>-0.24110383287598477</v>
      </c>
      <c r="I166" s="24">
        <f t="shared" si="62"/>
        <v>57.36478926521704</v>
      </c>
      <c r="J166" s="24">
        <f t="shared" si="63"/>
        <v>103.47006794389526</v>
      </c>
      <c r="K166" s="21">
        <v>3548299.04</v>
      </c>
      <c r="L166" s="21">
        <v>3491800.49</v>
      </c>
      <c r="M166" s="25">
        <f t="shared" si="64"/>
        <v>0.01618034883774239</v>
      </c>
      <c r="N166" s="10"/>
      <c r="R166" s="2"/>
    </row>
    <row r="167" spans="1:18" ht="15.75">
      <c r="A167" s="19"/>
      <c r="B167" s="20">
        <f>DATE(2020,9,1)</f>
        <v>44075</v>
      </c>
      <c r="C167" s="21">
        <v>58255</v>
      </c>
      <c r="D167" s="21">
        <v>70924</v>
      </c>
      <c r="E167" s="23">
        <f t="shared" si="60"/>
        <v>-0.17862782696971405</v>
      </c>
      <c r="F167" s="21">
        <f>+C167-26013</f>
        <v>32242</v>
      </c>
      <c r="G167" s="21">
        <f>+D167-32729</f>
        <v>38195</v>
      </c>
      <c r="H167" s="23">
        <f t="shared" si="61"/>
        <v>-0.15585809660950387</v>
      </c>
      <c r="I167" s="24">
        <f t="shared" si="62"/>
        <v>55.064059394043426</v>
      </c>
      <c r="J167" s="24">
        <f t="shared" si="63"/>
        <v>99.49000620308914</v>
      </c>
      <c r="K167" s="21">
        <v>3207756.78</v>
      </c>
      <c r="L167" s="21">
        <v>3371438.75</v>
      </c>
      <c r="M167" s="25">
        <f t="shared" si="64"/>
        <v>-0.04854959028990226</v>
      </c>
      <c r="N167" s="10"/>
      <c r="R167" s="2"/>
    </row>
    <row r="168" spans="1:18" ht="15.75">
      <c r="A168" s="19"/>
      <c r="B168" s="20">
        <f>DATE(2020,10,1)</f>
        <v>44105</v>
      </c>
      <c r="C168" s="21">
        <v>55328</v>
      </c>
      <c r="D168" s="21">
        <v>70482</v>
      </c>
      <c r="E168" s="23">
        <f t="shared" si="60"/>
        <v>-0.2150052495672654</v>
      </c>
      <c r="F168" s="21">
        <f>+C168-22799</f>
        <v>32529</v>
      </c>
      <c r="G168" s="21">
        <f>+D168-33635</f>
        <v>36847</v>
      </c>
      <c r="H168" s="23">
        <f t="shared" si="61"/>
        <v>-0.11718728797459765</v>
      </c>
      <c r="I168" s="24">
        <f t="shared" si="62"/>
        <v>52.386605696934645</v>
      </c>
      <c r="J168" s="24">
        <f t="shared" si="63"/>
        <v>89.10344984475391</v>
      </c>
      <c r="K168" s="21">
        <v>2898446.12</v>
      </c>
      <c r="L168" s="21">
        <v>3274009.79</v>
      </c>
      <c r="M168" s="25">
        <f t="shared" si="64"/>
        <v>-0.11471061300644428</v>
      </c>
      <c r="N168" s="10"/>
      <c r="R168" s="2"/>
    </row>
    <row r="169" spans="1:18" ht="15.75">
      <c r="A169" s="19"/>
      <c r="B169" s="20">
        <f>DATE(2020,11,1)</f>
        <v>44136</v>
      </c>
      <c r="C169" s="21">
        <v>49882</v>
      </c>
      <c r="D169" s="21">
        <v>73056</v>
      </c>
      <c r="E169" s="23">
        <f t="shared" si="60"/>
        <v>-0.31720871660096367</v>
      </c>
      <c r="F169" s="21">
        <f>+C169-20773</f>
        <v>29109</v>
      </c>
      <c r="G169" s="21">
        <f>+D169-35437</f>
        <v>37619</v>
      </c>
      <c r="H169" s="23">
        <f t="shared" si="61"/>
        <v>-0.2262154762221218</v>
      </c>
      <c r="I169" s="24">
        <f t="shared" si="62"/>
        <v>51.305875065153764</v>
      </c>
      <c r="J169" s="24">
        <f t="shared" si="63"/>
        <v>87.91918856710983</v>
      </c>
      <c r="K169" s="21">
        <v>2559239.66</v>
      </c>
      <c r="L169" s="21">
        <v>3377500.2</v>
      </c>
      <c r="M169" s="25">
        <f t="shared" si="64"/>
        <v>-0.2422680952024814</v>
      </c>
      <c r="N169" s="10"/>
      <c r="R169" s="2"/>
    </row>
    <row r="170" spans="1:18" ht="15.75">
      <c r="A170" s="19"/>
      <c r="B170" s="20">
        <f>DATE(2020,12,1)</f>
        <v>44166</v>
      </c>
      <c r="C170" s="21">
        <v>53490</v>
      </c>
      <c r="D170" s="21">
        <v>74995</v>
      </c>
      <c r="E170" s="23">
        <f t="shared" si="60"/>
        <v>-0.2867524501633442</v>
      </c>
      <c r="F170" s="21">
        <f>+C170-22512</f>
        <v>30978</v>
      </c>
      <c r="G170" s="21">
        <f>+D170-35471</f>
        <v>39524</v>
      </c>
      <c r="H170" s="23">
        <f t="shared" si="61"/>
        <v>-0.21622305434672603</v>
      </c>
      <c r="I170" s="24">
        <f t="shared" si="62"/>
        <v>52.612236118900725</v>
      </c>
      <c r="J170" s="24">
        <f t="shared" si="63"/>
        <v>90.84603621925237</v>
      </c>
      <c r="K170" s="21">
        <v>2814228.51</v>
      </c>
      <c r="L170" s="21">
        <v>3534603.49</v>
      </c>
      <c r="M170" s="25">
        <f t="shared" si="64"/>
        <v>-0.2038064473251568</v>
      </c>
      <c r="N170" s="10"/>
      <c r="R170" s="2"/>
    </row>
    <row r="171" spans="1:18" ht="15.75">
      <c r="A171" s="19"/>
      <c r="B171" s="20">
        <f>DATE(2021,1,1)</f>
        <v>44197</v>
      </c>
      <c r="C171" s="21">
        <v>60656</v>
      </c>
      <c r="D171" s="21">
        <v>73278</v>
      </c>
      <c r="E171" s="23">
        <f t="shared" si="60"/>
        <v>-0.17224815087748027</v>
      </c>
      <c r="F171" s="21">
        <f>+C171-26102</f>
        <v>34554</v>
      </c>
      <c r="G171" s="21">
        <f>+D171-33277</f>
        <v>40001</v>
      </c>
      <c r="H171" s="23">
        <f t="shared" si="61"/>
        <v>-0.13617159571010726</v>
      </c>
      <c r="I171" s="24">
        <f t="shared" si="62"/>
        <v>51.85926783830124</v>
      </c>
      <c r="J171" s="24">
        <f t="shared" si="63"/>
        <v>91.03362128841813</v>
      </c>
      <c r="K171" s="21">
        <v>3145575.75</v>
      </c>
      <c r="L171" s="21">
        <v>3413407.42</v>
      </c>
      <c r="M171" s="25">
        <f t="shared" si="64"/>
        <v>-0.07846460648989857</v>
      </c>
      <c r="N171" s="10"/>
      <c r="R171" s="2"/>
    </row>
    <row r="172" spans="1:18" ht="15.75">
      <c r="A172" s="19"/>
      <c r="B172" s="20">
        <f>DATE(2021,2,1)</f>
        <v>44228</v>
      </c>
      <c r="C172" s="21">
        <v>50775</v>
      </c>
      <c r="D172" s="21">
        <v>79497</v>
      </c>
      <c r="E172" s="23">
        <f t="shared" si="60"/>
        <v>-0.3612966527038756</v>
      </c>
      <c r="F172" s="21">
        <f>+C172-21966</f>
        <v>28809</v>
      </c>
      <c r="G172" s="21">
        <f>+D172-36820</f>
        <v>42677</v>
      </c>
      <c r="H172" s="23">
        <f t="shared" si="61"/>
        <v>-0.32495255055416267</v>
      </c>
      <c r="I172" s="24">
        <f t="shared" si="62"/>
        <v>55.41919586410635</v>
      </c>
      <c r="J172" s="24">
        <f t="shared" si="63"/>
        <v>97.67467353951889</v>
      </c>
      <c r="K172" s="21">
        <v>2813909.67</v>
      </c>
      <c r="L172" s="21">
        <v>3872279.72</v>
      </c>
      <c r="M172" s="25">
        <f t="shared" si="64"/>
        <v>-0.2733196273331205</v>
      </c>
      <c r="N172" s="10"/>
      <c r="R172" s="2"/>
    </row>
    <row r="173" spans="1:18" ht="15.75">
      <c r="A173" s="19"/>
      <c r="B173" s="20">
        <f>DATE(2021,3,1)</f>
        <v>44256</v>
      </c>
      <c r="C173" s="21">
        <v>76729</v>
      </c>
      <c r="D173" s="21">
        <v>43437</v>
      </c>
      <c r="E173" s="23">
        <f t="shared" si="60"/>
        <v>0.7664433547436518</v>
      </c>
      <c r="F173" s="21">
        <f>+C173-32968</f>
        <v>43761</v>
      </c>
      <c r="G173" s="21">
        <f>+D173-19777</f>
        <v>23660</v>
      </c>
      <c r="H173" s="23">
        <f t="shared" si="61"/>
        <v>0.8495773457311919</v>
      </c>
      <c r="I173" s="24">
        <f t="shared" si="62"/>
        <v>58.294842106635045</v>
      </c>
      <c r="J173" s="24">
        <f t="shared" si="63"/>
        <v>102.21212815063642</v>
      </c>
      <c r="K173" s="21">
        <v>4472904.94</v>
      </c>
      <c r="L173" s="21">
        <v>2122954.51</v>
      </c>
      <c r="M173" s="25">
        <f t="shared" si="64"/>
        <v>1.1069245332063196</v>
      </c>
      <c r="N173" s="10"/>
      <c r="R173" s="2"/>
    </row>
    <row r="174" spans="1:18" ht="15.75">
      <c r="A174" s="19"/>
      <c r="B174" s="20">
        <f>DATE(2021,4,1)</f>
        <v>44287</v>
      </c>
      <c r="C174" s="21">
        <v>77699</v>
      </c>
      <c r="D174" s="21">
        <v>0</v>
      </c>
      <c r="E174" s="23">
        <v>1</v>
      </c>
      <c r="F174" s="21">
        <f>+C174-34358</f>
        <v>43341</v>
      </c>
      <c r="G174" s="21">
        <v>0</v>
      </c>
      <c r="H174" s="23">
        <v>1</v>
      </c>
      <c r="I174" s="24">
        <f t="shared" si="62"/>
        <v>58.132186900732314</v>
      </c>
      <c r="J174" s="24">
        <f t="shared" si="63"/>
        <v>104.21570314482823</v>
      </c>
      <c r="K174" s="21">
        <v>4516812.79</v>
      </c>
      <c r="L174" s="21">
        <v>0</v>
      </c>
      <c r="M174" s="25">
        <v>1</v>
      </c>
      <c r="N174" s="10"/>
      <c r="R174" s="2"/>
    </row>
    <row r="175" spans="1:18" ht="15.75" thickBot="1">
      <c r="A175" s="38"/>
      <c r="B175" s="45"/>
      <c r="C175" s="21"/>
      <c r="D175" s="21"/>
      <c r="E175" s="23"/>
      <c r="F175" s="21"/>
      <c r="G175" s="21"/>
      <c r="H175" s="23"/>
      <c r="I175" s="24"/>
      <c r="J175" s="24"/>
      <c r="K175" s="21"/>
      <c r="L175" s="21"/>
      <c r="M175" s="25"/>
      <c r="N175" s="10"/>
      <c r="R175" s="2"/>
    </row>
    <row r="176" spans="1:18" ht="17.25" thickBot="1" thickTop="1">
      <c r="A176" s="26" t="s">
        <v>14</v>
      </c>
      <c r="B176" s="27"/>
      <c r="C176" s="28">
        <f>SUM(C165:C175)</f>
        <v>606007</v>
      </c>
      <c r="D176" s="28">
        <f>SUM(D165:D175)</f>
        <v>646132</v>
      </c>
      <c r="E176" s="280">
        <f>(+C176-D176)/D176</f>
        <v>-0.062100313867754574</v>
      </c>
      <c r="F176" s="28">
        <f>SUM(F165:F175)</f>
        <v>343040</v>
      </c>
      <c r="G176" s="28">
        <f>SUM(G165:G175)</f>
        <v>345381</v>
      </c>
      <c r="H176" s="42">
        <f>(+F176-G176)/G176</f>
        <v>-0.006778021952568323</v>
      </c>
      <c r="I176" s="43">
        <f>K176/C176</f>
        <v>55.26382624293119</v>
      </c>
      <c r="J176" s="43">
        <f>K176/F176</f>
        <v>97.62787298857276</v>
      </c>
      <c r="K176" s="28">
        <f>SUM(K165:K175)</f>
        <v>33490265.55</v>
      </c>
      <c r="L176" s="28">
        <f>SUM(L165:L175)</f>
        <v>29854652.25</v>
      </c>
      <c r="M176" s="44">
        <f>(+K176-L176)/L176</f>
        <v>0.12177711096936326</v>
      </c>
      <c r="N176" s="10"/>
      <c r="R176" s="2"/>
    </row>
    <row r="177" spans="1:18" ht="16.5" thickBot="1" thickTop="1">
      <c r="A177" s="63"/>
      <c r="B177" s="34"/>
      <c r="C177" s="35"/>
      <c r="D177" s="35"/>
      <c r="E177" s="29"/>
      <c r="F177" s="35"/>
      <c r="G177" s="35"/>
      <c r="H177" s="29"/>
      <c r="I177" s="36"/>
      <c r="J177" s="36"/>
      <c r="K177" s="35"/>
      <c r="L177" s="35"/>
      <c r="M177" s="37"/>
      <c r="N177" s="10"/>
      <c r="R177" s="2"/>
    </row>
    <row r="178" spans="1:18" ht="17.25" thickBot="1" thickTop="1">
      <c r="A178" s="64" t="s">
        <v>18</v>
      </c>
      <c r="B178" s="65"/>
      <c r="C178" s="28">
        <f>C176+C163+C72+C98+C111+C46+C20+C124+C137+C59+C150+C33+C85</f>
        <v>22373848</v>
      </c>
      <c r="D178" s="28">
        <f>D176+D163+D72+D98+D111+D46+D20+D124+D137+D59+D150+D33+D85</f>
        <v>26007599</v>
      </c>
      <c r="E178" s="279">
        <f>(+C178-D178)/D178</f>
        <v>-0.1397188183345952</v>
      </c>
      <c r="F178" s="28">
        <f>F176+F163+F72+F98+F111+F46+F20+F124+F137+F59+F150+F33+F85</f>
        <v>11334275</v>
      </c>
      <c r="G178" s="28">
        <f>G176+G163+G72+G98+G111+G46+G20+G124+G137+G59+G150+G33+G85</f>
        <v>13750868</v>
      </c>
      <c r="H178" s="30">
        <f>(+F178-G178)/G178</f>
        <v>-0.1757411241239462</v>
      </c>
      <c r="I178" s="31">
        <f>K178/C178</f>
        <v>62.44696386245227</v>
      </c>
      <c r="J178" s="31">
        <f>K178/F178</f>
        <v>123.27024688566317</v>
      </c>
      <c r="K178" s="28">
        <f>K176+K163+K72+K98+K111+K46+K20+K124+K137+K59+K150+K33+K85</f>
        <v>1397178877.52</v>
      </c>
      <c r="L178" s="28">
        <f>L176+L163+L72+L98+L111+L46+L20+L124+L137+L59+L150+L33+L85</f>
        <v>1233214199.87</v>
      </c>
      <c r="M178" s="32">
        <f>(+K178-L178)/L178</f>
        <v>0.13295717618827657</v>
      </c>
      <c r="N178" s="10"/>
      <c r="R178" s="2"/>
    </row>
    <row r="179" spans="1:18" ht="17.25" thickBot="1" thickTop="1">
      <c r="A179" s="64"/>
      <c r="B179" s="65"/>
      <c r="C179" s="28"/>
      <c r="D179" s="28"/>
      <c r="E179" s="29"/>
      <c r="F179" s="28"/>
      <c r="G179" s="28"/>
      <c r="H179" s="30"/>
      <c r="I179" s="31"/>
      <c r="J179" s="31"/>
      <c r="K179" s="28"/>
      <c r="L179" s="28"/>
      <c r="M179" s="32"/>
      <c r="N179" s="10"/>
      <c r="R179" s="2"/>
    </row>
    <row r="180" spans="1:18" ht="17.25" thickBot="1" thickTop="1">
      <c r="A180" s="64" t="s">
        <v>19</v>
      </c>
      <c r="B180" s="65"/>
      <c r="C180" s="28">
        <f>SUM(C18+C31+C44+C57+C70+C83+C96+C109+C122+C135+C148+C161+C174)</f>
        <v>2648554</v>
      </c>
      <c r="D180" s="28">
        <f>SUM(D18+D31+D44+D57+D70+D83+D96+D109+D122+D135+D148+D161+D174)</f>
        <v>0</v>
      </c>
      <c r="E180" s="279">
        <v>1</v>
      </c>
      <c r="F180" s="28">
        <f>SUM(F18+F31+F44+F57+F70+F83+F96+F109+F122+F135+F148+F161+F174)</f>
        <v>1326892</v>
      </c>
      <c r="G180" s="28">
        <f>SUM(G18+G31+G44+G57+G70+G83+G96+G109+G122+G135+G148+G161+G174)</f>
        <v>0</v>
      </c>
      <c r="H180" s="30">
        <v>1</v>
      </c>
      <c r="I180" s="31">
        <f>K180/C180</f>
        <v>64.78168487031037</v>
      </c>
      <c r="J180" s="31">
        <f>K180/F180</f>
        <v>129.308030035602</v>
      </c>
      <c r="K180" s="28">
        <f>SUM(K18+K31+K44+K57+K70+K83+K96+K109+K122+K135+K148+K161+K174)</f>
        <v>171577790.59</v>
      </c>
      <c r="L180" s="28">
        <f>SUM(L18+L31+L44+L57+L70+L83+L96+L109+L122+L135+L148+L161+L174)</f>
        <v>0</v>
      </c>
      <c r="M180" s="44">
        <v>1</v>
      </c>
      <c r="N180" s="10"/>
      <c r="R180" s="2"/>
    </row>
    <row r="181" spans="1:18" ht="15.75" thickTop="1">
      <c r="A181" s="66"/>
      <c r="B181" s="67"/>
      <c r="C181" s="68"/>
      <c r="D181" s="67"/>
      <c r="E181" s="67"/>
      <c r="F181" s="67"/>
      <c r="G181" s="67"/>
      <c r="H181" s="67"/>
      <c r="I181" s="67"/>
      <c r="J181" s="67"/>
      <c r="K181" s="68"/>
      <c r="L181" s="68"/>
      <c r="M181" s="67"/>
      <c r="R181" s="2"/>
    </row>
    <row r="182" spans="1:18" ht="15">
      <c r="A182" s="289" t="s">
        <v>76</v>
      </c>
      <c r="B182" s="290"/>
      <c r="C182" s="291"/>
      <c r="D182" s="290"/>
      <c r="E182" s="290"/>
      <c r="F182" s="290"/>
      <c r="G182" s="290"/>
      <c r="H182" s="290"/>
      <c r="I182" s="290"/>
      <c r="J182" s="290"/>
      <c r="K182" s="291"/>
      <c r="L182" s="291"/>
      <c r="M182" s="290"/>
      <c r="R182" s="2"/>
    </row>
    <row r="183" spans="1:18" ht="18.75">
      <c r="A183" s="264" t="s">
        <v>20</v>
      </c>
      <c r="B183" s="70"/>
      <c r="C183" s="71"/>
      <c r="D183" s="71"/>
      <c r="E183" s="71"/>
      <c r="F183" s="71"/>
      <c r="G183" s="71"/>
      <c r="H183" s="71"/>
      <c r="I183" s="71"/>
      <c r="J183" s="71"/>
      <c r="K183" s="198"/>
      <c r="L183" s="198"/>
      <c r="M183" s="71"/>
      <c r="N183" s="2"/>
      <c r="O183" s="2"/>
      <c r="P183" s="2"/>
      <c r="Q183" s="2"/>
      <c r="R183" s="2"/>
    </row>
    <row r="184" spans="1:18" ht="18">
      <c r="A184" s="69"/>
      <c r="B184" s="70"/>
      <c r="C184" s="71"/>
      <c r="D184" s="71"/>
      <c r="E184" s="71"/>
      <c r="F184" s="71"/>
      <c r="G184" s="71"/>
      <c r="H184" s="71"/>
      <c r="I184" s="71"/>
      <c r="J184" s="71"/>
      <c r="K184" s="198"/>
      <c r="L184" s="198"/>
      <c r="M184" s="71"/>
      <c r="N184" s="2"/>
      <c r="O184" s="2"/>
      <c r="P184" s="2"/>
      <c r="Q184" s="2"/>
      <c r="R184" s="2"/>
    </row>
    <row r="185" spans="1:18" ht="15.75">
      <c r="A185" s="72"/>
      <c r="B185" s="73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ht="15">
      <c r="A186" s="2"/>
      <c r="B186" s="73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ht="15">
      <c r="A187" s="2"/>
      <c r="B187" s="73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ht="15">
      <c r="A188" s="2"/>
      <c r="B188" s="73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ht="15">
      <c r="A189" s="2"/>
      <c r="B189" s="73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ht="15">
      <c r="A190" s="2"/>
      <c r="B190" s="73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ht="15">
      <c r="A191" s="2"/>
      <c r="B191" s="73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ht="15">
      <c r="A192" s="2"/>
      <c r="B192" s="73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ht="15">
      <c r="A193" s="2"/>
      <c r="B193" s="73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ht="15">
      <c r="A194" s="2"/>
      <c r="B194" s="73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4"/>
      <c r="N194" s="2"/>
      <c r="O194" s="2"/>
      <c r="P194" s="2"/>
      <c r="Q194" s="2"/>
      <c r="R194" s="2"/>
    </row>
    <row r="195" spans="1:18" ht="15">
      <c r="A195" s="2"/>
      <c r="B195" s="73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4"/>
      <c r="N195" s="2"/>
      <c r="O195" s="2"/>
      <c r="P195" s="2"/>
      <c r="Q195" s="2"/>
      <c r="R195" s="2"/>
    </row>
    <row r="196" spans="1:18" ht="15">
      <c r="A196" s="2"/>
      <c r="B196" s="70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4"/>
      <c r="N196" s="2"/>
      <c r="O196" s="2"/>
      <c r="P196" s="2"/>
      <c r="Q196" s="2"/>
      <c r="R196" s="2"/>
    </row>
    <row r="197" spans="1:18" ht="15.75">
      <c r="A197" s="76"/>
      <c r="B197" s="70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ht="15.75">
      <c r="A198" s="76"/>
      <c r="B198" s="70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ht="15.75">
      <c r="A199" s="76"/>
      <c r="B199" s="70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ht="15">
      <c r="A200" s="2"/>
      <c r="B200" s="70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ht="15.75">
      <c r="A201" s="76"/>
      <c r="B201" s="73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ht="15">
      <c r="A202" s="2"/>
      <c r="B202" s="73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ht="15">
      <c r="A203" s="2"/>
      <c r="B203" s="73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ht="15">
      <c r="A204" s="2"/>
      <c r="B204" s="77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ht="15">
      <c r="A205" s="2"/>
      <c r="B205" s="77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ht="15">
      <c r="A206" s="2"/>
      <c r="B206" s="77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ht="15">
      <c r="A207" s="2"/>
      <c r="B207" s="77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ht="15">
      <c r="A208" s="2"/>
      <c r="B208" s="77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ht="15">
      <c r="A209" s="2"/>
      <c r="B209" s="77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ht="15">
      <c r="A210" s="2"/>
      <c r="B210" s="77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ht="15">
      <c r="A211" s="2"/>
      <c r="B211" s="77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ht="15">
      <c r="A212" s="2"/>
      <c r="B212" s="77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ht="15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ht="15.75">
      <c r="A214" s="76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ht="15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ht="15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ht="15.75">
      <c r="A217" s="76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ht="15.75">
      <c r="A218" s="76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ht="15.75">
      <c r="A219" s="76"/>
      <c r="B219" s="77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ht="15">
      <c r="A220" s="2"/>
      <c r="B220" s="77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ht="15">
      <c r="A221" s="2"/>
      <c r="B221" s="77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ht="15">
      <c r="A222" s="2"/>
      <c r="B222" s="77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ht="15">
      <c r="A223" s="2"/>
      <c r="B223" s="77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ht="15">
      <c r="A224" s="2"/>
      <c r="B224" s="77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ht="15">
      <c r="A225" s="2"/>
      <c r="B225" s="77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ht="15">
      <c r="A226" s="2"/>
      <c r="B226" s="77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ht="15">
      <c r="A227" s="2"/>
      <c r="B227" s="77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ht="15">
      <c r="A228" s="2"/>
      <c r="B228" s="77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ht="15">
      <c r="A229" s="2"/>
      <c r="B229" s="77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ht="15">
      <c r="A230" s="2"/>
      <c r="B230" s="77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ht="15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ht="15.75">
      <c r="A232" s="76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ht="15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ht="15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ht="15.75">
      <c r="A235" s="76"/>
      <c r="B235" s="77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ht="15">
      <c r="A236" s="2"/>
      <c r="B236" s="77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ht="15">
      <c r="A237" s="2"/>
      <c r="B237" s="77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ht="15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ht="15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ht="15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ht="15.75">
      <c r="A241" s="76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ht="15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ht="15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ht="15.75">
      <c r="A244" s="76"/>
      <c r="B244" s="76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ht="15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ht="15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ht="15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ht="15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ht="15">
      <c r="A249" s="2"/>
      <c r="B249" s="2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ht="15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ht="15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ht="15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ht="15">
      <c r="A253" s="2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ht="15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ht="15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ht="15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ht="15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ht="15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ht="15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ht="15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ht="15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ht="15">
      <c r="A262" s="2"/>
      <c r="B262" s="2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ht="15">
      <c r="A263" s="2"/>
      <c r="B263" s="2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ht="15">
      <c r="A264" s="2"/>
      <c r="B264" s="2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ht="15">
      <c r="A265" s="2"/>
      <c r="B265" s="2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ht="15">
      <c r="A266" s="2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ht="15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ht="15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ht="15">
      <c r="A269" s="2"/>
      <c r="B269" s="2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ht="15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ht="15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ht="15">
      <c r="A272" s="2"/>
      <c r="B272" s="2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ht="15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ht="15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ht="15">
      <c r="A275" s="2"/>
      <c r="B275" s="2"/>
      <c r="C275" s="74"/>
      <c r="D275" s="74"/>
      <c r="E275" s="74"/>
      <c r="F275" s="74"/>
      <c r="G275" s="74"/>
      <c r="H275" s="74"/>
      <c r="I275" s="74"/>
      <c r="J275" s="74"/>
      <c r="K275" s="192"/>
      <c r="L275" s="192"/>
      <c r="M275" s="75"/>
      <c r="N275" s="2"/>
      <c r="O275" s="2"/>
      <c r="P275" s="2"/>
      <c r="Q275" s="2"/>
      <c r="R275" s="2"/>
    </row>
    <row r="276" spans="1:18" ht="15">
      <c r="A276" s="2"/>
      <c r="B276" s="2"/>
      <c r="C276" s="74"/>
      <c r="D276" s="74"/>
      <c r="E276" s="74"/>
      <c r="F276" s="74"/>
      <c r="G276" s="74"/>
      <c r="H276" s="74"/>
      <c r="I276" s="74"/>
      <c r="J276" s="74"/>
      <c r="K276" s="192"/>
      <c r="L276" s="192"/>
      <c r="M276" s="75"/>
      <c r="N276" s="2"/>
      <c r="O276" s="2"/>
      <c r="P276" s="2"/>
      <c r="Q276" s="2"/>
      <c r="R276" s="2"/>
    </row>
    <row r="277" spans="1:18" ht="15">
      <c r="A277" s="2"/>
      <c r="B277" s="2"/>
      <c r="C277" s="74"/>
      <c r="D277" s="74"/>
      <c r="E277" s="74"/>
      <c r="F277" s="74"/>
      <c r="G277" s="74"/>
      <c r="H277" s="74"/>
      <c r="I277" s="74"/>
      <c r="J277" s="74"/>
      <c r="K277" s="192"/>
      <c r="L277" s="192"/>
      <c r="M277" s="75"/>
      <c r="N277" s="2"/>
      <c r="O277" s="2"/>
      <c r="P277" s="2"/>
      <c r="Q277" s="2"/>
      <c r="R277" s="2"/>
    </row>
    <row r="278" spans="1:18" ht="15">
      <c r="A278" s="2"/>
      <c r="B278" s="2"/>
      <c r="C278" s="74"/>
      <c r="D278" s="74"/>
      <c r="E278" s="74"/>
      <c r="F278" s="74"/>
      <c r="G278" s="74"/>
      <c r="H278" s="74"/>
      <c r="I278" s="74"/>
      <c r="J278" s="74"/>
      <c r="K278" s="192"/>
      <c r="L278" s="192"/>
      <c r="M278" s="75"/>
      <c r="N278" s="2"/>
      <c r="O278" s="2"/>
      <c r="P278" s="2"/>
      <c r="Q278" s="2"/>
      <c r="R278" s="2"/>
    </row>
    <row r="279" spans="1:18" ht="15">
      <c r="A279" s="2"/>
      <c r="B279" s="2"/>
      <c r="C279" s="74"/>
      <c r="D279" s="74"/>
      <c r="E279" s="74"/>
      <c r="F279" s="74"/>
      <c r="G279" s="74"/>
      <c r="H279" s="74"/>
      <c r="I279" s="74"/>
      <c r="J279" s="74"/>
      <c r="K279" s="192"/>
      <c r="L279" s="192"/>
      <c r="M279" s="75"/>
      <c r="N279" s="2"/>
      <c r="O279" s="2"/>
      <c r="P279" s="2"/>
      <c r="Q279" s="2"/>
      <c r="R279" s="2"/>
    </row>
    <row r="280" spans="1:18" ht="15">
      <c r="A280" s="2"/>
      <c r="B280" s="2"/>
      <c r="C280" s="74"/>
      <c r="D280" s="74"/>
      <c r="E280" s="74"/>
      <c r="F280" s="74"/>
      <c r="G280" s="74"/>
      <c r="H280" s="74"/>
      <c r="I280" s="74"/>
      <c r="J280" s="74"/>
      <c r="K280" s="192"/>
      <c r="L280" s="192"/>
      <c r="M280" s="75"/>
      <c r="N280" s="2"/>
      <c r="O280" s="2"/>
      <c r="P280" s="2"/>
      <c r="Q280" s="2"/>
      <c r="R280" s="2"/>
    </row>
    <row r="281" spans="1:18" ht="15">
      <c r="A281" s="2"/>
      <c r="B281" s="2"/>
      <c r="C281" s="74"/>
      <c r="D281" s="74"/>
      <c r="E281" s="74"/>
      <c r="F281" s="74"/>
      <c r="G281" s="74"/>
      <c r="H281" s="74"/>
      <c r="I281" s="74"/>
      <c r="J281" s="74"/>
      <c r="K281" s="192"/>
      <c r="L281" s="192"/>
      <c r="M281" s="75"/>
      <c r="N281" s="2"/>
      <c r="O281" s="2"/>
      <c r="P281" s="2"/>
      <c r="Q281" s="2"/>
      <c r="R281" s="2"/>
    </row>
    <row r="282" spans="1:18" ht="15">
      <c r="A282" s="2"/>
      <c r="B282" s="2"/>
      <c r="C282" s="74"/>
      <c r="D282" s="74"/>
      <c r="E282" s="74"/>
      <c r="F282" s="74"/>
      <c r="G282" s="74"/>
      <c r="H282" s="74"/>
      <c r="I282" s="74"/>
      <c r="J282" s="74"/>
      <c r="K282" s="192"/>
      <c r="L282" s="192"/>
      <c r="M282" s="75"/>
      <c r="N282" s="2"/>
      <c r="O282" s="2"/>
      <c r="P282" s="2"/>
      <c r="Q282" s="2"/>
      <c r="R282" s="2"/>
    </row>
    <row r="283" spans="1:18" ht="15">
      <c r="A283" s="2"/>
      <c r="B283" s="2"/>
      <c r="C283" s="74"/>
      <c r="D283" s="74"/>
      <c r="E283" s="74"/>
      <c r="F283" s="74"/>
      <c r="G283" s="74"/>
      <c r="H283" s="74"/>
      <c r="I283" s="74"/>
      <c r="J283" s="74"/>
      <c r="K283" s="192"/>
      <c r="L283" s="192"/>
      <c r="M283" s="75"/>
      <c r="N283" s="2"/>
      <c r="O283" s="2"/>
      <c r="P283" s="2"/>
      <c r="Q283" s="2"/>
      <c r="R283" s="2"/>
    </row>
    <row r="284" spans="1:18" ht="15">
      <c r="A284" s="2"/>
      <c r="B284" s="2"/>
      <c r="C284" s="74"/>
      <c r="D284" s="74"/>
      <c r="E284" s="74"/>
      <c r="F284" s="74"/>
      <c r="G284" s="74"/>
      <c r="H284" s="74"/>
      <c r="I284" s="74"/>
      <c r="J284" s="74"/>
      <c r="K284" s="192"/>
      <c r="L284" s="192"/>
      <c r="M284" s="75"/>
      <c r="N284" s="2"/>
      <c r="O284" s="2"/>
      <c r="P284" s="2"/>
      <c r="Q284" s="2"/>
      <c r="R284" s="2"/>
    </row>
    <row r="285" spans="1:18" ht="15">
      <c r="A285" s="2"/>
      <c r="B285" s="2"/>
      <c r="C285" s="74"/>
      <c r="D285" s="74"/>
      <c r="E285" s="74"/>
      <c r="F285" s="74"/>
      <c r="G285" s="74"/>
      <c r="H285" s="74"/>
      <c r="I285" s="74"/>
      <c r="J285" s="74"/>
      <c r="K285" s="192"/>
      <c r="L285" s="192"/>
      <c r="M285" s="75"/>
      <c r="N285" s="2"/>
      <c r="O285" s="2"/>
      <c r="P285" s="2"/>
      <c r="Q285" s="2"/>
      <c r="R285" s="2"/>
    </row>
    <row r="286" spans="1:18" ht="15">
      <c r="A286" s="2"/>
      <c r="B286" s="2"/>
      <c r="C286" s="74"/>
      <c r="D286" s="74"/>
      <c r="E286" s="74"/>
      <c r="F286" s="74"/>
      <c r="G286" s="74"/>
      <c r="H286" s="74"/>
      <c r="I286" s="74"/>
      <c r="J286" s="74"/>
      <c r="K286" s="192"/>
      <c r="L286" s="192"/>
      <c r="M286" s="75"/>
      <c r="N286" s="2"/>
      <c r="O286" s="2"/>
      <c r="P286" s="2"/>
      <c r="Q286" s="2"/>
      <c r="R286" s="2"/>
    </row>
    <row r="287" spans="1:18" ht="15">
      <c r="A287" s="2"/>
      <c r="B287" s="2"/>
      <c r="C287" s="74"/>
      <c r="D287" s="74"/>
      <c r="E287" s="74"/>
      <c r="F287" s="74"/>
      <c r="G287" s="74"/>
      <c r="H287" s="74"/>
      <c r="I287" s="74"/>
      <c r="J287" s="74"/>
      <c r="K287" s="192"/>
      <c r="L287" s="192"/>
      <c r="M287" s="75"/>
      <c r="N287" s="2"/>
      <c r="O287" s="2"/>
      <c r="P287" s="2"/>
      <c r="Q287" s="2"/>
      <c r="R287" s="2"/>
    </row>
    <row r="288" spans="1:18" ht="15">
      <c r="A288" s="2"/>
      <c r="B288" s="2"/>
      <c r="C288" s="74"/>
      <c r="D288" s="74"/>
      <c r="E288" s="74"/>
      <c r="F288" s="74"/>
      <c r="G288" s="74"/>
      <c r="H288" s="74"/>
      <c r="I288" s="74"/>
      <c r="J288" s="74"/>
      <c r="K288" s="192"/>
      <c r="L288" s="192"/>
      <c r="M288" s="75"/>
      <c r="N288" s="2"/>
      <c r="O288" s="2"/>
      <c r="P288" s="2"/>
      <c r="Q288" s="2"/>
      <c r="R288" s="2"/>
    </row>
    <row r="289" spans="1:18" ht="15">
      <c r="A289" s="2"/>
      <c r="B289" s="2"/>
      <c r="C289" s="74"/>
      <c r="D289" s="74"/>
      <c r="E289" s="74"/>
      <c r="F289" s="74"/>
      <c r="G289" s="74"/>
      <c r="H289" s="74"/>
      <c r="I289" s="74"/>
      <c r="J289" s="74"/>
      <c r="K289" s="192"/>
      <c r="L289" s="192"/>
      <c r="M289" s="75"/>
      <c r="N289" s="2"/>
      <c r="O289" s="2"/>
      <c r="P289" s="2"/>
      <c r="Q289" s="2"/>
      <c r="R289" s="2"/>
    </row>
    <row r="290" spans="1:18" ht="15">
      <c r="A290" s="2"/>
      <c r="B290" s="2"/>
      <c r="C290" s="74"/>
      <c r="D290" s="74"/>
      <c r="E290" s="74"/>
      <c r="F290" s="74"/>
      <c r="G290" s="74"/>
      <c r="H290" s="74"/>
      <c r="I290" s="74"/>
      <c r="J290" s="74"/>
      <c r="K290" s="192"/>
      <c r="L290" s="192"/>
      <c r="M290" s="75"/>
      <c r="N290" s="2"/>
      <c r="O290" s="2"/>
      <c r="P290" s="2"/>
      <c r="Q290" s="2"/>
      <c r="R290" s="2"/>
    </row>
    <row r="291" spans="1:18" ht="15">
      <c r="A291" s="2"/>
      <c r="B291" s="2"/>
      <c r="C291" s="74"/>
      <c r="D291" s="74"/>
      <c r="E291" s="74"/>
      <c r="F291" s="74"/>
      <c r="G291" s="74"/>
      <c r="H291" s="74"/>
      <c r="I291" s="74"/>
      <c r="J291" s="74"/>
      <c r="K291" s="192"/>
      <c r="L291" s="192"/>
      <c r="M291" s="75"/>
      <c r="N291" s="2"/>
      <c r="O291" s="2"/>
      <c r="P291" s="2"/>
      <c r="Q291" s="2"/>
      <c r="R291" s="2"/>
    </row>
    <row r="292" spans="1:18" ht="15">
      <c r="A292" s="2"/>
      <c r="B292" s="2"/>
      <c r="C292" s="74"/>
      <c r="D292" s="74"/>
      <c r="E292" s="74"/>
      <c r="F292" s="74"/>
      <c r="G292" s="74"/>
      <c r="H292" s="74"/>
      <c r="I292" s="74"/>
      <c r="J292" s="74"/>
      <c r="K292" s="192"/>
      <c r="L292" s="192"/>
      <c r="M292" s="75"/>
      <c r="N292" s="2"/>
      <c r="O292" s="2"/>
      <c r="P292" s="2"/>
      <c r="Q292" s="2"/>
      <c r="R292" s="2"/>
    </row>
    <row r="293" spans="1:18" ht="15">
      <c r="A293" s="2"/>
      <c r="B293" s="2"/>
      <c r="C293" s="74"/>
      <c r="D293" s="74"/>
      <c r="E293" s="74"/>
      <c r="F293" s="74"/>
      <c r="G293" s="74"/>
      <c r="H293" s="74"/>
      <c r="I293" s="74"/>
      <c r="J293" s="74"/>
      <c r="K293" s="192"/>
      <c r="L293" s="192"/>
      <c r="M293" s="75"/>
      <c r="N293" s="2"/>
      <c r="O293" s="2"/>
      <c r="P293" s="2"/>
      <c r="Q293" s="2"/>
      <c r="R293" s="2"/>
    </row>
    <row r="294" spans="1:18" ht="15">
      <c r="A294" s="2"/>
      <c r="B294" s="2"/>
      <c r="C294" s="74"/>
      <c r="D294" s="74"/>
      <c r="E294" s="74"/>
      <c r="F294" s="74"/>
      <c r="G294" s="74"/>
      <c r="H294" s="74"/>
      <c r="I294" s="74"/>
      <c r="J294" s="74"/>
      <c r="K294" s="192"/>
      <c r="L294" s="192"/>
      <c r="M294" s="75"/>
      <c r="N294" s="2"/>
      <c r="O294" s="2"/>
      <c r="P294" s="2"/>
      <c r="Q294" s="2"/>
      <c r="R294" s="2"/>
    </row>
    <row r="295" spans="1:18" ht="15">
      <c r="A295" s="2"/>
      <c r="B295" s="2"/>
      <c r="C295" s="74"/>
      <c r="D295" s="74"/>
      <c r="E295" s="74"/>
      <c r="F295" s="74"/>
      <c r="G295" s="74"/>
      <c r="H295" s="74"/>
      <c r="I295" s="74"/>
      <c r="J295" s="74"/>
      <c r="K295" s="192"/>
      <c r="L295" s="192"/>
      <c r="M295" s="75"/>
      <c r="N295" s="2"/>
      <c r="O295" s="2"/>
      <c r="P295" s="2"/>
      <c r="Q295" s="2"/>
      <c r="R295" s="2"/>
    </row>
    <row r="296" spans="1:18" ht="15">
      <c r="A296" s="2"/>
      <c r="B296" s="2"/>
      <c r="C296" s="74"/>
      <c r="D296" s="74"/>
      <c r="E296" s="74"/>
      <c r="F296" s="74"/>
      <c r="G296" s="74"/>
      <c r="H296" s="74"/>
      <c r="I296" s="74"/>
      <c r="J296" s="74"/>
      <c r="K296" s="192"/>
      <c r="L296" s="192"/>
      <c r="M296" s="75"/>
      <c r="N296" s="2"/>
      <c r="O296" s="2"/>
      <c r="P296" s="2"/>
      <c r="Q296" s="2"/>
      <c r="R296" s="2"/>
    </row>
    <row r="297" spans="1:18" ht="15">
      <c r="A297" s="2"/>
      <c r="B297" s="2"/>
      <c r="C297" s="74"/>
      <c r="D297" s="74"/>
      <c r="E297" s="74"/>
      <c r="F297" s="74"/>
      <c r="G297" s="74"/>
      <c r="H297" s="74"/>
      <c r="I297" s="74"/>
      <c r="J297" s="74"/>
      <c r="K297" s="192"/>
      <c r="L297" s="192"/>
      <c r="M297" s="75"/>
      <c r="N297" s="2"/>
      <c r="O297" s="2"/>
      <c r="P297" s="2"/>
      <c r="Q297" s="2"/>
      <c r="R297" s="2"/>
    </row>
    <row r="298" spans="1:18" ht="15">
      <c r="A298" s="2"/>
      <c r="B298" s="2"/>
      <c r="C298" s="74"/>
      <c r="D298" s="74"/>
      <c r="E298" s="74"/>
      <c r="F298" s="74"/>
      <c r="G298" s="74"/>
      <c r="H298" s="74"/>
      <c r="I298" s="74"/>
      <c r="J298" s="74"/>
      <c r="K298" s="192"/>
      <c r="L298" s="192"/>
      <c r="M298" s="75"/>
      <c r="N298" s="2"/>
      <c r="O298" s="2"/>
      <c r="P298" s="2"/>
      <c r="Q298" s="2"/>
      <c r="R298" s="2"/>
    </row>
    <row r="299" spans="1:18" ht="15">
      <c r="A299" s="2"/>
      <c r="B299" s="2"/>
      <c r="C299" s="74"/>
      <c r="D299" s="74"/>
      <c r="E299" s="74"/>
      <c r="F299" s="74"/>
      <c r="G299" s="74"/>
      <c r="H299" s="74"/>
      <c r="I299" s="74"/>
      <c r="J299" s="74"/>
      <c r="K299" s="192"/>
      <c r="L299" s="192"/>
      <c r="M299" s="75"/>
      <c r="N299" s="2"/>
      <c r="O299" s="2"/>
      <c r="P299" s="2"/>
      <c r="Q299" s="2"/>
      <c r="R299" s="2"/>
    </row>
    <row r="300" spans="1:18" ht="15">
      <c r="A300" s="2"/>
      <c r="B300" s="2"/>
      <c r="C300" s="74"/>
      <c r="D300" s="74"/>
      <c r="E300" s="74"/>
      <c r="F300" s="74"/>
      <c r="G300" s="74"/>
      <c r="H300" s="74"/>
      <c r="I300" s="74"/>
      <c r="J300" s="74"/>
      <c r="K300" s="192"/>
      <c r="L300" s="192"/>
      <c r="M300" s="75"/>
      <c r="N300" s="2"/>
      <c r="O300" s="2"/>
      <c r="P300" s="2"/>
      <c r="Q300" s="2"/>
      <c r="R300" s="2"/>
    </row>
    <row r="301" spans="1:18" ht="15">
      <c r="A301" s="2"/>
      <c r="B301" s="2"/>
      <c r="C301" s="74"/>
      <c r="D301" s="74"/>
      <c r="E301" s="74"/>
      <c r="F301" s="74"/>
      <c r="G301" s="74"/>
      <c r="H301" s="74"/>
      <c r="I301" s="74"/>
      <c r="J301" s="74"/>
      <c r="K301" s="192"/>
      <c r="L301" s="192"/>
      <c r="M301" s="75"/>
      <c r="N301" s="2"/>
      <c r="O301" s="2"/>
      <c r="P301" s="2"/>
      <c r="Q301" s="2"/>
      <c r="R301" s="2"/>
    </row>
    <row r="302" spans="1:18" ht="15">
      <c r="A302" s="2"/>
      <c r="B302" s="2"/>
      <c r="C302" s="74"/>
      <c r="D302" s="74"/>
      <c r="E302" s="74"/>
      <c r="F302" s="74"/>
      <c r="G302" s="74"/>
      <c r="H302" s="74"/>
      <c r="I302" s="74"/>
      <c r="J302" s="74"/>
      <c r="K302" s="192"/>
      <c r="L302" s="192"/>
      <c r="M302" s="75"/>
      <c r="N302" s="2"/>
      <c r="O302" s="2"/>
      <c r="P302" s="2"/>
      <c r="Q302" s="2"/>
      <c r="R302" s="2"/>
    </row>
    <row r="303" spans="1:18" ht="15">
      <c r="A303" s="2"/>
      <c r="B303" s="2"/>
      <c r="C303" s="74"/>
      <c r="D303" s="74"/>
      <c r="E303" s="74"/>
      <c r="F303" s="74"/>
      <c r="G303" s="74"/>
      <c r="H303" s="74"/>
      <c r="I303" s="74"/>
      <c r="J303" s="74"/>
      <c r="K303" s="192"/>
      <c r="L303" s="192"/>
      <c r="M303" s="75"/>
      <c r="N303" s="2"/>
      <c r="O303" s="2"/>
      <c r="P303" s="2"/>
      <c r="Q303" s="2"/>
      <c r="R303" s="2"/>
    </row>
    <row r="304" spans="1:18" ht="15">
      <c r="A304" s="2"/>
      <c r="B304" s="2"/>
      <c r="C304" s="74"/>
      <c r="D304" s="74"/>
      <c r="E304" s="74"/>
      <c r="F304" s="74"/>
      <c r="G304" s="74"/>
      <c r="H304" s="74"/>
      <c r="I304" s="74"/>
      <c r="J304" s="74"/>
      <c r="K304" s="192"/>
      <c r="L304" s="192"/>
      <c r="M304" s="75"/>
      <c r="N304" s="2"/>
      <c r="O304" s="2"/>
      <c r="P304" s="2"/>
      <c r="Q304" s="2"/>
      <c r="R304" s="2"/>
    </row>
    <row r="305" spans="1:18" ht="15">
      <c r="A305" s="2"/>
      <c r="B305" s="2"/>
      <c r="C305" s="74"/>
      <c r="D305" s="74"/>
      <c r="E305" s="74"/>
      <c r="F305" s="74"/>
      <c r="G305" s="74"/>
      <c r="H305" s="74"/>
      <c r="I305" s="74"/>
      <c r="J305" s="74"/>
      <c r="K305" s="192"/>
      <c r="L305" s="192"/>
      <c r="M305" s="75"/>
      <c r="N305" s="2"/>
      <c r="O305" s="2"/>
      <c r="P305" s="2"/>
      <c r="Q305" s="2"/>
      <c r="R305" s="2"/>
    </row>
    <row r="306" spans="1:18" ht="15">
      <c r="A306" s="2"/>
      <c r="B306" s="2"/>
      <c r="C306" s="74"/>
      <c r="D306" s="74"/>
      <c r="E306" s="74"/>
      <c r="F306" s="74"/>
      <c r="G306" s="74"/>
      <c r="H306" s="74"/>
      <c r="I306" s="74"/>
      <c r="J306" s="74"/>
      <c r="K306" s="192"/>
      <c r="L306" s="192"/>
      <c r="M306" s="75"/>
      <c r="N306" s="2"/>
      <c r="O306" s="2"/>
      <c r="P306" s="2"/>
      <c r="Q306" s="2"/>
      <c r="R306" s="2"/>
    </row>
    <row r="307" spans="1:18" ht="15">
      <c r="A307" s="2"/>
      <c r="B307" s="2"/>
      <c r="C307" s="74"/>
      <c r="D307" s="74"/>
      <c r="E307" s="74"/>
      <c r="F307" s="74"/>
      <c r="G307" s="74"/>
      <c r="H307" s="74"/>
      <c r="I307" s="74"/>
      <c r="J307" s="74"/>
      <c r="K307" s="192"/>
      <c r="L307" s="192"/>
      <c r="M307" s="75"/>
      <c r="N307" s="2"/>
      <c r="O307" s="2"/>
      <c r="P307" s="2"/>
      <c r="Q307" s="2"/>
      <c r="R307" s="2"/>
    </row>
    <row r="308" spans="1:18" ht="15">
      <c r="A308" s="2"/>
      <c r="B308" s="2"/>
      <c r="C308" s="74"/>
      <c r="D308" s="74"/>
      <c r="E308" s="74"/>
      <c r="F308" s="74"/>
      <c r="G308" s="74"/>
      <c r="H308" s="74"/>
      <c r="I308" s="74"/>
      <c r="J308" s="74"/>
      <c r="K308" s="192"/>
      <c r="L308" s="192"/>
      <c r="M308" s="75"/>
      <c r="N308" s="2"/>
      <c r="O308" s="2"/>
      <c r="P308" s="2"/>
      <c r="Q308" s="2"/>
      <c r="R308" s="2"/>
    </row>
    <row r="309" spans="1:18" ht="15">
      <c r="A309" s="2"/>
      <c r="B309" s="2"/>
      <c r="C309" s="74"/>
      <c r="D309" s="74"/>
      <c r="E309" s="74"/>
      <c r="F309" s="74"/>
      <c r="G309" s="74"/>
      <c r="H309" s="74"/>
      <c r="I309" s="74"/>
      <c r="J309" s="74"/>
      <c r="K309" s="192"/>
      <c r="L309" s="192"/>
      <c r="M309" s="75"/>
      <c r="N309" s="2"/>
      <c r="O309" s="2"/>
      <c r="P309" s="2"/>
      <c r="Q309" s="2"/>
      <c r="R309" s="2"/>
    </row>
    <row r="310" spans="1:18" ht="15">
      <c r="A310" s="2"/>
      <c r="B310" s="2"/>
      <c r="C310" s="74"/>
      <c r="D310" s="74"/>
      <c r="E310" s="74"/>
      <c r="F310" s="74"/>
      <c r="G310" s="74"/>
      <c r="H310" s="74"/>
      <c r="I310" s="74"/>
      <c r="J310" s="74"/>
      <c r="K310" s="192"/>
      <c r="L310" s="192"/>
      <c r="M310" s="75"/>
      <c r="N310" s="2"/>
      <c r="O310" s="2"/>
      <c r="P310" s="2"/>
      <c r="Q310" s="2"/>
      <c r="R310" s="2"/>
    </row>
    <row r="311" spans="1:18" ht="15">
      <c r="A311" s="2"/>
      <c r="B311" s="2"/>
      <c r="C311" s="74"/>
      <c r="D311" s="74"/>
      <c r="E311" s="74"/>
      <c r="F311" s="74"/>
      <c r="G311" s="74"/>
      <c r="H311" s="74"/>
      <c r="I311" s="74"/>
      <c r="J311" s="74"/>
      <c r="K311" s="192"/>
      <c r="L311" s="192"/>
      <c r="M311" s="75"/>
      <c r="N311" s="2"/>
      <c r="O311" s="2"/>
      <c r="P311" s="2"/>
      <c r="Q311" s="2"/>
      <c r="R311" s="2"/>
    </row>
    <row r="312" spans="1:18" ht="15">
      <c r="A312" s="2"/>
      <c r="B312" s="2"/>
      <c r="C312" s="74"/>
      <c r="D312" s="74"/>
      <c r="E312" s="74"/>
      <c r="F312" s="74"/>
      <c r="G312" s="74"/>
      <c r="H312" s="74"/>
      <c r="I312" s="74"/>
      <c r="J312" s="74"/>
      <c r="K312" s="192"/>
      <c r="L312" s="192"/>
      <c r="M312" s="75"/>
      <c r="N312" s="2"/>
      <c r="O312" s="2"/>
      <c r="P312" s="2"/>
      <c r="Q312" s="2"/>
      <c r="R312" s="2"/>
    </row>
    <row r="313" spans="1:18" ht="15">
      <c r="A313" s="2"/>
      <c r="B313" s="2"/>
      <c r="C313" s="74"/>
      <c r="D313" s="74"/>
      <c r="E313" s="74"/>
      <c r="F313" s="74"/>
      <c r="G313" s="74"/>
      <c r="H313" s="74"/>
      <c r="I313" s="74"/>
      <c r="J313" s="74"/>
      <c r="K313" s="192"/>
      <c r="L313" s="192"/>
      <c r="M313" s="75"/>
      <c r="N313" s="2"/>
      <c r="O313" s="2"/>
      <c r="P313" s="2"/>
      <c r="Q313" s="2"/>
      <c r="R313" s="2"/>
    </row>
    <row r="314" spans="1:18" ht="15">
      <c r="A314" s="2"/>
      <c r="B314" s="2"/>
      <c r="C314" s="74"/>
      <c r="D314" s="74"/>
      <c r="E314" s="74"/>
      <c r="F314" s="74"/>
      <c r="G314" s="74"/>
      <c r="H314" s="74"/>
      <c r="I314" s="74"/>
      <c r="J314" s="74"/>
      <c r="K314" s="192"/>
      <c r="L314" s="192"/>
      <c r="M314" s="75"/>
      <c r="N314" s="2"/>
      <c r="O314" s="2"/>
      <c r="P314" s="2"/>
      <c r="Q314" s="2"/>
      <c r="R314" s="2"/>
    </row>
    <row r="315" spans="1:18" ht="15">
      <c r="A315" s="2"/>
      <c r="B315" s="2"/>
      <c r="C315" s="74"/>
      <c r="D315" s="74"/>
      <c r="E315" s="74"/>
      <c r="F315" s="74"/>
      <c r="G315" s="74"/>
      <c r="H315" s="74"/>
      <c r="I315" s="74"/>
      <c r="J315" s="74"/>
      <c r="K315" s="192"/>
      <c r="L315" s="192"/>
      <c r="M315" s="75"/>
      <c r="N315" s="2"/>
      <c r="O315" s="2"/>
      <c r="P315" s="2"/>
      <c r="Q315" s="2"/>
      <c r="R315" s="2"/>
    </row>
    <row r="316" spans="1:18" ht="15">
      <c r="A316" s="2"/>
      <c r="B316" s="2"/>
      <c r="C316" s="74"/>
      <c r="D316" s="74"/>
      <c r="E316" s="74"/>
      <c r="F316" s="74"/>
      <c r="G316" s="74"/>
      <c r="H316" s="74"/>
      <c r="I316" s="74"/>
      <c r="J316" s="74"/>
      <c r="K316" s="192"/>
      <c r="L316" s="192"/>
      <c r="M316" s="75"/>
      <c r="N316" s="2"/>
      <c r="O316" s="2"/>
      <c r="P316" s="2"/>
      <c r="Q316" s="2"/>
      <c r="R316" s="2"/>
    </row>
    <row r="317" spans="1:18" ht="15">
      <c r="A317" s="2"/>
      <c r="B317" s="2"/>
      <c r="C317" s="74"/>
      <c r="D317" s="74"/>
      <c r="E317" s="74"/>
      <c r="F317" s="74"/>
      <c r="G317" s="74"/>
      <c r="H317" s="74"/>
      <c r="I317" s="74"/>
      <c r="J317" s="74"/>
      <c r="K317" s="192"/>
      <c r="L317" s="192"/>
      <c r="M317" s="75"/>
      <c r="N317" s="2"/>
      <c r="O317" s="2"/>
      <c r="P317" s="2"/>
      <c r="Q317" s="2"/>
      <c r="R317" s="2"/>
    </row>
    <row r="318" spans="1:18" ht="15">
      <c r="A318" s="2"/>
      <c r="B318" s="2"/>
      <c r="C318" s="74"/>
      <c r="D318" s="74"/>
      <c r="E318" s="74"/>
      <c r="F318" s="74"/>
      <c r="G318" s="74"/>
      <c r="H318" s="74"/>
      <c r="I318" s="74"/>
      <c r="J318" s="74"/>
      <c r="K318" s="192"/>
      <c r="L318" s="192"/>
      <c r="M318" s="75"/>
      <c r="N318" s="2"/>
      <c r="O318" s="2"/>
      <c r="P318" s="2"/>
      <c r="Q318" s="2"/>
      <c r="R318" s="2"/>
    </row>
    <row r="319" spans="1:18" ht="15">
      <c r="A319" s="2"/>
      <c r="B319" s="2"/>
      <c r="C319" s="74"/>
      <c r="D319" s="74"/>
      <c r="E319" s="74"/>
      <c r="F319" s="74"/>
      <c r="G319" s="74"/>
      <c r="H319" s="74"/>
      <c r="I319" s="74"/>
      <c r="J319" s="74"/>
      <c r="K319" s="192"/>
      <c r="L319" s="192"/>
      <c r="M319" s="75"/>
      <c r="N319" s="2"/>
      <c r="O319" s="2"/>
      <c r="P319" s="2"/>
      <c r="Q319" s="2"/>
      <c r="R319" s="2"/>
    </row>
    <row r="320" spans="1:18" ht="15">
      <c r="A320" s="2"/>
      <c r="B320" s="2"/>
      <c r="C320" s="74"/>
      <c r="D320" s="74"/>
      <c r="E320" s="74"/>
      <c r="F320" s="74"/>
      <c r="G320" s="74"/>
      <c r="H320" s="74"/>
      <c r="I320" s="74"/>
      <c r="J320" s="74"/>
      <c r="K320" s="192"/>
      <c r="L320" s="192"/>
      <c r="M320" s="75"/>
      <c r="N320" s="2"/>
      <c r="O320" s="2"/>
      <c r="P320" s="2"/>
      <c r="Q320" s="2"/>
      <c r="R320" s="2"/>
    </row>
    <row r="321" spans="1:18" ht="15">
      <c r="A321" s="2"/>
      <c r="B321" s="2"/>
      <c r="C321" s="74"/>
      <c r="D321" s="74"/>
      <c r="E321" s="74"/>
      <c r="F321" s="74"/>
      <c r="G321" s="74"/>
      <c r="H321" s="74"/>
      <c r="I321" s="74"/>
      <c r="J321" s="74"/>
      <c r="K321" s="192"/>
      <c r="L321" s="192"/>
      <c r="M321" s="75"/>
      <c r="N321" s="2"/>
      <c r="O321" s="2"/>
      <c r="P321" s="2"/>
      <c r="Q321" s="2"/>
      <c r="R321" s="2"/>
    </row>
    <row r="322" spans="1:18" ht="15">
      <c r="A322" s="2"/>
      <c r="B322" s="2"/>
      <c r="C322" s="74"/>
      <c r="D322" s="74"/>
      <c r="E322" s="74"/>
      <c r="F322" s="74"/>
      <c r="G322" s="74"/>
      <c r="H322" s="74"/>
      <c r="I322" s="74"/>
      <c r="J322" s="74"/>
      <c r="K322" s="192"/>
      <c r="L322" s="192"/>
      <c r="M322" s="75"/>
      <c r="N322" s="2"/>
      <c r="O322" s="2"/>
      <c r="P322" s="2"/>
      <c r="Q322" s="2"/>
      <c r="R322" s="2"/>
    </row>
    <row r="323" spans="1:18" ht="15">
      <c r="A323" s="2"/>
      <c r="B323" s="2"/>
      <c r="C323" s="74"/>
      <c r="D323" s="74"/>
      <c r="E323" s="74"/>
      <c r="F323" s="74"/>
      <c r="G323" s="74"/>
      <c r="H323" s="74"/>
      <c r="I323" s="74"/>
      <c r="J323" s="74"/>
      <c r="K323" s="192"/>
      <c r="L323" s="192"/>
      <c r="M323" s="75"/>
      <c r="N323" s="2"/>
      <c r="O323" s="2"/>
      <c r="P323" s="2"/>
      <c r="Q323" s="2"/>
      <c r="R323" s="2"/>
    </row>
    <row r="324" spans="1:18" ht="15">
      <c r="A324" s="2"/>
      <c r="B324" s="2"/>
      <c r="C324" s="74"/>
      <c r="D324" s="74"/>
      <c r="E324" s="74"/>
      <c r="F324" s="74"/>
      <c r="G324" s="74"/>
      <c r="H324" s="74"/>
      <c r="I324" s="74"/>
      <c r="J324" s="74"/>
      <c r="K324" s="192"/>
      <c r="L324" s="192"/>
      <c r="M324" s="75"/>
      <c r="N324" s="2"/>
      <c r="O324" s="2"/>
      <c r="P324" s="2"/>
      <c r="Q324" s="2"/>
      <c r="R324" s="2"/>
    </row>
    <row r="325" spans="1:18" ht="15">
      <c r="A325" s="2"/>
      <c r="B325" s="2"/>
      <c r="C325" s="74"/>
      <c r="D325" s="74"/>
      <c r="E325" s="74"/>
      <c r="F325" s="74"/>
      <c r="G325" s="74"/>
      <c r="H325" s="74"/>
      <c r="I325" s="74"/>
      <c r="J325" s="74"/>
      <c r="K325" s="192"/>
      <c r="L325" s="192"/>
      <c r="M325" s="75"/>
      <c r="N325" s="2"/>
      <c r="O325" s="2"/>
      <c r="P325" s="2"/>
      <c r="Q325" s="2"/>
      <c r="R325" s="2"/>
    </row>
    <row r="326" spans="1:18" ht="15">
      <c r="A326" s="2"/>
      <c r="B326" s="2"/>
      <c r="C326" s="74"/>
      <c r="D326" s="74"/>
      <c r="E326" s="74"/>
      <c r="F326" s="74"/>
      <c r="G326" s="74"/>
      <c r="H326" s="74"/>
      <c r="I326" s="74"/>
      <c r="J326" s="74"/>
      <c r="K326" s="192"/>
      <c r="L326" s="192"/>
      <c r="M326" s="75"/>
      <c r="N326" s="2"/>
      <c r="O326" s="2"/>
      <c r="P326" s="2"/>
      <c r="Q326" s="2"/>
      <c r="R326" s="2"/>
    </row>
    <row r="327" spans="1:18" ht="15">
      <c r="A327" s="2"/>
      <c r="B327" s="2"/>
      <c r="C327" s="74"/>
      <c r="D327" s="74"/>
      <c r="E327" s="74"/>
      <c r="F327" s="74"/>
      <c r="G327" s="74"/>
      <c r="H327" s="74"/>
      <c r="I327" s="74"/>
      <c r="J327" s="74"/>
      <c r="K327" s="192"/>
      <c r="L327" s="192"/>
      <c r="M327" s="75"/>
      <c r="N327" s="2"/>
      <c r="O327" s="2"/>
      <c r="P327" s="2"/>
      <c r="Q327" s="2"/>
      <c r="R327" s="2"/>
    </row>
    <row r="328" spans="1:18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  <row r="401" spans="1:18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2"/>
      <c r="L401" s="192"/>
      <c r="M401" s="75"/>
      <c r="N401" s="2"/>
      <c r="O401" s="2"/>
      <c r="P401" s="2"/>
      <c r="Q401" s="2"/>
      <c r="R401" s="2"/>
    </row>
    <row r="402" spans="1:18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2"/>
      <c r="L402" s="192"/>
      <c r="M402" s="75"/>
      <c r="N402" s="2"/>
      <c r="O402" s="2"/>
      <c r="P402" s="2"/>
      <c r="Q402" s="2"/>
      <c r="R402" s="2"/>
    </row>
    <row r="403" spans="1:18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2"/>
      <c r="L403" s="192"/>
      <c r="M403" s="75"/>
      <c r="N403" s="2"/>
      <c r="O403" s="2"/>
      <c r="P403" s="2"/>
      <c r="Q403" s="2"/>
      <c r="R403" s="2"/>
    </row>
    <row r="404" spans="1:18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2"/>
      <c r="L404" s="192"/>
      <c r="M404" s="75"/>
      <c r="N404" s="2"/>
      <c r="O404" s="2"/>
      <c r="P404" s="2"/>
      <c r="Q404" s="2"/>
      <c r="R404" s="2"/>
    </row>
    <row r="405" spans="1:18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2"/>
      <c r="L405" s="192"/>
      <c r="M405" s="75"/>
      <c r="N405" s="2"/>
      <c r="O405" s="2"/>
      <c r="P405" s="2"/>
      <c r="Q405" s="2"/>
      <c r="R405" s="2"/>
    </row>
    <row r="406" spans="1:18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2"/>
      <c r="L406" s="192"/>
      <c r="M406" s="75"/>
      <c r="N406" s="2"/>
      <c r="O406" s="2"/>
      <c r="P406" s="2"/>
      <c r="Q406" s="2"/>
      <c r="R406" s="2"/>
    </row>
    <row r="407" spans="1:18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2"/>
      <c r="L407" s="192"/>
      <c r="M407" s="75"/>
      <c r="N407" s="2"/>
      <c r="O407" s="2"/>
      <c r="P407" s="2"/>
      <c r="Q407" s="2"/>
      <c r="R407" s="2"/>
    </row>
    <row r="408" spans="1:18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2"/>
      <c r="L408" s="192"/>
      <c r="M408" s="75"/>
      <c r="N408" s="2"/>
      <c r="O408" s="2"/>
      <c r="P408" s="2"/>
      <c r="Q408" s="2"/>
      <c r="R408" s="2"/>
    </row>
    <row r="409" spans="1:18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2"/>
      <c r="L409" s="192"/>
      <c r="M409" s="75"/>
      <c r="N409" s="2"/>
      <c r="O409" s="2"/>
      <c r="P409" s="2"/>
      <c r="Q409" s="2"/>
      <c r="R409" s="2"/>
    </row>
    <row r="410" spans="1:18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2"/>
      <c r="L410" s="192"/>
      <c r="M410" s="75"/>
      <c r="N410" s="2"/>
      <c r="O410" s="2"/>
      <c r="P410" s="2"/>
      <c r="Q410" s="2"/>
      <c r="R410" s="2"/>
    </row>
    <row r="411" spans="1:18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2"/>
      <c r="L411" s="192"/>
      <c r="M411" s="75"/>
      <c r="N411" s="2"/>
      <c r="O411" s="2"/>
      <c r="P411" s="2"/>
      <c r="Q411" s="2"/>
      <c r="R411" s="2"/>
    </row>
    <row r="412" spans="1:18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2"/>
      <c r="L412" s="192"/>
      <c r="M412" s="75"/>
      <c r="N412" s="2"/>
      <c r="O412" s="2"/>
      <c r="P412" s="2"/>
      <c r="Q412" s="2"/>
      <c r="R412" s="2"/>
    </row>
    <row r="413" spans="1:18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2"/>
      <c r="L413" s="192"/>
      <c r="M413" s="75"/>
      <c r="N413" s="2"/>
      <c r="O413" s="2"/>
      <c r="P413" s="2"/>
      <c r="Q413" s="2"/>
      <c r="R413" s="2"/>
    </row>
    <row r="414" spans="1:18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92"/>
      <c r="L414" s="192"/>
      <c r="M414" s="75"/>
      <c r="N414" s="2"/>
      <c r="O414" s="2"/>
      <c r="P414" s="2"/>
      <c r="Q414" s="2"/>
      <c r="R414" s="2"/>
    </row>
    <row r="415" spans="1:18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92"/>
      <c r="L415" s="192"/>
      <c r="M415" s="75"/>
      <c r="N415" s="2"/>
      <c r="O415" s="2"/>
      <c r="P415" s="2"/>
      <c r="Q415" s="2"/>
      <c r="R415" s="2"/>
    </row>
    <row r="416" spans="1:18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92"/>
      <c r="L416" s="192"/>
      <c r="M416" s="75"/>
      <c r="N416" s="2"/>
      <c r="O416" s="2"/>
      <c r="P416" s="2"/>
      <c r="Q416" s="2"/>
      <c r="R416" s="2"/>
    </row>
    <row r="417" spans="1:18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92"/>
      <c r="L417" s="192"/>
      <c r="M417" s="75"/>
      <c r="N417" s="2"/>
      <c r="O417" s="2"/>
      <c r="P417" s="2"/>
      <c r="Q417" s="2"/>
      <c r="R417" s="2"/>
    </row>
    <row r="418" spans="1:18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92"/>
      <c r="L418" s="192"/>
      <c r="M418" s="75"/>
      <c r="N418" s="2"/>
      <c r="O418" s="2"/>
      <c r="P418" s="2"/>
      <c r="Q418" s="2"/>
      <c r="R418" s="2"/>
    </row>
    <row r="419" spans="1:18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92"/>
      <c r="L419" s="192"/>
      <c r="M419" s="75"/>
      <c r="N419" s="2"/>
      <c r="O419" s="2"/>
      <c r="P419" s="2"/>
      <c r="Q419" s="2"/>
      <c r="R419" s="2"/>
    </row>
    <row r="420" spans="1:18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92"/>
      <c r="L420" s="192"/>
      <c r="M420" s="75"/>
      <c r="N420" s="2"/>
      <c r="O420" s="2"/>
      <c r="P420" s="2"/>
      <c r="Q420" s="2"/>
      <c r="R420" s="2"/>
    </row>
    <row r="421" spans="1:18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92"/>
      <c r="L421" s="192"/>
      <c r="M421" s="75"/>
      <c r="N421" s="2"/>
      <c r="O421" s="2"/>
      <c r="P421" s="2"/>
      <c r="Q421" s="2"/>
      <c r="R421" s="2"/>
    </row>
    <row r="422" spans="1:18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92"/>
      <c r="L422" s="192"/>
      <c r="M422" s="75"/>
      <c r="N422" s="2"/>
      <c r="O422" s="2"/>
      <c r="P422" s="2"/>
      <c r="Q422" s="2"/>
      <c r="R422" s="2"/>
    </row>
    <row r="423" spans="1:18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92"/>
      <c r="L423" s="192"/>
      <c r="M423" s="75"/>
      <c r="N423" s="2"/>
      <c r="O423" s="2"/>
      <c r="P423" s="2"/>
      <c r="Q423" s="2"/>
      <c r="R423" s="2"/>
    </row>
    <row r="424" spans="1:18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92"/>
      <c r="L424" s="192"/>
      <c r="M424" s="75"/>
      <c r="N424" s="2"/>
      <c r="O424" s="2"/>
      <c r="P424" s="2"/>
      <c r="Q424" s="2"/>
      <c r="R424" s="2"/>
    </row>
    <row r="425" spans="1:18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92"/>
      <c r="L425" s="192"/>
      <c r="M425" s="75"/>
      <c r="N425" s="2"/>
      <c r="O425" s="2"/>
      <c r="P425" s="2"/>
      <c r="Q425" s="2"/>
      <c r="R425" s="2"/>
    </row>
    <row r="426" spans="1:18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92"/>
      <c r="L426" s="192"/>
      <c r="M426" s="75"/>
      <c r="N426" s="2"/>
      <c r="O426" s="2"/>
      <c r="P426" s="2"/>
      <c r="Q426" s="2"/>
      <c r="R426" s="2"/>
    </row>
    <row r="427" spans="1:18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92"/>
      <c r="L427" s="192"/>
      <c r="M427" s="75"/>
      <c r="N427" s="2"/>
      <c r="O427" s="2"/>
      <c r="P427" s="2"/>
      <c r="Q427" s="2"/>
      <c r="R427" s="2"/>
    </row>
    <row r="428" spans="1:18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92"/>
      <c r="L428" s="192"/>
      <c r="M428" s="75"/>
      <c r="N428" s="2"/>
      <c r="O428" s="2"/>
      <c r="P428" s="2"/>
      <c r="Q428" s="2"/>
      <c r="R428" s="2"/>
    </row>
    <row r="429" spans="1:18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92"/>
      <c r="L429" s="192"/>
      <c r="M429" s="75"/>
      <c r="N429" s="2"/>
      <c r="O429" s="2"/>
      <c r="P429" s="2"/>
      <c r="Q429" s="2"/>
      <c r="R429" s="2"/>
    </row>
    <row r="430" spans="1:18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92"/>
      <c r="L430" s="192"/>
      <c r="M430" s="75"/>
      <c r="N430" s="2"/>
      <c r="O430" s="2"/>
      <c r="P430" s="2"/>
      <c r="Q430" s="2"/>
      <c r="R430" s="2"/>
    </row>
    <row r="431" spans="1:18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92"/>
      <c r="L431" s="192"/>
      <c r="M431" s="75"/>
      <c r="N431" s="2"/>
      <c r="O431" s="2"/>
      <c r="P431" s="2"/>
      <c r="Q431" s="2"/>
      <c r="R431" s="2"/>
    </row>
    <row r="432" spans="1:18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92"/>
      <c r="L432" s="192"/>
      <c r="M432" s="75"/>
      <c r="N432" s="2"/>
      <c r="O432" s="2"/>
      <c r="P432" s="2"/>
      <c r="Q432" s="2"/>
      <c r="R432" s="2"/>
    </row>
    <row r="433" spans="1:18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92"/>
      <c r="L433" s="192"/>
      <c r="M433" s="75"/>
      <c r="N433" s="2"/>
      <c r="O433" s="2"/>
      <c r="P433" s="2"/>
      <c r="Q433" s="2"/>
      <c r="R433" s="2"/>
    </row>
    <row r="434" spans="1:18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92"/>
      <c r="L434" s="192"/>
      <c r="M434" s="75"/>
      <c r="N434" s="2"/>
      <c r="O434" s="2"/>
      <c r="P434" s="2"/>
      <c r="Q434" s="2"/>
      <c r="R434" s="2"/>
    </row>
    <row r="435" spans="1:18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92"/>
      <c r="L435" s="192"/>
      <c r="M435" s="75"/>
      <c r="N435" s="2"/>
      <c r="O435" s="2"/>
      <c r="P435" s="2"/>
      <c r="Q435" s="2"/>
      <c r="R435" s="2"/>
    </row>
    <row r="436" spans="1:18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92"/>
      <c r="L436" s="192"/>
      <c r="M436" s="75"/>
      <c r="N436" s="2"/>
      <c r="O436" s="2"/>
      <c r="P436" s="2"/>
      <c r="Q436" s="2"/>
      <c r="R436" s="2"/>
    </row>
    <row r="437" spans="1:18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92"/>
      <c r="L437" s="192"/>
      <c r="M437" s="75"/>
      <c r="N437" s="2"/>
      <c r="O437" s="2"/>
      <c r="P437" s="2"/>
      <c r="Q437" s="2"/>
      <c r="R437" s="2"/>
    </row>
    <row r="438" spans="1:18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92"/>
      <c r="L438" s="192"/>
      <c r="M438" s="75"/>
      <c r="N438" s="2"/>
      <c r="O438" s="2"/>
      <c r="P438" s="2"/>
      <c r="Q438" s="2"/>
      <c r="R438" s="2"/>
    </row>
    <row r="439" spans="1:18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92"/>
      <c r="L439" s="192"/>
      <c r="M439" s="75"/>
      <c r="N439" s="2"/>
      <c r="O439" s="2"/>
      <c r="P439" s="2"/>
      <c r="Q439" s="2"/>
      <c r="R439" s="2"/>
    </row>
    <row r="440" spans="1:18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92"/>
      <c r="L440" s="192"/>
      <c r="M440" s="75"/>
      <c r="N440" s="2"/>
      <c r="O440" s="2"/>
      <c r="P440" s="2"/>
      <c r="Q440" s="2"/>
      <c r="R440" s="2"/>
    </row>
    <row r="441" spans="1:18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92"/>
      <c r="L441" s="192"/>
      <c r="M441" s="75"/>
      <c r="N441" s="2"/>
      <c r="O441" s="2"/>
      <c r="P441" s="2"/>
      <c r="Q441" s="2"/>
      <c r="R441" s="2"/>
    </row>
    <row r="442" spans="1:18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92"/>
      <c r="L442" s="192"/>
      <c r="M442" s="75"/>
      <c r="N442" s="2"/>
      <c r="O442" s="2"/>
      <c r="P442" s="2"/>
      <c r="Q442" s="2"/>
      <c r="R442" s="2"/>
    </row>
    <row r="443" spans="1:18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92"/>
      <c r="L443" s="192"/>
      <c r="M443" s="75"/>
      <c r="N443" s="2"/>
      <c r="O443" s="2"/>
      <c r="P443" s="2"/>
      <c r="Q443" s="2"/>
      <c r="R443" s="2"/>
    </row>
    <row r="444" spans="1:18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92"/>
      <c r="L444" s="192"/>
      <c r="M444" s="75"/>
      <c r="N444" s="2"/>
      <c r="O444" s="2"/>
      <c r="P444" s="2"/>
      <c r="Q444" s="2"/>
      <c r="R444" s="2"/>
    </row>
    <row r="445" spans="1:18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92"/>
      <c r="L445" s="192"/>
      <c r="M445" s="75"/>
      <c r="N445" s="2"/>
      <c r="O445" s="2"/>
      <c r="P445" s="2"/>
      <c r="Q445" s="2"/>
      <c r="R445" s="2"/>
    </row>
    <row r="446" spans="1:18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92"/>
      <c r="L446" s="192"/>
      <c r="M446" s="75"/>
      <c r="N446" s="2"/>
      <c r="O446" s="2"/>
      <c r="P446" s="2"/>
      <c r="Q446" s="2"/>
      <c r="R446" s="2"/>
    </row>
    <row r="447" spans="1:18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92"/>
      <c r="L447" s="192"/>
      <c r="M447" s="75"/>
      <c r="N447" s="2"/>
      <c r="O447" s="2"/>
      <c r="P447" s="2"/>
      <c r="Q447" s="2"/>
      <c r="R447" s="2"/>
    </row>
    <row r="448" spans="1:18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92"/>
      <c r="L448" s="192"/>
      <c r="M448" s="75"/>
      <c r="N448" s="2"/>
      <c r="O448" s="2"/>
      <c r="P448" s="2"/>
      <c r="Q448" s="2"/>
      <c r="R448" s="2"/>
    </row>
    <row r="449" spans="1:18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92"/>
      <c r="L449" s="192"/>
      <c r="M449" s="75"/>
      <c r="N449" s="2"/>
      <c r="O449" s="2"/>
      <c r="P449" s="2"/>
      <c r="Q449" s="2"/>
      <c r="R449" s="2"/>
    </row>
    <row r="450" spans="1:18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92"/>
      <c r="L450" s="192"/>
      <c r="M450" s="75"/>
      <c r="N450" s="2"/>
      <c r="O450" s="2"/>
      <c r="P450" s="2"/>
      <c r="Q450" s="2"/>
      <c r="R450" s="2"/>
    </row>
    <row r="451" spans="1:18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92"/>
      <c r="L451" s="192"/>
      <c r="M451" s="75"/>
      <c r="N451" s="2"/>
      <c r="O451" s="2"/>
      <c r="P451" s="2"/>
      <c r="Q451" s="2"/>
      <c r="R451" s="2"/>
    </row>
    <row r="452" spans="1:18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92"/>
      <c r="L452" s="192"/>
      <c r="M452" s="75"/>
      <c r="N452" s="2"/>
      <c r="O452" s="2"/>
      <c r="P452" s="2"/>
      <c r="Q452" s="2"/>
      <c r="R452" s="2"/>
    </row>
    <row r="453" spans="1:18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192"/>
      <c r="L453" s="192"/>
      <c r="M453" s="75"/>
      <c r="N453" s="2"/>
      <c r="O453" s="2"/>
      <c r="P453" s="2"/>
      <c r="Q453" s="2"/>
      <c r="R453" s="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4" manualBreakCount="4">
    <brk id="46" max="12" man="1"/>
    <brk id="85" max="12" man="1"/>
    <brk id="124" max="12" man="1"/>
    <brk id="16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showOutlineSymbols="0" zoomScalePageLayoutView="0" workbookViewId="0" topLeftCell="C13">
      <selection activeCell="A4" sqref="A4"/>
    </sheetView>
  </sheetViews>
  <sheetFormatPr defaultColWidth="9.6640625" defaultRowHeight="15"/>
  <cols>
    <col min="1" max="1" width="10.21484375" style="80" customWidth="1"/>
    <col min="2" max="2" width="9.77734375" style="80" customWidth="1"/>
    <col min="3" max="3" width="16.10546875" style="80" customWidth="1"/>
    <col min="4" max="4" width="26.21484375" style="80" customWidth="1"/>
    <col min="5" max="6" width="13.6640625" style="80" customWidth="1"/>
    <col min="7" max="7" width="15.99609375" style="80" customWidth="1"/>
    <col min="8" max="8" width="12.4453125" style="80" customWidth="1"/>
    <col min="9" max="9" width="15.44531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53125" style="80" customWidth="1"/>
    <col min="15" max="15" width="13.88671875" style="80" customWidth="1"/>
    <col min="16" max="16" width="3.77734375" style="80" customWidth="1"/>
    <col min="17" max="16384" width="9.6640625" style="80" customWidth="1"/>
  </cols>
  <sheetData>
    <row r="1" spans="1:15" ht="23.2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3.25">
      <c r="A2" s="78" t="s">
        <v>21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3.25">
      <c r="A3" s="282" t="s">
        <v>73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3.2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4" thickBot="1">
      <c r="A5" s="78" t="s">
        <v>22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23</v>
      </c>
      <c r="P6" s="83"/>
    </row>
    <row r="7" spans="1:16" ht="15.75">
      <c r="A7" s="105" t="s">
        <v>24</v>
      </c>
      <c r="B7" s="84" t="s">
        <v>13</v>
      </c>
      <c r="C7" s="84" t="s">
        <v>15</v>
      </c>
      <c r="D7" s="84" t="s">
        <v>65</v>
      </c>
      <c r="E7" s="275" t="s">
        <v>56</v>
      </c>
      <c r="F7" s="84" t="s">
        <v>63</v>
      </c>
      <c r="G7" s="84" t="s">
        <v>67</v>
      </c>
      <c r="H7" s="84" t="s">
        <v>66</v>
      </c>
      <c r="I7" s="84" t="s">
        <v>52</v>
      </c>
      <c r="J7" s="84" t="s">
        <v>25</v>
      </c>
      <c r="K7" s="84" t="s">
        <v>53</v>
      </c>
      <c r="L7" s="84" t="s">
        <v>50</v>
      </c>
      <c r="M7" s="84" t="s">
        <v>17</v>
      </c>
      <c r="N7" s="84" t="s">
        <v>51</v>
      </c>
      <c r="O7" s="84" t="s">
        <v>26</v>
      </c>
      <c r="P7" s="83"/>
    </row>
    <row r="8" spans="1:16" ht="16.5" thickBot="1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>
      <c r="A10" s="88">
        <f>DATE(2020,7,1)</f>
        <v>44013</v>
      </c>
      <c r="B10" s="89">
        <f>'MONTHLY STATS'!$C$9*2</f>
        <v>376666</v>
      </c>
      <c r="C10" s="89">
        <f>'MONTHLY STATS'!$C$22*2</f>
        <v>158942</v>
      </c>
      <c r="D10" s="89">
        <f>'MONTHLY STATS'!$C$35*2</f>
        <v>106210</v>
      </c>
      <c r="E10" s="89">
        <f>'MONTHLY STATS'!$C$48*2</f>
        <v>452472</v>
      </c>
      <c r="F10" s="89">
        <f>'MONTHLY STATS'!$C$61*2</f>
        <v>521570</v>
      </c>
      <c r="G10" s="89">
        <f>'MONTHLY STATS'!$C$74*2</f>
        <v>151956</v>
      </c>
      <c r="H10" s="89">
        <f>'MONTHLY STATS'!$C$87*2</f>
        <v>179564</v>
      </c>
      <c r="I10" s="89">
        <f>'MONTHLY STATS'!$C$100*2</f>
        <v>396916</v>
      </c>
      <c r="J10" s="89">
        <f>'MONTHLY STATS'!$C$113*2</f>
        <v>422892</v>
      </c>
      <c r="K10" s="89">
        <f>'MONTHLY STATS'!$C$126*2</f>
        <v>446984</v>
      </c>
      <c r="L10" s="89">
        <f>'MONTHLY STATS'!$C$139*2</f>
        <v>86452</v>
      </c>
      <c r="M10" s="89">
        <f>'MONTHLY STATS'!$C$152*2</f>
        <v>632878</v>
      </c>
      <c r="N10" s="89">
        <f>'MONTHLY STATS'!$C$165*2</f>
        <v>122676</v>
      </c>
      <c r="O10" s="90">
        <f aca="true" t="shared" si="0" ref="O10:O15">SUM(B10:N10)</f>
        <v>4056178</v>
      </c>
      <c r="P10" s="83"/>
    </row>
    <row r="11" spans="1:16" ht="15.75">
      <c r="A11" s="88">
        <f>DATE(2020,8,1)</f>
        <v>44044</v>
      </c>
      <c r="B11" s="89">
        <f>'MONTHLY STATS'!$C$10*2</f>
        <v>386252</v>
      </c>
      <c r="C11" s="89">
        <f>'MONTHLY STATS'!$C$23*2</f>
        <v>176468</v>
      </c>
      <c r="D11" s="89">
        <f>'MONTHLY STATS'!$C$36*2</f>
        <v>105220</v>
      </c>
      <c r="E11" s="89">
        <f>'MONTHLY STATS'!$C$49*2</f>
        <v>497732</v>
      </c>
      <c r="F11" s="89">
        <f>'MONTHLY STATS'!$C$62*2</f>
        <v>535796</v>
      </c>
      <c r="G11" s="89">
        <f>'MONTHLY STATS'!$C$75*2</f>
        <v>150102</v>
      </c>
      <c r="H11" s="89">
        <f>'MONTHLY STATS'!$C$88*2</f>
        <v>181532</v>
      </c>
      <c r="I11" s="89">
        <f>'MONTHLY STATS'!$C$101*2</f>
        <v>414340</v>
      </c>
      <c r="J11" s="89">
        <f>'MONTHLY STATS'!$C$114*2</f>
        <v>451102</v>
      </c>
      <c r="K11" s="89">
        <f>'MONTHLY STATS'!$C$127*2</f>
        <v>486344</v>
      </c>
      <c r="L11" s="89">
        <f>'MONTHLY STATS'!$C$140*2</f>
        <v>93412</v>
      </c>
      <c r="M11" s="89">
        <f>'MONTHLY STATS'!$C$153*2</f>
        <v>610790</v>
      </c>
      <c r="N11" s="89">
        <f>'MONTHLY STATS'!$C$166*2</f>
        <v>123710</v>
      </c>
      <c r="O11" s="90">
        <f t="shared" si="0"/>
        <v>4212800</v>
      </c>
      <c r="P11" s="83"/>
    </row>
    <row r="12" spans="1:16" ht="15.75">
      <c r="A12" s="88">
        <f>DATE(2020,9,1)</f>
        <v>44075</v>
      </c>
      <c r="B12" s="89">
        <f>'MONTHLY STATS'!$C$11*2</f>
        <v>393508</v>
      </c>
      <c r="C12" s="89">
        <f>'MONTHLY STATS'!$C$24*2</f>
        <v>181896</v>
      </c>
      <c r="D12" s="89">
        <f>'MONTHLY STATS'!$C$37*2</f>
        <v>101704</v>
      </c>
      <c r="E12" s="89">
        <f>'MONTHLY STATS'!$C$50*2</f>
        <v>499142</v>
      </c>
      <c r="F12" s="89">
        <f>'MONTHLY STATS'!$C$63*2</f>
        <v>491416</v>
      </c>
      <c r="G12" s="89">
        <f>'MONTHLY STATS'!$C$76*2</f>
        <v>152116</v>
      </c>
      <c r="H12" s="89">
        <f>'MONTHLY STATS'!$C$89*2</f>
        <v>227798</v>
      </c>
      <c r="I12" s="89">
        <f>'MONTHLY STATS'!$C$102*2</f>
        <v>429358</v>
      </c>
      <c r="J12" s="89">
        <f>'MONTHLY STATS'!$C$115*2</f>
        <v>449654</v>
      </c>
      <c r="K12" s="89">
        <f>'MONTHLY STATS'!$C$128*2</f>
        <v>517978</v>
      </c>
      <c r="L12" s="89">
        <f>'MONTHLY STATS'!$C$141*2</f>
        <v>89310</v>
      </c>
      <c r="M12" s="89">
        <f>'MONTHLY STATS'!$C$154*2</f>
        <v>636488</v>
      </c>
      <c r="N12" s="89">
        <f>'MONTHLY STATS'!$C$167*2</f>
        <v>116510</v>
      </c>
      <c r="O12" s="90">
        <f t="shared" si="0"/>
        <v>4286878</v>
      </c>
      <c r="P12" s="83"/>
    </row>
    <row r="13" spans="1:16" ht="15.75">
      <c r="A13" s="88">
        <f>DATE(2020,10,1)</f>
        <v>44105</v>
      </c>
      <c r="B13" s="89">
        <f>'MONTHLY STATS'!$C$12*2</f>
        <v>407654</v>
      </c>
      <c r="C13" s="89">
        <f>'MONTHLY STATS'!$C$25*2</f>
        <v>174198</v>
      </c>
      <c r="D13" s="89">
        <f>'MONTHLY STATS'!$C$38*2</f>
        <v>102526</v>
      </c>
      <c r="E13" s="89">
        <f>'MONTHLY STATS'!$C$51*2</f>
        <v>544168</v>
      </c>
      <c r="F13" s="89">
        <f>'MONTHLY STATS'!$C$64*2</f>
        <v>504572</v>
      </c>
      <c r="G13" s="89">
        <f>'MONTHLY STATS'!$C$77*2</f>
        <v>158558</v>
      </c>
      <c r="H13" s="89">
        <f>'MONTHLY STATS'!$C$90*2</f>
        <v>266504</v>
      </c>
      <c r="I13" s="89">
        <f>'MONTHLY STATS'!$C$103*2</f>
        <v>424510</v>
      </c>
      <c r="J13" s="89">
        <f>'MONTHLY STATS'!$C$116*2</f>
        <v>473378</v>
      </c>
      <c r="K13" s="89">
        <f>'MONTHLY STATS'!$C$129*2</f>
        <v>545318</v>
      </c>
      <c r="L13" s="89">
        <f>'MONTHLY STATS'!$C$142*2</f>
        <v>84806</v>
      </c>
      <c r="M13" s="89">
        <f>'MONTHLY STATS'!$C$155*2</f>
        <v>668590</v>
      </c>
      <c r="N13" s="89">
        <f>'MONTHLY STATS'!$C$168*2</f>
        <v>110656</v>
      </c>
      <c r="O13" s="90">
        <f t="shared" si="0"/>
        <v>4465438</v>
      </c>
      <c r="P13" s="83"/>
    </row>
    <row r="14" spans="1:16" ht="15.75">
      <c r="A14" s="88">
        <f>DATE(2020,11,1)</f>
        <v>44136</v>
      </c>
      <c r="B14" s="89">
        <f>'MONTHLY STATS'!$C$13*2</f>
        <v>378296</v>
      </c>
      <c r="C14" s="89">
        <f>'MONTHLY STATS'!$C$26*2</f>
        <v>155566</v>
      </c>
      <c r="D14" s="89">
        <f>'MONTHLY STATS'!$C$39*2</f>
        <v>91494</v>
      </c>
      <c r="E14" s="89">
        <f>'MONTHLY STATS'!$C$52*2</f>
        <v>465798</v>
      </c>
      <c r="F14" s="89">
        <f>'MONTHLY STATS'!$C$65*2</f>
        <v>459294</v>
      </c>
      <c r="G14" s="89">
        <f>'MONTHLY STATS'!$C$78*2</f>
        <v>146872</v>
      </c>
      <c r="H14" s="89">
        <f>'MONTHLY STATS'!$C$91*2</f>
        <v>257284</v>
      </c>
      <c r="I14" s="89">
        <f>'MONTHLY STATS'!$C$104*2</f>
        <v>364402</v>
      </c>
      <c r="J14" s="89">
        <f>'MONTHLY STATS'!$C$117*2</f>
        <v>435666</v>
      </c>
      <c r="K14" s="89">
        <f>'MONTHLY STATS'!$C$130*2</f>
        <v>458632</v>
      </c>
      <c r="L14" s="89">
        <f>'MONTHLY STATS'!$C$143*2</f>
        <v>75632</v>
      </c>
      <c r="M14" s="89">
        <f>'MONTHLY STATS'!$C$156*2</f>
        <v>585848</v>
      </c>
      <c r="N14" s="89">
        <f>'MONTHLY STATS'!$C$169*2</f>
        <v>99764</v>
      </c>
      <c r="O14" s="90">
        <f t="shared" si="0"/>
        <v>3974548</v>
      </c>
      <c r="P14" s="83"/>
    </row>
    <row r="15" spans="1:16" ht="15.75">
      <c r="A15" s="88">
        <f>DATE(2020,12,1)</f>
        <v>44166</v>
      </c>
      <c r="B15" s="89">
        <f>'MONTHLY STATS'!$C$14*2</f>
        <v>392152</v>
      </c>
      <c r="C15" s="89">
        <f>'MONTHLY STATS'!$C$27*2</f>
        <v>164878</v>
      </c>
      <c r="D15" s="89">
        <f>'MONTHLY STATS'!$C$40*2</f>
        <v>100036</v>
      </c>
      <c r="E15" s="89">
        <f>'MONTHLY STATS'!$C$53*2</f>
        <v>453314</v>
      </c>
      <c r="F15" s="89">
        <f>'MONTHLY STATS'!$C$66*2</f>
        <v>474630</v>
      </c>
      <c r="G15" s="89">
        <f>'MONTHLY STATS'!$C$79*2</f>
        <v>180106</v>
      </c>
      <c r="H15" s="89">
        <f>'MONTHLY STATS'!$C$92*2</f>
        <v>272648</v>
      </c>
      <c r="I15" s="89">
        <f>'MONTHLY STATS'!$C$105*2</f>
        <v>473172</v>
      </c>
      <c r="J15" s="89">
        <f>'MONTHLY STATS'!$C$118*2</f>
        <v>465676</v>
      </c>
      <c r="K15" s="89">
        <f>'MONTHLY STATS'!$C$131*2</f>
        <v>448938</v>
      </c>
      <c r="L15" s="89">
        <f>'MONTHLY STATS'!$C$144*2</f>
        <v>96396</v>
      </c>
      <c r="M15" s="89">
        <f>'MONTHLY STATS'!$C$157*2</f>
        <v>688112</v>
      </c>
      <c r="N15" s="89">
        <f>'MONTHLY STATS'!$C$170*2</f>
        <v>106980</v>
      </c>
      <c r="O15" s="90">
        <f t="shared" si="0"/>
        <v>4317038</v>
      </c>
      <c r="P15" s="83"/>
    </row>
    <row r="16" spans="1:16" ht="15.75">
      <c r="A16" s="88">
        <f>DATE(2021,1,1)</f>
        <v>44197</v>
      </c>
      <c r="B16" s="89">
        <f>'MONTHLY STATS'!$C$15*2</f>
        <v>421458</v>
      </c>
      <c r="C16" s="89">
        <f>'MONTHLY STATS'!$C$28*2</f>
        <v>208314</v>
      </c>
      <c r="D16" s="89">
        <f>'MONTHLY STATS'!$C$41*2</f>
        <v>126344</v>
      </c>
      <c r="E16" s="89">
        <f>'MONTHLY STATS'!$C$54*2</f>
        <v>475812</v>
      </c>
      <c r="F16" s="89">
        <f>'MONTHLY STATS'!$C$67*2</f>
        <v>507458</v>
      </c>
      <c r="G16" s="89">
        <f>'MONTHLY STATS'!$C$80*2</f>
        <v>205936</v>
      </c>
      <c r="H16" s="89">
        <f>'MONTHLY STATS'!$C$93*2</f>
        <v>297882</v>
      </c>
      <c r="I16" s="89">
        <f>'MONTHLY STATS'!$C$106*2</f>
        <v>535226</v>
      </c>
      <c r="J16" s="89">
        <f>'MONTHLY STATS'!$C$119*2</f>
        <v>521048</v>
      </c>
      <c r="K16" s="89">
        <f>'MONTHLY STATS'!$C$132*2</f>
        <v>490444</v>
      </c>
      <c r="L16" s="89">
        <f>'MONTHLY STATS'!$C$145*2</f>
        <v>98912</v>
      </c>
      <c r="M16" s="89">
        <f>'MONTHLY STATS'!$C$158*2</f>
        <v>787020</v>
      </c>
      <c r="N16" s="89">
        <f>'MONTHLY STATS'!$C$171*2</f>
        <v>121312</v>
      </c>
      <c r="O16" s="90">
        <f>SUM(B16:N16)</f>
        <v>4797166</v>
      </c>
      <c r="P16" s="83"/>
    </row>
    <row r="17" spans="1:16" ht="15.75">
      <c r="A17" s="88">
        <f>DATE(2021,2,1)</f>
        <v>44228</v>
      </c>
      <c r="B17" s="89">
        <f>'MONTHLY STATS'!$C$16*2</f>
        <v>357612</v>
      </c>
      <c r="C17" s="89">
        <f>'MONTHLY STATS'!$C$29*2</f>
        <v>176010</v>
      </c>
      <c r="D17" s="89">
        <f>'MONTHLY STATS'!$C$42*2</f>
        <v>83818</v>
      </c>
      <c r="E17" s="89">
        <f>'MONTHLY STATS'!$C$55*2</f>
        <v>399548</v>
      </c>
      <c r="F17" s="89">
        <f>'MONTHLY STATS'!$C$68*2</f>
        <v>443098</v>
      </c>
      <c r="G17" s="89">
        <f>'MONTHLY STATS'!$C$81*2</f>
        <v>146776</v>
      </c>
      <c r="H17" s="89">
        <f>'MONTHLY STATS'!$C$94*2</f>
        <v>256616</v>
      </c>
      <c r="I17" s="89">
        <f>'MONTHLY STATS'!$C$107*2</f>
        <v>383956</v>
      </c>
      <c r="J17" s="89">
        <f>'MONTHLY STATS'!$C$120*2</f>
        <v>439200</v>
      </c>
      <c r="K17" s="89">
        <f>'MONTHLY STATS'!$C$133*2</f>
        <v>413806</v>
      </c>
      <c r="L17" s="89">
        <f>'MONTHLY STATS'!$C$146*2</f>
        <v>74858</v>
      </c>
      <c r="M17" s="89">
        <f>'MONTHLY STATS'!$C$159*2</f>
        <v>639428</v>
      </c>
      <c r="N17" s="89">
        <f>'MONTHLY STATS'!$C$172*2</f>
        <v>101550</v>
      </c>
      <c r="O17" s="90">
        <f>SUM(B17:N17)</f>
        <v>3916276</v>
      </c>
      <c r="P17" s="83"/>
    </row>
    <row r="18" spans="1:16" ht="15.75">
      <c r="A18" s="88">
        <f>DATE(2021,3,1)</f>
        <v>44256</v>
      </c>
      <c r="B18" s="89">
        <f>'MONTHLY STATS'!$C$17*2</f>
        <v>489270</v>
      </c>
      <c r="C18" s="89">
        <f>'MONTHLY STATS'!$C$30*2</f>
        <v>253988</v>
      </c>
      <c r="D18" s="89">
        <f>'MONTHLY STATS'!$C$43*2</f>
        <v>148546</v>
      </c>
      <c r="E18" s="89">
        <f>'MONTHLY STATS'!$C$56*2</f>
        <v>541174</v>
      </c>
      <c r="F18" s="89">
        <f>'MONTHLY STATS'!$C$69*2</f>
        <v>591028</v>
      </c>
      <c r="G18" s="89">
        <f>'MONTHLY STATS'!$C$82*2</f>
        <v>224836</v>
      </c>
      <c r="H18" s="89">
        <f>'MONTHLY STATS'!$C$95*2</f>
        <v>356588</v>
      </c>
      <c r="I18" s="89">
        <f>'MONTHLY STATS'!$C$108*2</f>
        <v>534066</v>
      </c>
      <c r="J18" s="89">
        <f>'MONTHLY STATS'!$C$121*2</f>
        <v>628288</v>
      </c>
      <c r="K18" s="89">
        <f>'MONTHLY STATS'!$C$134*2</f>
        <v>584860</v>
      </c>
      <c r="L18" s="89">
        <f>'MONTHLY STATS'!$C$147*2</f>
        <v>119120</v>
      </c>
      <c r="M18" s="89">
        <f>'MONTHLY STATS'!$C$160*2</f>
        <v>799044</v>
      </c>
      <c r="N18" s="89">
        <f>'MONTHLY STATS'!$C$173*2</f>
        <v>153458</v>
      </c>
      <c r="O18" s="90">
        <f>SUM(B18:N18)</f>
        <v>5424266</v>
      </c>
      <c r="P18" s="83"/>
    </row>
    <row r="19" spans="1:16" ht="15.75">
      <c r="A19" s="88">
        <f>DATE(2021,4,1)</f>
        <v>44287</v>
      </c>
      <c r="B19" s="89">
        <f>'MONTHLY STATS'!$C$18*2</f>
        <v>459560</v>
      </c>
      <c r="C19" s="89">
        <f>'MONTHLY STATS'!$C$31*2</f>
        <v>233192</v>
      </c>
      <c r="D19" s="89">
        <f>'MONTHLY STATS'!$C$44*2</f>
        <v>145722</v>
      </c>
      <c r="E19" s="89">
        <f>'MONTHLY STATS'!$C$57*2</f>
        <v>581972</v>
      </c>
      <c r="F19" s="89">
        <f>'MONTHLY STATS'!$C$70*2</f>
        <v>548438</v>
      </c>
      <c r="G19" s="89">
        <f>'MONTHLY STATS'!$C$83*2</f>
        <v>217312</v>
      </c>
      <c r="H19" s="89">
        <f>'MONTHLY STATS'!$C$96*2</f>
        <v>359802</v>
      </c>
      <c r="I19" s="89">
        <f>'MONTHLY STATS'!$C$109*2</f>
        <v>520240</v>
      </c>
      <c r="J19" s="89">
        <f>'MONTHLY STATS'!$C$122*2</f>
        <v>594582</v>
      </c>
      <c r="K19" s="89">
        <f>'MONTHLY STATS'!$C$135*2</f>
        <v>594722</v>
      </c>
      <c r="L19" s="89">
        <f>'MONTHLY STATS'!$C$148*2</f>
        <v>112038</v>
      </c>
      <c r="M19" s="89">
        <f>'MONTHLY STATS'!$C$161*2</f>
        <v>774130</v>
      </c>
      <c r="N19" s="89">
        <f>'MONTHLY STATS'!$C$174*2</f>
        <v>155398</v>
      </c>
      <c r="O19" s="90">
        <f>SUM(B19:N19)</f>
        <v>5297108</v>
      </c>
      <c r="P19" s="83"/>
    </row>
    <row r="20" spans="1:16" ht="15.7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>
      <c r="A23" s="91" t="s">
        <v>27</v>
      </c>
      <c r="B23" s="90">
        <f aca="true" t="shared" si="1" ref="B23:O23">SUM(B10:B21)</f>
        <v>4062428</v>
      </c>
      <c r="C23" s="90">
        <f t="shared" si="1"/>
        <v>1883452</v>
      </c>
      <c r="D23" s="90">
        <f t="shared" si="1"/>
        <v>1111620</v>
      </c>
      <c r="E23" s="90">
        <f t="shared" si="1"/>
        <v>4911132</v>
      </c>
      <c r="F23" s="90">
        <f t="shared" si="1"/>
        <v>5077300</v>
      </c>
      <c r="G23" s="90">
        <f>SUM(G10:G21)</f>
        <v>1734570</v>
      </c>
      <c r="H23" s="90">
        <f t="shared" si="1"/>
        <v>2656218</v>
      </c>
      <c r="I23" s="90">
        <f>SUM(I10:I21)</f>
        <v>4476186</v>
      </c>
      <c r="J23" s="90">
        <f t="shared" si="1"/>
        <v>4881486</v>
      </c>
      <c r="K23" s="90">
        <f>SUM(K10:K21)</f>
        <v>4988026</v>
      </c>
      <c r="L23" s="90">
        <f t="shared" si="1"/>
        <v>930936</v>
      </c>
      <c r="M23" s="90">
        <f t="shared" si="1"/>
        <v>6822328</v>
      </c>
      <c r="N23" s="90">
        <f t="shared" si="1"/>
        <v>1212014</v>
      </c>
      <c r="O23" s="90">
        <f t="shared" si="1"/>
        <v>44747696</v>
      </c>
      <c r="P23" s="83"/>
    </row>
    <row r="24" spans="1:16" ht="16.5" thickBot="1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5" ht="15.75" thickTop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5" ht="24" thickBot="1">
      <c r="A26" s="96" t="s">
        <v>28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23</v>
      </c>
      <c r="P27" s="83"/>
    </row>
    <row r="28" spans="1:16" ht="15.75">
      <c r="A28" s="105" t="s">
        <v>24</v>
      </c>
      <c r="B28" s="84" t="s">
        <v>13</v>
      </c>
      <c r="C28" s="84" t="s">
        <v>15</v>
      </c>
      <c r="D28" s="84" t="s">
        <v>65</v>
      </c>
      <c r="E28" s="275" t="s">
        <v>56</v>
      </c>
      <c r="F28" s="84" t="s">
        <v>63</v>
      </c>
      <c r="G28" s="84" t="s">
        <v>67</v>
      </c>
      <c r="H28" s="84" t="s">
        <v>66</v>
      </c>
      <c r="I28" s="84" t="s">
        <v>52</v>
      </c>
      <c r="J28" s="84" t="s">
        <v>25</v>
      </c>
      <c r="K28" s="106" t="s">
        <v>53</v>
      </c>
      <c r="L28" s="106" t="s">
        <v>50</v>
      </c>
      <c r="M28" s="106" t="s">
        <v>17</v>
      </c>
      <c r="N28" s="106" t="s">
        <v>51</v>
      </c>
      <c r="O28" s="106" t="s">
        <v>26</v>
      </c>
      <c r="P28" s="83"/>
    </row>
    <row r="29" spans="1:16" ht="16.5" thickBot="1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>
      <c r="A31" s="88">
        <f>DATE(2020,7,1)</f>
        <v>44013</v>
      </c>
      <c r="B31" s="89">
        <f>'MONTHLY STATS'!$K$9*0.21</f>
        <v>2859195.1269</v>
      </c>
      <c r="C31" s="89">
        <f>'MONTHLY STATS'!$K$22*0.21</f>
        <v>1178796.7863</v>
      </c>
      <c r="D31" s="89">
        <f>'MONTHLY STATS'!$K$35*0.21</f>
        <v>728228.8859999999</v>
      </c>
      <c r="E31" s="89">
        <f>'MONTHLY STATS'!$K$48*0.21</f>
        <v>3061575.4995</v>
      </c>
      <c r="F31" s="89">
        <f>'MONTHLY STATS'!$K$61*0.21</f>
        <v>3317763.2229</v>
      </c>
      <c r="G31" s="89">
        <f>'MONTHLY STATS'!$K$74*0.21</f>
        <v>1051497.2097</v>
      </c>
      <c r="H31" s="89">
        <f>'MONTHLY STATS'!$K$87*0.21</f>
        <v>955953.5055</v>
      </c>
      <c r="I31" s="89">
        <f>'MONTHLY STATS'!$K$100*0.21</f>
        <v>2398867.7517</v>
      </c>
      <c r="J31" s="89">
        <f>'MONTHLY STATS'!$K$113*0.21</f>
        <v>2903763.5780999996</v>
      </c>
      <c r="K31" s="89">
        <f>'MONTHLY STATS'!$K$126*0.21</f>
        <v>3157890.0108</v>
      </c>
      <c r="L31" s="89">
        <f>'MONTHLY STATS'!$K$139*0.21</f>
        <v>624400.8645</v>
      </c>
      <c r="M31" s="89">
        <f>'MONTHLY STATS'!$K$152*0.21</f>
        <v>4772441.480099999</v>
      </c>
      <c r="N31" s="89">
        <f>'MONTHLY STATS'!$K$165*0.21</f>
        <v>737749.3809</v>
      </c>
      <c r="O31" s="90">
        <f aca="true" t="shared" si="2" ref="O31:O36">SUM(B31:N31)</f>
        <v>27748123.302899998</v>
      </c>
      <c r="P31" s="83"/>
    </row>
    <row r="32" spans="1:16" ht="15.75">
      <c r="A32" s="88">
        <f>DATE(2020,8,1)</f>
        <v>44044</v>
      </c>
      <c r="B32" s="89">
        <f>'MONTHLY STATS'!$K$10*0.21</f>
        <v>2650302.3833999997</v>
      </c>
      <c r="C32" s="89">
        <f>'MONTHLY STATS'!$K$23*0.21</f>
        <v>1258855.9683</v>
      </c>
      <c r="D32" s="89">
        <f>'MONTHLY STATS'!$K$36*0.21</f>
        <v>692227.4099999999</v>
      </c>
      <c r="E32" s="89">
        <f>'MONTHLY STATS'!$K$49*0.21</f>
        <v>3170806.4157</v>
      </c>
      <c r="F32" s="89">
        <f>'MONTHLY STATS'!$K$62*0.21</f>
        <v>3274392.6348</v>
      </c>
      <c r="G32" s="89">
        <f>'MONTHLY STATS'!$K$75*0.21</f>
        <v>1042214.6279999999</v>
      </c>
      <c r="H32" s="89">
        <f>'MONTHLY STATS'!$K$88*0.21</f>
        <v>924689.3459999999</v>
      </c>
      <c r="I32" s="89">
        <f>'MONTHLY STATS'!$K$101*0.21</f>
        <v>2536431.8153999997</v>
      </c>
      <c r="J32" s="89">
        <f>'MONTHLY STATS'!$K$114*0.21</f>
        <v>3012089.7827999997</v>
      </c>
      <c r="K32" s="89">
        <f>'MONTHLY STATS'!$K$127*0.21</f>
        <v>3330930.078</v>
      </c>
      <c r="L32" s="89">
        <f>'MONTHLY STATS'!$K$140*0.21</f>
        <v>645271.1621999999</v>
      </c>
      <c r="M32" s="89">
        <f>'MONTHLY STATS'!$K$153*0.21</f>
        <v>4362897.6909</v>
      </c>
      <c r="N32" s="89">
        <f>'MONTHLY STATS'!$K$166*0.21</f>
        <v>745142.7984</v>
      </c>
      <c r="O32" s="90">
        <f t="shared" si="2"/>
        <v>27646252.1139</v>
      </c>
      <c r="P32" s="83"/>
    </row>
    <row r="33" spans="1:16" ht="15.75">
      <c r="A33" s="88">
        <f>DATE(2020,9,1)</f>
        <v>44075</v>
      </c>
      <c r="B33" s="89">
        <f>'MONTHLY STATS'!$K$11*0.21</f>
        <v>2610141.7838999997</v>
      </c>
      <c r="C33" s="89">
        <f>'MONTHLY STATS'!$K$24*0.21</f>
        <v>1240836.3786</v>
      </c>
      <c r="D33" s="89">
        <f>'MONTHLY STATS'!$K$37*0.21</f>
        <v>651075.1128</v>
      </c>
      <c r="E33" s="89">
        <f>'MONTHLY STATS'!$K$50*0.21</f>
        <v>3135831.1278</v>
      </c>
      <c r="F33" s="89">
        <f>'MONTHLY STATS'!$K$63*0.21</f>
        <v>3087246.498</v>
      </c>
      <c r="G33" s="89">
        <f>'MONTHLY STATS'!$K$76*0.21</f>
        <v>1046144.2025999998</v>
      </c>
      <c r="H33" s="89">
        <f>'MONTHLY STATS'!$K$89*0.21</f>
        <v>1124784.6645</v>
      </c>
      <c r="I33" s="89">
        <f>'MONTHLY STATS'!$K$102*0.21</f>
        <v>2423322.0983999996</v>
      </c>
      <c r="J33" s="89">
        <f>'MONTHLY STATS'!$K$115*0.21</f>
        <v>2854444.1562</v>
      </c>
      <c r="K33" s="89">
        <f>'MONTHLY STATS'!$K$128*0.21</f>
        <v>3445275.7394999997</v>
      </c>
      <c r="L33" s="89">
        <f>'MONTHLY STATS'!$K$141*0.21</f>
        <v>591393.3879</v>
      </c>
      <c r="M33" s="89">
        <f>'MONTHLY STATS'!$K$154*0.21</f>
        <v>4283428.3065</v>
      </c>
      <c r="N33" s="89">
        <f>'MONTHLY STATS'!$K$167*0.21</f>
        <v>673628.9238</v>
      </c>
      <c r="O33" s="90">
        <f t="shared" si="2"/>
        <v>27167552.380499996</v>
      </c>
      <c r="P33" s="83"/>
    </row>
    <row r="34" spans="1:16" ht="15.75">
      <c r="A34" s="88">
        <f>DATE(2020,10,1)</f>
        <v>44105</v>
      </c>
      <c r="B34" s="89">
        <f>'MONTHLY STATS'!$K$12*0.21</f>
        <v>2714785.8444</v>
      </c>
      <c r="C34" s="89">
        <f>'MONTHLY STATS'!$K$25*0.21</f>
        <v>1200446.0769</v>
      </c>
      <c r="D34" s="89">
        <f>'MONTHLY STATS'!$K$38*0.21</f>
        <v>709462.3053</v>
      </c>
      <c r="E34" s="89">
        <f>'MONTHLY STATS'!$K$51*0.21</f>
        <v>3331583.3123999997</v>
      </c>
      <c r="F34" s="89">
        <f>'MONTHLY STATS'!$K$64*0.21</f>
        <v>3140077.1598</v>
      </c>
      <c r="G34" s="89">
        <f>'MONTHLY STATS'!$K$77*0.21</f>
        <v>1048776.6219</v>
      </c>
      <c r="H34" s="89">
        <f>'MONTHLY STATS'!$K$90*0.21</f>
        <v>1287290.6172</v>
      </c>
      <c r="I34" s="89">
        <f>'MONTHLY STATS'!$K$103*0.21</f>
        <v>2376266.1993</v>
      </c>
      <c r="J34" s="89">
        <f>'MONTHLY STATS'!$K$116*0.21</f>
        <v>3034260.8792999997</v>
      </c>
      <c r="K34" s="89">
        <f>'MONTHLY STATS'!$K$129*0.21</f>
        <v>3440683.6001999998</v>
      </c>
      <c r="L34" s="89">
        <f>'MONTHLY STATS'!$K$142*0.21</f>
        <v>603164.5977</v>
      </c>
      <c r="M34" s="89">
        <f>'MONTHLY STATS'!$K$155*0.21</f>
        <v>4601981.3469</v>
      </c>
      <c r="N34" s="89">
        <f>'MONTHLY STATS'!$K$168*0.21</f>
        <v>608673.6852</v>
      </c>
      <c r="O34" s="90">
        <f t="shared" si="2"/>
        <v>28097452.2465</v>
      </c>
      <c r="P34" s="83"/>
    </row>
    <row r="35" spans="1:16" ht="15.75">
      <c r="A35" s="88">
        <f>DATE(2020,11,1)</f>
        <v>44136</v>
      </c>
      <c r="B35" s="89">
        <f>'MONTHLY STATS'!$K$13*0.21</f>
        <v>2368268.8722</v>
      </c>
      <c r="C35" s="89">
        <f>'MONTHLY STATS'!$K$26*0.21</f>
        <v>1123386.5727</v>
      </c>
      <c r="D35" s="89">
        <f>'MONTHLY STATS'!$K$39*0.21</f>
        <v>640084.7502</v>
      </c>
      <c r="E35" s="89">
        <f>'MONTHLY STATS'!$K$52*0.21</f>
        <v>2849597.9798999997</v>
      </c>
      <c r="F35" s="89">
        <f>'MONTHLY STATS'!$K$65*0.21</f>
        <v>2626045.7244</v>
      </c>
      <c r="G35" s="89">
        <f>'MONTHLY STATS'!$K$78*0.21</f>
        <v>944126.7255</v>
      </c>
      <c r="H35" s="89">
        <f>'MONTHLY STATS'!$K$91*0.21</f>
        <v>1210198.3550999998</v>
      </c>
      <c r="I35" s="89">
        <f>'MONTHLY STATS'!$K$104*0.21</f>
        <v>2217628.371</v>
      </c>
      <c r="J35" s="89">
        <f>'MONTHLY STATS'!$K$117*0.21</f>
        <v>2642717.2443</v>
      </c>
      <c r="K35" s="89">
        <f>'MONTHLY STATS'!$K$130*0.21</f>
        <v>3042247.1498999996</v>
      </c>
      <c r="L35" s="89">
        <f>'MONTHLY STATS'!$K$143*0.21</f>
        <v>556027.2479999999</v>
      </c>
      <c r="M35" s="89">
        <f>'MONTHLY STATS'!$K$156*0.21</f>
        <v>4002673.4601</v>
      </c>
      <c r="N35" s="89">
        <f>'MONTHLY STATS'!$K$169*0.21</f>
        <v>537440.3286</v>
      </c>
      <c r="O35" s="90">
        <f t="shared" si="2"/>
        <v>24760442.7819</v>
      </c>
      <c r="P35" s="83"/>
    </row>
    <row r="36" spans="1:16" ht="15.75">
      <c r="A36" s="88">
        <f>DATE(2020,12,1)</f>
        <v>44166</v>
      </c>
      <c r="B36" s="89">
        <f>'MONTHLY STATS'!$K$14*0.21</f>
        <v>2627025.0530999997</v>
      </c>
      <c r="C36" s="89">
        <f>'MONTHLY STATS'!$K$27*0.21</f>
        <v>1210539.8529</v>
      </c>
      <c r="D36" s="89">
        <f>'MONTHLY STATS'!$K$40*0.21</f>
        <v>705852.3213</v>
      </c>
      <c r="E36" s="89">
        <f>'MONTHLY STATS'!$K$53*0.21</f>
        <v>3089789.0141999996</v>
      </c>
      <c r="F36" s="89">
        <f>'MONTHLY STATS'!$K$66*0.21</f>
        <v>2771255.1783</v>
      </c>
      <c r="G36" s="89">
        <f>'MONTHLY STATS'!$K$79*0.21</f>
        <v>1288720.1523</v>
      </c>
      <c r="H36" s="89">
        <f>'MONTHLY STATS'!$K$92*0.21</f>
        <v>1340633.1225</v>
      </c>
      <c r="I36" s="89">
        <f>'MONTHLY STATS'!$K$105*0.21</f>
        <v>2902140.3726</v>
      </c>
      <c r="J36" s="89">
        <f>'MONTHLY STATS'!$K$118*0.21</f>
        <v>2965104.7377</v>
      </c>
      <c r="K36" s="89">
        <f>'MONTHLY STATS'!$K$131*0.21</f>
        <v>2959828.2608999996</v>
      </c>
      <c r="L36" s="89">
        <f>'MONTHLY STATS'!$K$144*0.21</f>
        <v>697840.9893</v>
      </c>
      <c r="M36" s="89">
        <f>'MONTHLY STATS'!$K$157*0.21</f>
        <v>5015026.0209</v>
      </c>
      <c r="N36" s="89">
        <f>'MONTHLY STATS'!$K$170*0.21</f>
        <v>590987.9870999999</v>
      </c>
      <c r="O36" s="90">
        <f t="shared" si="2"/>
        <v>28164743.0631</v>
      </c>
      <c r="P36" s="83"/>
    </row>
    <row r="37" spans="1:16" ht="15.75">
      <c r="A37" s="88">
        <f>DATE(2021,1,1)</f>
        <v>44197</v>
      </c>
      <c r="B37" s="89">
        <f>'MONTHLY STATS'!$K$15*0.21</f>
        <v>2688803.0274</v>
      </c>
      <c r="C37" s="89">
        <f>'MONTHLY STATS'!$K$28*0.21</f>
        <v>1489067.748</v>
      </c>
      <c r="D37" s="89">
        <f>'MONTHLY STATS'!$K$41*0.21</f>
        <v>857897.2479</v>
      </c>
      <c r="E37" s="89">
        <f>'MONTHLY STATS'!$K$54*0.21</f>
        <v>3050253.3641999997</v>
      </c>
      <c r="F37" s="89">
        <f>'MONTHLY STATS'!$K$67*0.21</f>
        <v>3163924.6968</v>
      </c>
      <c r="G37" s="89">
        <f>'MONTHLY STATS'!$K$80*0.21</f>
        <v>1432808.5653</v>
      </c>
      <c r="H37" s="89">
        <f>'MONTHLY STATS'!$K$93*0.21</f>
        <v>1452439.8084</v>
      </c>
      <c r="I37" s="89">
        <f>'MONTHLY STATS'!$K$106*0.21</f>
        <v>3345981.1329</v>
      </c>
      <c r="J37" s="89">
        <f>'MONTHLY STATS'!$K$119*0.21</f>
        <v>3305764.3584</v>
      </c>
      <c r="K37" s="89">
        <f>'MONTHLY STATS'!$K$132*0.21</f>
        <v>3294583.5656999997</v>
      </c>
      <c r="L37" s="89">
        <f>'MONTHLY STATS'!$K$145*0.21</f>
        <v>737287.8722999999</v>
      </c>
      <c r="M37" s="89">
        <f>'MONTHLY STATS'!$K$158*0.21</f>
        <v>5454696.6033</v>
      </c>
      <c r="N37" s="89">
        <f>'MONTHLY STATS'!$K$171*0.21</f>
        <v>660570.9075</v>
      </c>
      <c r="O37" s="90">
        <f>SUM(B37:N37)</f>
        <v>30934078.898099996</v>
      </c>
      <c r="P37" s="83"/>
    </row>
    <row r="38" spans="1:16" ht="15.75">
      <c r="A38" s="88">
        <f>DATE(2021,2,1)</f>
        <v>44228</v>
      </c>
      <c r="B38" s="89">
        <f>'MONTHLY STATS'!$K$16*0.21</f>
        <v>2383669.8732</v>
      </c>
      <c r="C38" s="89">
        <f>'MONTHLY STATS'!$K$29*0.21</f>
        <v>1256150.1434999998</v>
      </c>
      <c r="D38" s="89">
        <f>'MONTHLY STATS'!$K$42*0.21</f>
        <v>636659.7342</v>
      </c>
      <c r="E38" s="89">
        <f>'MONTHLY STATS'!$K$55*0.21</f>
        <v>2507727.516</v>
      </c>
      <c r="F38" s="89">
        <f>'MONTHLY STATS'!$K$68*0.21</f>
        <v>2775343.4457</v>
      </c>
      <c r="G38" s="89">
        <f>'MONTHLY STATS'!$K$81*0.21</f>
        <v>1038314.2056</v>
      </c>
      <c r="H38" s="89">
        <f>'MONTHLY STATS'!$K$94*0.21</f>
        <v>1338059.5809</v>
      </c>
      <c r="I38" s="89">
        <f>'MONTHLY STATS'!$K$107*0.21</f>
        <v>2445546.8772</v>
      </c>
      <c r="J38" s="89">
        <f>'MONTHLY STATS'!$K$120*0.21</f>
        <v>2801556.0216</v>
      </c>
      <c r="K38" s="89">
        <f>'MONTHLY STATS'!$K$133*0.21</f>
        <v>2802526.5807</v>
      </c>
      <c r="L38" s="89">
        <f>'MONTHLY STATS'!$K$146*0.21</f>
        <v>551736.927</v>
      </c>
      <c r="M38" s="89">
        <f>'MONTHLY STATS'!$K$159*0.21</f>
        <v>4627481.2731</v>
      </c>
      <c r="N38" s="89">
        <f>'MONTHLY STATS'!$K$172*0.21</f>
        <v>590921.0307</v>
      </c>
      <c r="O38" s="90">
        <f>SUM(B38:N38)</f>
        <v>25755693.2094</v>
      </c>
      <c r="P38" s="83"/>
    </row>
    <row r="39" spans="1:16" ht="15.75">
      <c r="A39" s="88">
        <f>DATE(2021,3,1)</f>
        <v>44256</v>
      </c>
      <c r="B39" s="89">
        <f>'MONTHLY STATS'!$K$17*0.21</f>
        <v>3432898.3773</v>
      </c>
      <c r="C39" s="89">
        <f>'MONTHLY STATS'!$K$30*0.21</f>
        <v>1860861.2316</v>
      </c>
      <c r="D39" s="89">
        <f>'MONTHLY STATS'!$K$43*0.21</f>
        <v>1122740.4405</v>
      </c>
      <c r="E39" s="89">
        <f>'MONTHLY STATS'!$K$56*0.21</f>
        <v>3690428.8553999993</v>
      </c>
      <c r="F39" s="89">
        <f>'MONTHLY STATS'!$K$69*0.21</f>
        <v>3859253.0256</v>
      </c>
      <c r="G39" s="89">
        <f>'MONTHLY STATS'!$K$82*0.21</f>
        <v>1635249.7602</v>
      </c>
      <c r="H39" s="89">
        <f>'MONTHLY STATS'!$K$95*0.21</f>
        <v>2088366.4934999999</v>
      </c>
      <c r="I39" s="89">
        <f>'MONTHLY STATS'!$K$108*0.21</f>
        <v>3585963.7211999996</v>
      </c>
      <c r="J39" s="89">
        <f>'MONTHLY STATS'!$K$121*0.21</f>
        <v>4133945.3967</v>
      </c>
      <c r="K39" s="89">
        <f>'MONTHLY STATS'!$K$134*0.21</f>
        <v>3978710.883</v>
      </c>
      <c r="L39" s="89">
        <f>'MONTHLY STATS'!$K$147*0.21</f>
        <v>898940.8616999999</v>
      </c>
      <c r="M39" s="89">
        <f>'MONTHLY STATS'!$K$160*0.21</f>
        <v>5875221.1749</v>
      </c>
      <c r="N39" s="89">
        <f>'MONTHLY STATS'!$K$173*0.21</f>
        <v>939310.0374</v>
      </c>
      <c r="O39" s="90">
        <f>SUM(B39:N39)</f>
        <v>37101890.258999996</v>
      </c>
      <c r="P39" s="83"/>
    </row>
    <row r="40" spans="1:16" ht="15.75">
      <c r="A40" s="88">
        <f>DATE(2021,4,1)</f>
        <v>44287</v>
      </c>
      <c r="B40" s="89">
        <f>'MONTHLY STATS'!$K$18*0.21</f>
        <v>3171730.3883999996</v>
      </c>
      <c r="C40" s="89">
        <f>'MONTHLY STATS'!$K$31*0.21</f>
        <v>1772639.9501999998</v>
      </c>
      <c r="D40" s="89">
        <f>'MONTHLY STATS'!$K$44*0.21</f>
        <v>1130767.9193999998</v>
      </c>
      <c r="E40" s="89">
        <f>'MONTHLY STATS'!$K$57*0.21</f>
        <v>3721511.3228999996</v>
      </c>
      <c r="F40" s="89">
        <f>'MONTHLY STATS'!$K$70*0.21</f>
        <v>3616546.6785000004</v>
      </c>
      <c r="G40" s="89">
        <f>'MONTHLY STATS'!$K$83*0.21</f>
        <v>1527061.4268</v>
      </c>
      <c r="H40" s="89">
        <f>'MONTHLY STATS'!$K$96*0.21</f>
        <v>2088130.5605999997</v>
      </c>
      <c r="I40" s="89">
        <f>'MONTHLY STATS'!$K$109*0.21</f>
        <v>3475957.9071</v>
      </c>
      <c r="J40" s="89">
        <f>'MONTHLY STATS'!$K$122*0.21</f>
        <v>4081622.3342999993</v>
      </c>
      <c r="K40" s="89">
        <f>'MONTHLY STATS'!$K$135*0.21</f>
        <v>4019064.777</v>
      </c>
      <c r="L40" s="89">
        <f>'MONTHLY STATS'!$K$148*0.21</f>
        <v>821789.1024</v>
      </c>
      <c r="M40" s="89">
        <f>'MONTHLY STATS'!$K$161*0.21</f>
        <v>5655982.970399999</v>
      </c>
      <c r="N40" s="89">
        <f>'MONTHLY STATS'!$K$174*0.21</f>
        <v>948530.6858999999</v>
      </c>
      <c r="O40" s="90">
        <f>SUM(B40:N40)</f>
        <v>36031336.0239</v>
      </c>
      <c r="P40" s="83"/>
    </row>
    <row r="41" spans="1:16" ht="15.7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>
      <c r="A44" s="91" t="s">
        <v>27</v>
      </c>
      <c r="B44" s="90">
        <f aca="true" t="shared" si="3" ref="B44:O44">SUM(B31:B42)</f>
        <v>27506820.730199996</v>
      </c>
      <c r="C44" s="90">
        <f t="shared" si="3"/>
        <v>13591580.708999999</v>
      </c>
      <c r="D44" s="90">
        <f t="shared" si="3"/>
        <v>7874996.1276</v>
      </c>
      <c r="E44" s="90">
        <f t="shared" si="3"/>
        <v>31609104.407999996</v>
      </c>
      <c r="F44" s="90">
        <f t="shared" si="3"/>
        <v>31631848.264800005</v>
      </c>
      <c r="G44" s="90">
        <f t="shared" si="3"/>
        <v>12054913.497899998</v>
      </c>
      <c r="H44" s="90">
        <f t="shared" si="3"/>
        <v>13810546.0542</v>
      </c>
      <c r="I44" s="90">
        <f>SUM(I31:I42)</f>
        <v>27708106.246799998</v>
      </c>
      <c r="J44" s="90">
        <f t="shared" si="3"/>
        <v>31735268.489399996</v>
      </c>
      <c r="K44" s="90">
        <f>SUM(K31:K42)</f>
        <v>33471740.645699993</v>
      </c>
      <c r="L44" s="90">
        <f t="shared" si="3"/>
        <v>6727853.013</v>
      </c>
      <c r="M44" s="90">
        <f t="shared" si="3"/>
        <v>48651830.327099994</v>
      </c>
      <c r="N44" s="90">
        <f t="shared" si="3"/>
        <v>7032955.7655</v>
      </c>
      <c r="O44" s="90">
        <f t="shared" si="3"/>
        <v>293407564.27919996</v>
      </c>
      <c r="P44" s="83"/>
    </row>
    <row r="45" spans="1:16" ht="16.5" thickBot="1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5" ht="15.75" thickTop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5" ht="15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5" ht="15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</row>
    <row r="49" spans="1:9" ht="15.75">
      <c r="A49" s="115" t="s">
        <v>29</v>
      </c>
      <c r="B49" s="98"/>
      <c r="C49" s="98"/>
      <c r="D49" s="98"/>
      <c r="E49" s="98"/>
      <c r="F49" s="98"/>
      <c r="G49" s="98"/>
      <c r="H49" s="98"/>
      <c r="I49" s="98"/>
    </row>
    <row r="50" spans="1:9" ht="15.75">
      <c r="A50" s="115"/>
      <c r="B50" s="98"/>
      <c r="C50" s="98"/>
      <c r="D50" s="98"/>
      <c r="E50" s="98"/>
      <c r="F50" s="98"/>
      <c r="G50" s="98"/>
      <c r="H50" s="98"/>
      <c r="I50" s="98"/>
    </row>
    <row r="51" ht="15.75">
      <c r="A51" s="72"/>
    </row>
  </sheetData>
  <sheetProtection/>
  <printOptions horizontalCentered="1"/>
  <pageMargins left="0.3" right="0.05" top="0.319444444444444" bottom="0.25" header="0.5" footer="0.5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4"/>
  <sheetViews>
    <sheetView showOutlineSymbols="0" zoomScalePageLayoutView="0" workbookViewId="0" topLeftCell="A152">
      <selection activeCell="G124" sqref="G124"/>
    </sheetView>
  </sheetViews>
  <sheetFormatPr defaultColWidth="9.6640625" defaultRowHeight="15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 customWidth="1"/>
  </cols>
  <sheetData>
    <row r="1" spans="1:7" ht="18">
      <c r="A1" s="116" t="s">
        <v>0</v>
      </c>
      <c r="B1" s="117"/>
      <c r="C1" s="200"/>
      <c r="D1" s="200"/>
      <c r="E1" s="200"/>
      <c r="F1" s="117"/>
      <c r="G1" s="210"/>
    </row>
    <row r="2" spans="1:7" ht="18" customHeight="1">
      <c r="A2" s="119" t="s">
        <v>30</v>
      </c>
      <c r="B2" s="117"/>
      <c r="C2" s="200"/>
      <c r="D2" s="200"/>
      <c r="E2" s="200"/>
      <c r="F2" s="117"/>
      <c r="G2" s="210"/>
    </row>
    <row r="3" spans="1:7" ht="18" customHeight="1">
      <c r="A3" s="283" t="s">
        <v>74</v>
      </c>
      <c r="B3" s="117"/>
      <c r="C3" s="200"/>
      <c r="D3" s="200"/>
      <c r="E3" s="200"/>
      <c r="F3" s="117"/>
      <c r="G3" s="210"/>
    </row>
    <row r="4" spans="1:7" ht="15">
      <c r="A4" s="284" t="s">
        <v>75</v>
      </c>
      <c r="B4" s="117"/>
      <c r="C4" s="200"/>
      <c r="D4" s="200"/>
      <c r="E4" s="200"/>
      <c r="F4" s="117"/>
      <c r="G4" s="210"/>
    </row>
    <row r="5" spans="1:7" ht="15.75">
      <c r="A5" s="117"/>
      <c r="B5" s="117"/>
      <c r="C5" s="200"/>
      <c r="D5" s="200"/>
      <c r="E5" s="200"/>
      <c r="F5" s="117"/>
      <c r="G5" s="211" t="s">
        <v>1</v>
      </c>
    </row>
    <row r="6" spans="1:8" ht="16.5" thickTop="1">
      <c r="A6" s="120"/>
      <c r="B6" s="121" t="s">
        <v>2</v>
      </c>
      <c r="C6" s="201" t="s">
        <v>31</v>
      </c>
      <c r="D6" s="201" t="s">
        <v>31</v>
      </c>
      <c r="E6" s="201" t="s">
        <v>3</v>
      </c>
      <c r="F6" s="122"/>
      <c r="G6" s="212" t="s">
        <v>32</v>
      </c>
      <c r="H6" s="123"/>
    </row>
    <row r="7" spans="1:8" ht="16.5" thickBot="1">
      <c r="A7" s="124" t="s">
        <v>5</v>
      </c>
      <c r="B7" s="125" t="s">
        <v>6</v>
      </c>
      <c r="C7" s="262" t="s">
        <v>33</v>
      </c>
      <c r="D7" s="202" t="s">
        <v>34</v>
      </c>
      <c r="E7" s="202" t="s">
        <v>34</v>
      </c>
      <c r="F7" s="126" t="s">
        <v>8</v>
      </c>
      <c r="G7" s="213" t="s">
        <v>35</v>
      </c>
      <c r="H7" s="123"/>
    </row>
    <row r="8" spans="1:8" ht="15.75" customHeight="1" thickTop="1">
      <c r="A8" s="127"/>
      <c r="B8" s="128"/>
      <c r="C8" s="203"/>
      <c r="D8" s="203"/>
      <c r="E8" s="203"/>
      <c r="F8" s="129"/>
      <c r="G8" s="214"/>
      <c r="H8" s="123"/>
    </row>
    <row r="9" spans="1:8" ht="15.75">
      <c r="A9" s="130" t="s">
        <v>36</v>
      </c>
      <c r="B9" s="131">
        <f>DATE(2020,7,1)</f>
        <v>44013</v>
      </c>
      <c r="C9" s="204">
        <v>9990468.41</v>
      </c>
      <c r="D9" s="204">
        <v>1959351.91</v>
      </c>
      <c r="E9" s="204">
        <v>2192281.5</v>
      </c>
      <c r="F9" s="132">
        <f aca="true" t="shared" si="0" ref="F9:F17">(+D9-E9)/E9</f>
        <v>-0.10624985431843496</v>
      </c>
      <c r="G9" s="215">
        <f aca="true" t="shared" si="1" ref="G9:G18">D9/C9</f>
        <v>0.19612212657003936</v>
      </c>
      <c r="H9" s="123"/>
    </row>
    <row r="10" spans="1:8" ht="15.75">
      <c r="A10" s="130"/>
      <c r="B10" s="131">
        <f>DATE(2020,8,1)</f>
        <v>44044</v>
      </c>
      <c r="C10" s="204">
        <v>8751467</v>
      </c>
      <c r="D10" s="204">
        <v>1563543</v>
      </c>
      <c r="E10" s="204">
        <v>1845303</v>
      </c>
      <c r="F10" s="132">
        <f t="shared" si="0"/>
        <v>-0.15269037117481518</v>
      </c>
      <c r="G10" s="215">
        <f t="shared" si="1"/>
        <v>0.17866067483314513</v>
      </c>
      <c r="H10" s="123"/>
    </row>
    <row r="11" spans="1:8" ht="15.75">
      <c r="A11" s="130"/>
      <c r="B11" s="131">
        <f>DATE(2020,9,1)</f>
        <v>44075</v>
      </c>
      <c r="C11" s="204">
        <v>8691740</v>
      </c>
      <c r="D11" s="204">
        <v>1378249</v>
      </c>
      <c r="E11" s="204">
        <v>1703371</v>
      </c>
      <c r="F11" s="132">
        <f t="shared" si="0"/>
        <v>-0.19086975180392293</v>
      </c>
      <c r="G11" s="215">
        <f t="shared" si="1"/>
        <v>0.15856997563203684</v>
      </c>
      <c r="H11" s="123"/>
    </row>
    <row r="12" spans="1:8" ht="15.75">
      <c r="A12" s="130"/>
      <c r="B12" s="131">
        <f>DATE(2020,10,1)</f>
        <v>44105</v>
      </c>
      <c r="C12" s="204">
        <v>8802128</v>
      </c>
      <c r="D12" s="204">
        <v>1495832.5</v>
      </c>
      <c r="E12" s="204">
        <v>1844628</v>
      </c>
      <c r="F12" s="132">
        <f t="shared" si="0"/>
        <v>-0.18908717638461522</v>
      </c>
      <c r="G12" s="215">
        <f t="shared" si="1"/>
        <v>0.16993987135838062</v>
      </c>
      <c r="H12" s="123"/>
    </row>
    <row r="13" spans="1:8" ht="15.75">
      <c r="A13" s="130"/>
      <c r="B13" s="131">
        <f>DATE(2020,11,1)</f>
        <v>44136</v>
      </c>
      <c r="C13" s="204">
        <v>8465916</v>
      </c>
      <c r="D13" s="204">
        <v>1446618</v>
      </c>
      <c r="E13" s="204">
        <v>1695412.5</v>
      </c>
      <c r="F13" s="132">
        <f t="shared" si="0"/>
        <v>-0.1467457034792418</v>
      </c>
      <c r="G13" s="215">
        <f t="shared" si="1"/>
        <v>0.17087554376868375</v>
      </c>
      <c r="H13" s="123"/>
    </row>
    <row r="14" spans="1:8" ht="15.75">
      <c r="A14" s="130"/>
      <c r="B14" s="131">
        <f>DATE(2020,12,1)</f>
        <v>44166</v>
      </c>
      <c r="C14" s="204">
        <v>9313724</v>
      </c>
      <c r="D14" s="204">
        <v>1661463</v>
      </c>
      <c r="E14" s="204">
        <v>1854155.5</v>
      </c>
      <c r="F14" s="132">
        <f t="shared" si="0"/>
        <v>-0.10392467082723104</v>
      </c>
      <c r="G14" s="215">
        <f t="shared" si="1"/>
        <v>0.1783886874895584</v>
      </c>
      <c r="H14" s="123"/>
    </row>
    <row r="15" spans="1:8" ht="15.75">
      <c r="A15" s="130"/>
      <c r="B15" s="131">
        <f>DATE(2021,1,1)</f>
        <v>44197</v>
      </c>
      <c r="C15" s="204">
        <v>9656853</v>
      </c>
      <c r="D15" s="204">
        <v>1430188</v>
      </c>
      <c r="E15" s="204">
        <v>1814739</v>
      </c>
      <c r="F15" s="132">
        <f t="shared" si="0"/>
        <v>-0.21190430138989683</v>
      </c>
      <c r="G15" s="215">
        <f t="shared" si="1"/>
        <v>0.1481008357484576</v>
      </c>
      <c r="H15" s="123"/>
    </row>
    <row r="16" spans="1:8" ht="15.75">
      <c r="A16" s="130"/>
      <c r="B16" s="131">
        <f>DATE(2021,2,1)</f>
        <v>44228</v>
      </c>
      <c r="C16" s="204">
        <v>8747669</v>
      </c>
      <c r="D16" s="204">
        <v>1356444</v>
      </c>
      <c r="E16" s="204">
        <v>1907085.75</v>
      </c>
      <c r="F16" s="132">
        <f t="shared" si="0"/>
        <v>-0.28873465705461854</v>
      </c>
      <c r="G16" s="215">
        <f t="shared" si="1"/>
        <v>0.15506348033973394</v>
      </c>
      <c r="H16" s="123"/>
    </row>
    <row r="17" spans="1:8" ht="15.75">
      <c r="A17" s="130"/>
      <c r="B17" s="131">
        <f>DATE(2021,3,1)</f>
        <v>44256</v>
      </c>
      <c r="C17" s="204">
        <v>11840275</v>
      </c>
      <c r="D17" s="204">
        <v>2088206.5</v>
      </c>
      <c r="E17" s="204">
        <v>1133526.5</v>
      </c>
      <c r="F17" s="132">
        <f t="shared" si="0"/>
        <v>0.8422211567175536</v>
      </c>
      <c r="G17" s="215">
        <f t="shared" si="1"/>
        <v>0.17636469592133627</v>
      </c>
      <c r="H17" s="123"/>
    </row>
    <row r="18" spans="1:8" ht="15.75">
      <c r="A18" s="130"/>
      <c r="B18" s="131">
        <f>DATE(2021,4,1)</f>
        <v>44287</v>
      </c>
      <c r="C18" s="204">
        <v>10496021</v>
      </c>
      <c r="D18" s="204">
        <v>1972772</v>
      </c>
      <c r="E18" s="204">
        <v>0</v>
      </c>
      <c r="F18" s="132">
        <v>1</v>
      </c>
      <c r="G18" s="215">
        <f t="shared" si="1"/>
        <v>0.1879542733384394</v>
      </c>
      <c r="H18" s="123"/>
    </row>
    <row r="19" spans="1:8" ht="15.75" thickBot="1">
      <c r="A19" s="133"/>
      <c r="B19" s="134"/>
      <c r="C19" s="204"/>
      <c r="D19" s="204"/>
      <c r="E19" s="204"/>
      <c r="F19" s="132"/>
      <c r="G19" s="215"/>
      <c r="H19" s="123"/>
    </row>
    <row r="20" spans="1:8" ht="17.25" thickBot="1" thickTop="1">
      <c r="A20" s="135" t="s">
        <v>14</v>
      </c>
      <c r="B20" s="136"/>
      <c r="C20" s="201">
        <f>SUM(C9:C19)</f>
        <v>94756261.41</v>
      </c>
      <c r="D20" s="201">
        <f>SUM(D9:D19)</f>
        <v>16352667.91</v>
      </c>
      <c r="E20" s="201">
        <f>SUM(E9:E19)</f>
        <v>15990502.75</v>
      </c>
      <c r="F20" s="137">
        <f>(+D20-E20)/E20</f>
        <v>0.022648766312241192</v>
      </c>
      <c r="G20" s="212">
        <f>D20/C20</f>
        <v>0.17257611968504954</v>
      </c>
      <c r="H20" s="123"/>
    </row>
    <row r="21" spans="1:8" ht="15.75" customHeight="1" thickTop="1">
      <c r="A21" s="138"/>
      <c r="B21" s="139"/>
      <c r="C21" s="205"/>
      <c r="D21" s="205"/>
      <c r="E21" s="205"/>
      <c r="F21" s="140"/>
      <c r="G21" s="216"/>
      <c r="H21" s="123"/>
    </row>
    <row r="22" spans="1:8" ht="15.75">
      <c r="A22" s="19" t="s">
        <v>15</v>
      </c>
      <c r="B22" s="131">
        <f>DATE(2020,7,1)</f>
        <v>44013</v>
      </c>
      <c r="C22" s="204">
        <v>1658177</v>
      </c>
      <c r="D22" s="204">
        <v>547209</v>
      </c>
      <c r="E22" s="204">
        <v>728719</v>
      </c>
      <c r="F22" s="132">
        <f aca="true" t="shared" si="2" ref="F22:F30">(+D22-E22)/E22</f>
        <v>-0.24908092145257638</v>
      </c>
      <c r="G22" s="215">
        <f aca="true" t="shared" si="3" ref="G22:G31">D22/C22</f>
        <v>0.33000638653171527</v>
      </c>
      <c r="H22" s="123"/>
    </row>
    <row r="23" spans="1:8" ht="15.75">
      <c r="A23" s="19"/>
      <c r="B23" s="131">
        <f>DATE(2020,8,1)</f>
        <v>44044</v>
      </c>
      <c r="C23" s="204">
        <v>1982325</v>
      </c>
      <c r="D23" s="204">
        <v>526001.5</v>
      </c>
      <c r="E23" s="204">
        <v>718107.5</v>
      </c>
      <c r="F23" s="132">
        <f t="shared" si="2"/>
        <v>-0.2675170500238474</v>
      </c>
      <c r="G23" s="215">
        <f t="shared" si="3"/>
        <v>0.26534574300379604</v>
      </c>
      <c r="H23" s="123"/>
    </row>
    <row r="24" spans="1:8" ht="15.75">
      <c r="A24" s="19"/>
      <c r="B24" s="131">
        <f>DATE(2020,9,1)</f>
        <v>44075</v>
      </c>
      <c r="C24" s="204">
        <v>1922059</v>
      </c>
      <c r="D24" s="204">
        <v>401819.5</v>
      </c>
      <c r="E24" s="204">
        <v>573243</v>
      </c>
      <c r="F24" s="132">
        <f t="shared" si="2"/>
        <v>-0.29904159318125123</v>
      </c>
      <c r="G24" s="215">
        <f t="shared" si="3"/>
        <v>0.20905679794428786</v>
      </c>
      <c r="H24" s="123"/>
    </row>
    <row r="25" spans="1:8" ht="15.75">
      <c r="A25" s="19"/>
      <c r="B25" s="131">
        <f>DATE(2020,10,1)</f>
        <v>44105</v>
      </c>
      <c r="C25" s="204">
        <v>2326336</v>
      </c>
      <c r="D25" s="204">
        <v>612154.5</v>
      </c>
      <c r="E25" s="204">
        <v>591260.5</v>
      </c>
      <c r="F25" s="132">
        <f t="shared" si="2"/>
        <v>0.03533806164964512</v>
      </c>
      <c r="G25" s="215">
        <f t="shared" si="3"/>
        <v>0.2631410509917742</v>
      </c>
      <c r="H25" s="123"/>
    </row>
    <row r="26" spans="1:8" ht="15.75">
      <c r="A26" s="19"/>
      <c r="B26" s="131">
        <f>DATE(2020,11,1)</f>
        <v>44136</v>
      </c>
      <c r="C26" s="204">
        <v>2058779</v>
      </c>
      <c r="D26" s="204">
        <v>534831.5</v>
      </c>
      <c r="E26" s="204">
        <v>527573</v>
      </c>
      <c r="F26" s="132">
        <f t="shared" si="2"/>
        <v>0.013758285583227345</v>
      </c>
      <c r="G26" s="215">
        <f t="shared" si="3"/>
        <v>0.2597809186901557</v>
      </c>
      <c r="H26" s="123"/>
    </row>
    <row r="27" spans="1:8" ht="15.75">
      <c r="A27" s="19"/>
      <c r="B27" s="131">
        <f>DATE(2020,12,1)</f>
        <v>44166</v>
      </c>
      <c r="C27" s="204">
        <v>1993699</v>
      </c>
      <c r="D27" s="204">
        <v>508771</v>
      </c>
      <c r="E27" s="204">
        <v>731643</v>
      </c>
      <c r="F27" s="132">
        <f t="shared" si="2"/>
        <v>-0.3046185093003008</v>
      </c>
      <c r="G27" s="215">
        <f t="shared" si="3"/>
        <v>0.25518947443922074</v>
      </c>
      <c r="H27" s="123"/>
    </row>
    <row r="28" spans="1:8" ht="15.75">
      <c r="A28" s="19"/>
      <c r="B28" s="131">
        <f>DATE(2021,1,1)</f>
        <v>44197</v>
      </c>
      <c r="C28" s="204">
        <v>2392071</v>
      </c>
      <c r="D28" s="204">
        <v>716489.5</v>
      </c>
      <c r="E28" s="204">
        <v>617104</v>
      </c>
      <c r="F28" s="132">
        <f t="shared" si="2"/>
        <v>0.16105145972153803</v>
      </c>
      <c r="G28" s="215">
        <f t="shared" si="3"/>
        <v>0.29952685350894687</v>
      </c>
      <c r="H28" s="123"/>
    </row>
    <row r="29" spans="1:8" ht="15.75">
      <c r="A29" s="19"/>
      <c r="B29" s="131">
        <f>DATE(2021,2,1)</f>
        <v>44228</v>
      </c>
      <c r="C29" s="204">
        <v>1922909</v>
      </c>
      <c r="D29" s="204">
        <v>476264</v>
      </c>
      <c r="E29" s="204">
        <v>597734</v>
      </c>
      <c r="F29" s="132">
        <f t="shared" si="2"/>
        <v>-0.20321748470055243</v>
      </c>
      <c r="G29" s="215">
        <f t="shared" si="3"/>
        <v>0.24767890732218736</v>
      </c>
      <c r="H29" s="123"/>
    </row>
    <row r="30" spans="1:8" ht="15.75">
      <c r="A30" s="19"/>
      <c r="B30" s="131">
        <f>DATE(2021,3,1)</f>
        <v>44256</v>
      </c>
      <c r="C30" s="204">
        <v>2457578</v>
      </c>
      <c r="D30" s="204">
        <v>890723</v>
      </c>
      <c r="E30" s="204">
        <v>408496.5</v>
      </c>
      <c r="F30" s="132">
        <f t="shared" si="2"/>
        <v>1.180491142518969</v>
      </c>
      <c r="G30" s="215">
        <f t="shared" si="3"/>
        <v>0.3624393610294363</v>
      </c>
      <c r="H30" s="123"/>
    </row>
    <row r="31" spans="1:8" ht="15.75">
      <c r="A31" s="19"/>
      <c r="B31" s="131">
        <f>DATE(2021,4,1)</f>
        <v>44287</v>
      </c>
      <c r="C31" s="204">
        <v>2598201</v>
      </c>
      <c r="D31" s="204">
        <v>858639</v>
      </c>
      <c r="E31" s="204">
        <v>0</v>
      </c>
      <c r="F31" s="132">
        <v>1</v>
      </c>
      <c r="G31" s="215">
        <f t="shared" si="3"/>
        <v>0.3304744321166838</v>
      </c>
      <c r="H31" s="123"/>
    </row>
    <row r="32" spans="1:8" ht="15.75" thickBot="1">
      <c r="A32" s="133"/>
      <c r="B32" s="131"/>
      <c r="C32" s="204"/>
      <c r="D32" s="204"/>
      <c r="E32" s="204"/>
      <c r="F32" s="132"/>
      <c r="G32" s="215"/>
      <c r="H32" s="123"/>
    </row>
    <row r="33" spans="1:8" ht="17.25" thickBot="1" thickTop="1">
      <c r="A33" s="135" t="s">
        <v>14</v>
      </c>
      <c r="B33" s="136"/>
      <c r="C33" s="201">
        <f>SUM(C22:C32)</f>
        <v>21312134</v>
      </c>
      <c r="D33" s="201">
        <f>SUM(D22:D32)</f>
        <v>6072902.5</v>
      </c>
      <c r="E33" s="201">
        <f>SUM(E22:E32)</f>
        <v>5493880.5</v>
      </c>
      <c r="F33" s="137">
        <f>(+D33-E33)/E33</f>
        <v>0.10539399246124848</v>
      </c>
      <c r="G33" s="212">
        <f>D33/C33</f>
        <v>0.28495046530769746</v>
      </c>
      <c r="H33" s="123"/>
    </row>
    <row r="34" spans="1:8" ht="15.75" customHeight="1" thickTop="1">
      <c r="A34" s="255"/>
      <c r="B34" s="139"/>
      <c r="C34" s="205"/>
      <c r="D34" s="205"/>
      <c r="E34" s="205"/>
      <c r="F34" s="140"/>
      <c r="G34" s="219"/>
      <c r="H34" s="123"/>
    </row>
    <row r="35" spans="1:8" ht="15.75">
      <c r="A35" s="19" t="s">
        <v>65</v>
      </c>
      <c r="B35" s="131">
        <f>DATE(2020,7,1)</f>
        <v>44013</v>
      </c>
      <c r="C35" s="204">
        <v>1270413</v>
      </c>
      <c r="D35" s="204">
        <v>362069</v>
      </c>
      <c r="E35" s="204">
        <v>293379.5</v>
      </c>
      <c r="F35" s="132">
        <f aca="true" t="shared" si="4" ref="F35:F43">(+D35-E35)/E35</f>
        <v>0.23413190083151686</v>
      </c>
      <c r="G35" s="215">
        <f aca="true" t="shared" si="5" ref="G35:G44">D35/C35</f>
        <v>0.2850010193535488</v>
      </c>
      <c r="H35" s="123"/>
    </row>
    <row r="36" spans="1:8" ht="15.75">
      <c r="A36" s="19"/>
      <c r="B36" s="131">
        <f>DATE(2020,8,1)</f>
        <v>44044</v>
      </c>
      <c r="C36" s="204">
        <v>1273813</v>
      </c>
      <c r="D36" s="204">
        <v>264520</v>
      </c>
      <c r="E36" s="204">
        <v>306469</v>
      </c>
      <c r="F36" s="132">
        <f t="shared" si="4"/>
        <v>-0.13687844447562397</v>
      </c>
      <c r="G36" s="215">
        <f t="shared" si="5"/>
        <v>0.20765999404936203</v>
      </c>
      <c r="H36" s="123"/>
    </row>
    <row r="37" spans="1:8" ht="15.75">
      <c r="A37" s="19"/>
      <c r="B37" s="131">
        <f>DATE(2020,9,1)</f>
        <v>44075</v>
      </c>
      <c r="C37" s="204">
        <v>1439276</v>
      </c>
      <c r="D37" s="204">
        <v>282126.5</v>
      </c>
      <c r="E37" s="204">
        <v>301048.5</v>
      </c>
      <c r="F37" s="132">
        <f t="shared" si="4"/>
        <v>-0.06285365979235903</v>
      </c>
      <c r="G37" s="215">
        <f t="shared" si="5"/>
        <v>0.19601973492228036</v>
      </c>
      <c r="H37" s="123"/>
    </row>
    <row r="38" spans="1:8" ht="15.75">
      <c r="A38" s="19"/>
      <c r="B38" s="131">
        <f>DATE(2020,10,1)</f>
        <v>44105</v>
      </c>
      <c r="C38" s="204">
        <v>1274380</v>
      </c>
      <c r="D38" s="204">
        <v>409251</v>
      </c>
      <c r="E38" s="204">
        <v>332474</v>
      </c>
      <c r="F38" s="132">
        <f t="shared" si="4"/>
        <v>0.2309263280737742</v>
      </c>
      <c r="G38" s="215">
        <f t="shared" si="5"/>
        <v>0.3211373373718985</v>
      </c>
      <c r="H38" s="123"/>
    </row>
    <row r="39" spans="1:8" ht="15.75">
      <c r="A39" s="19"/>
      <c r="B39" s="131">
        <f>DATE(2020,11,1)</f>
        <v>44136</v>
      </c>
      <c r="C39" s="204">
        <v>1032984</v>
      </c>
      <c r="D39" s="204">
        <v>302858</v>
      </c>
      <c r="E39" s="204">
        <v>408121.5</v>
      </c>
      <c r="F39" s="132">
        <f t="shared" si="4"/>
        <v>-0.2579219668652595</v>
      </c>
      <c r="G39" s="215">
        <f t="shared" si="5"/>
        <v>0.29318750338824223</v>
      </c>
      <c r="H39" s="123"/>
    </row>
    <row r="40" spans="1:8" ht="15.75">
      <c r="A40" s="19"/>
      <c r="B40" s="131">
        <f>DATE(2020,12,1)</f>
        <v>44166</v>
      </c>
      <c r="C40" s="204">
        <v>1323876</v>
      </c>
      <c r="D40" s="204">
        <v>403813</v>
      </c>
      <c r="E40" s="204">
        <v>350849</v>
      </c>
      <c r="F40" s="132">
        <f t="shared" si="4"/>
        <v>0.15095952959820322</v>
      </c>
      <c r="G40" s="215">
        <f t="shared" si="5"/>
        <v>0.30502328012593327</v>
      </c>
      <c r="H40" s="123"/>
    </row>
    <row r="41" spans="1:8" ht="15.75">
      <c r="A41" s="19"/>
      <c r="B41" s="131">
        <f>DATE(2021,1,1)</f>
        <v>44197</v>
      </c>
      <c r="C41" s="204">
        <v>1355483</v>
      </c>
      <c r="D41" s="204">
        <v>346038</v>
      </c>
      <c r="E41" s="204">
        <v>350509</v>
      </c>
      <c r="F41" s="132">
        <f t="shared" si="4"/>
        <v>-0.012755735230764403</v>
      </c>
      <c r="G41" s="215">
        <f t="shared" si="5"/>
        <v>0.25528759859031797</v>
      </c>
      <c r="H41" s="123"/>
    </row>
    <row r="42" spans="1:8" ht="15.75">
      <c r="A42" s="19"/>
      <c r="B42" s="131">
        <f>DATE(2021,2,1)</f>
        <v>44228</v>
      </c>
      <c r="C42" s="204">
        <v>993672</v>
      </c>
      <c r="D42" s="204">
        <v>285945.5</v>
      </c>
      <c r="E42" s="204">
        <v>404769.5</v>
      </c>
      <c r="F42" s="132">
        <f t="shared" si="4"/>
        <v>-0.293559667909761</v>
      </c>
      <c r="G42" s="215">
        <f t="shared" si="5"/>
        <v>0.2877664863254676</v>
      </c>
      <c r="H42" s="123"/>
    </row>
    <row r="43" spans="1:8" ht="15.75">
      <c r="A43" s="19"/>
      <c r="B43" s="131">
        <f>DATE(2021,3,1)</f>
        <v>44256</v>
      </c>
      <c r="C43" s="204">
        <v>1535221</v>
      </c>
      <c r="D43" s="204">
        <v>429833</v>
      </c>
      <c r="E43" s="204">
        <v>280036</v>
      </c>
      <c r="F43" s="132">
        <f t="shared" si="4"/>
        <v>0.5349205102201146</v>
      </c>
      <c r="G43" s="215">
        <f t="shared" si="5"/>
        <v>0.27998118837613606</v>
      </c>
      <c r="H43" s="123"/>
    </row>
    <row r="44" spans="1:8" ht="15.75">
      <c r="A44" s="19"/>
      <c r="B44" s="131">
        <f>DATE(2021,4,1)</f>
        <v>44287</v>
      </c>
      <c r="C44" s="204">
        <v>1497467</v>
      </c>
      <c r="D44" s="204">
        <v>327891.5</v>
      </c>
      <c r="E44" s="204">
        <v>0</v>
      </c>
      <c r="F44" s="132">
        <v>1</v>
      </c>
      <c r="G44" s="215">
        <f t="shared" si="5"/>
        <v>0.21896409069448608</v>
      </c>
      <c r="H44" s="123"/>
    </row>
    <row r="45" spans="1:8" ht="15.75" thickBot="1">
      <c r="A45" s="133"/>
      <c r="B45" s="131"/>
      <c r="C45" s="204"/>
      <c r="D45" s="204"/>
      <c r="E45" s="204"/>
      <c r="F45" s="132"/>
      <c r="G45" s="215"/>
      <c r="H45" s="123"/>
    </row>
    <row r="46" spans="1:8" ht="17.25" thickBot="1" thickTop="1">
      <c r="A46" s="141" t="s">
        <v>14</v>
      </c>
      <c r="B46" s="142"/>
      <c r="C46" s="206">
        <f>SUM(C35:C45)</f>
        <v>12996585</v>
      </c>
      <c r="D46" s="206">
        <f>SUM(D35:D45)</f>
        <v>3414345.5</v>
      </c>
      <c r="E46" s="206">
        <f>SUM(E35:E45)</f>
        <v>3027656</v>
      </c>
      <c r="F46" s="143">
        <f>(+D46-E46)/E46</f>
        <v>0.12771910018839658</v>
      </c>
      <c r="G46" s="217">
        <f>D46/C46</f>
        <v>0.26271097369039637</v>
      </c>
      <c r="H46" s="123"/>
    </row>
    <row r="47" spans="1:8" ht="15.75" thickTop="1">
      <c r="A47" s="133"/>
      <c r="B47" s="134"/>
      <c r="C47" s="204"/>
      <c r="D47" s="204"/>
      <c r="E47" s="204"/>
      <c r="F47" s="132"/>
      <c r="G47" s="218"/>
      <c r="H47" s="123"/>
    </row>
    <row r="48" spans="1:8" ht="15.75">
      <c r="A48" s="177" t="s">
        <v>59</v>
      </c>
      <c r="B48" s="131">
        <f>DATE(2020,7,1)</f>
        <v>44013</v>
      </c>
      <c r="C48" s="204">
        <v>10382905</v>
      </c>
      <c r="D48" s="204">
        <v>1708169.06</v>
      </c>
      <c r="E48" s="204">
        <v>3167340.9</v>
      </c>
      <c r="F48" s="132">
        <f aca="true" t="shared" si="6" ref="F48:F56">(+D48-E48)/E48</f>
        <v>-0.4606930185506713</v>
      </c>
      <c r="G48" s="215">
        <f aca="true" t="shared" si="7" ref="G48:G57">D48/C48</f>
        <v>0.16451745055935696</v>
      </c>
      <c r="H48" s="123"/>
    </row>
    <row r="49" spans="1:8" ht="15.75">
      <c r="A49" s="177"/>
      <c r="B49" s="131">
        <f>DATE(2020,8,1)</f>
        <v>44044</v>
      </c>
      <c r="C49" s="204">
        <v>11468634</v>
      </c>
      <c r="D49" s="204">
        <v>2028826.5</v>
      </c>
      <c r="E49" s="204">
        <v>3870445.12</v>
      </c>
      <c r="F49" s="132">
        <f t="shared" si="6"/>
        <v>-0.47581571703050013</v>
      </c>
      <c r="G49" s="215">
        <f t="shared" si="7"/>
        <v>0.1769021925366177</v>
      </c>
      <c r="H49" s="123"/>
    </row>
    <row r="50" spans="1:8" ht="15.75">
      <c r="A50" s="177"/>
      <c r="B50" s="131">
        <f>DATE(2020,9,1)</f>
        <v>44075</v>
      </c>
      <c r="C50" s="204">
        <v>10567803</v>
      </c>
      <c r="D50" s="204">
        <v>2149169</v>
      </c>
      <c r="E50" s="204">
        <v>2775665.96</v>
      </c>
      <c r="F50" s="132">
        <f t="shared" si="6"/>
        <v>-0.22571050300303425</v>
      </c>
      <c r="G50" s="215">
        <f t="shared" si="7"/>
        <v>0.20336951777015524</v>
      </c>
      <c r="H50" s="123"/>
    </row>
    <row r="51" spans="1:8" ht="15.75">
      <c r="A51" s="177"/>
      <c r="B51" s="131">
        <f>DATE(2020,10,1)</f>
        <v>44105</v>
      </c>
      <c r="C51" s="204">
        <v>11375206</v>
      </c>
      <c r="D51" s="204">
        <v>2042559.98</v>
      </c>
      <c r="E51" s="204">
        <v>3235163.5</v>
      </c>
      <c r="F51" s="132">
        <f t="shared" si="6"/>
        <v>-0.3686377890947397</v>
      </c>
      <c r="G51" s="215">
        <f t="shared" si="7"/>
        <v>0.17956246067104192</v>
      </c>
      <c r="H51" s="123"/>
    </row>
    <row r="52" spans="1:8" ht="15.75">
      <c r="A52" s="177"/>
      <c r="B52" s="131">
        <f>DATE(2020,11,1)</f>
        <v>44136</v>
      </c>
      <c r="C52" s="204">
        <v>10584433</v>
      </c>
      <c r="D52" s="204">
        <v>2060677.45</v>
      </c>
      <c r="E52" s="204">
        <v>3242482.5</v>
      </c>
      <c r="F52" s="132">
        <f t="shared" si="6"/>
        <v>-0.36447538267361507</v>
      </c>
      <c r="G52" s="215">
        <f t="shared" si="7"/>
        <v>0.19468945100790944</v>
      </c>
      <c r="H52" s="123"/>
    </row>
    <row r="53" spans="1:8" ht="15.75">
      <c r="A53" s="177"/>
      <c r="B53" s="131">
        <f>DATE(2020,12,1)</f>
        <v>44166</v>
      </c>
      <c r="C53" s="204">
        <v>10535486</v>
      </c>
      <c r="D53" s="204">
        <v>2612129.91</v>
      </c>
      <c r="E53" s="204">
        <v>2919239.74</v>
      </c>
      <c r="F53" s="132">
        <f t="shared" si="6"/>
        <v>-0.10520199002223779</v>
      </c>
      <c r="G53" s="215">
        <f t="shared" si="7"/>
        <v>0.2479363467428081</v>
      </c>
      <c r="H53" s="123"/>
    </row>
    <row r="54" spans="1:8" ht="15.75">
      <c r="A54" s="177"/>
      <c r="B54" s="131">
        <f>DATE(2021,1,1)</f>
        <v>44197</v>
      </c>
      <c r="C54" s="204">
        <v>11133992</v>
      </c>
      <c r="D54" s="204">
        <v>2320369.71</v>
      </c>
      <c r="E54" s="204">
        <v>2925995.5</v>
      </c>
      <c r="F54" s="132">
        <f t="shared" si="6"/>
        <v>-0.20698110779732917</v>
      </c>
      <c r="G54" s="215">
        <f t="shared" si="7"/>
        <v>0.20840411148130877</v>
      </c>
      <c r="H54" s="123"/>
    </row>
    <row r="55" spans="1:8" ht="15.75">
      <c r="A55" s="177"/>
      <c r="B55" s="131">
        <f>DATE(2021,2,1)</f>
        <v>44228</v>
      </c>
      <c r="C55" s="204">
        <v>8703157</v>
      </c>
      <c r="D55" s="204">
        <v>1688741</v>
      </c>
      <c r="E55" s="204">
        <v>3337882.2</v>
      </c>
      <c r="F55" s="132">
        <f t="shared" si="6"/>
        <v>-0.4940681249925477</v>
      </c>
      <c r="G55" s="215">
        <f t="shared" si="7"/>
        <v>0.1940377497498896</v>
      </c>
      <c r="H55" s="123"/>
    </row>
    <row r="56" spans="1:8" ht="15.75">
      <c r="A56" s="177"/>
      <c r="B56" s="131">
        <f>DATE(2021,3,1)</f>
        <v>44256</v>
      </c>
      <c r="C56" s="204">
        <v>11418118</v>
      </c>
      <c r="D56" s="204">
        <v>2903594.09</v>
      </c>
      <c r="E56" s="204">
        <v>1497956.95</v>
      </c>
      <c r="F56" s="132">
        <f t="shared" si="6"/>
        <v>0.9383695172281152</v>
      </c>
      <c r="G56" s="215">
        <f t="shared" si="7"/>
        <v>0.25429708205853185</v>
      </c>
      <c r="H56" s="123"/>
    </row>
    <row r="57" spans="1:8" ht="15.75">
      <c r="A57" s="177"/>
      <c r="B57" s="131">
        <f>DATE(2021,4,1)</f>
        <v>44287</v>
      </c>
      <c r="C57" s="204">
        <v>11840263</v>
      </c>
      <c r="D57" s="204">
        <v>2541995.48</v>
      </c>
      <c r="E57" s="204">
        <v>0</v>
      </c>
      <c r="F57" s="132">
        <v>1</v>
      </c>
      <c r="G57" s="215">
        <f t="shared" si="7"/>
        <v>0.21469079529736798</v>
      </c>
      <c r="H57" s="123"/>
    </row>
    <row r="58" spans="1:8" ht="15.75" customHeight="1" thickBot="1">
      <c r="A58" s="133"/>
      <c r="B58" s="134"/>
      <c r="C58" s="204"/>
      <c r="D58" s="204"/>
      <c r="E58" s="204"/>
      <c r="F58" s="132"/>
      <c r="G58" s="215"/>
      <c r="H58" s="123"/>
    </row>
    <row r="59" spans="1:8" ht="17.25" customHeight="1" thickBot="1" thickTop="1">
      <c r="A59" s="141" t="s">
        <v>14</v>
      </c>
      <c r="B59" s="142"/>
      <c r="C59" s="206">
        <f>SUM(C48:C58)</f>
        <v>108009997</v>
      </c>
      <c r="D59" s="206">
        <f>SUM(D48:D58)</f>
        <v>22056232.18</v>
      </c>
      <c r="E59" s="206">
        <f>SUM(E48:E58)</f>
        <v>26972172.369999997</v>
      </c>
      <c r="F59" s="143">
        <f>(+D59-E59)/E59</f>
        <v>-0.18225970539428218</v>
      </c>
      <c r="G59" s="217">
        <f>D59/C59</f>
        <v>0.20420546979554124</v>
      </c>
      <c r="H59" s="123"/>
    </row>
    <row r="60" spans="1:8" ht="15.75" customHeight="1" thickTop="1">
      <c r="A60" s="133"/>
      <c r="B60" s="134"/>
      <c r="C60" s="204"/>
      <c r="D60" s="204"/>
      <c r="E60" s="204"/>
      <c r="F60" s="132"/>
      <c r="G60" s="218"/>
      <c r="H60" s="123"/>
    </row>
    <row r="61" spans="1:8" ht="15" customHeight="1">
      <c r="A61" s="130" t="s">
        <v>63</v>
      </c>
      <c r="B61" s="131">
        <f>DATE(2020,7,1)</f>
        <v>44013</v>
      </c>
      <c r="C61" s="204">
        <v>12794651</v>
      </c>
      <c r="D61" s="204">
        <v>2410424.5</v>
      </c>
      <c r="E61" s="204">
        <v>2665528.5</v>
      </c>
      <c r="F61" s="132">
        <f aca="true" t="shared" si="8" ref="F61:F69">(+D61-E61)/E61</f>
        <v>-0.09570484802544786</v>
      </c>
      <c r="G61" s="215">
        <f aca="true" t="shared" si="9" ref="G61:G70">D61/C61</f>
        <v>0.18839314179026845</v>
      </c>
      <c r="H61" s="123"/>
    </row>
    <row r="62" spans="1:8" ht="15" customHeight="1">
      <c r="A62" s="130"/>
      <c r="B62" s="131">
        <f>DATE(2020,8,1)</f>
        <v>44044</v>
      </c>
      <c r="C62" s="204">
        <v>14515756</v>
      </c>
      <c r="D62" s="204">
        <v>3089213</v>
      </c>
      <c r="E62" s="204">
        <v>3359489.5</v>
      </c>
      <c r="F62" s="132">
        <f t="shared" si="8"/>
        <v>-0.08045165790814349</v>
      </c>
      <c r="G62" s="215">
        <f t="shared" si="9"/>
        <v>0.2128179200587279</v>
      </c>
      <c r="H62" s="123"/>
    </row>
    <row r="63" spans="1:8" ht="15" customHeight="1">
      <c r="A63" s="130"/>
      <c r="B63" s="131">
        <f>DATE(2020,9,1)</f>
        <v>44075</v>
      </c>
      <c r="C63" s="204">
        <v>14427547.39</v>
      </c>
      <c r="D63" s="204">
        <v>3482637.89</v>
      </c>
      <c r="E63" s="204">
        <v>3201600.5</v>
      </c>
      <c r="F63" s="132">
        <f t="shared" si="8"/>
        <v>0.08778028051907168</v>
      </c>
      <c r="G63" s="215">
        <f t="shared" si="9"/>
        <v>0.24138807489995706</v>
      </c>
      <c r="H63" s="123"/>
    </row>
    <row r="64" spans="1:8" ht="15" customHeight="1">
      <c r="A64" s="130"/>
      <c r="B64" s="131">
        <f>DATE(2020,10,1)</f>
        <v>44105</v>
      </c>
      <c r="C64" s="204">
        <v>13869107</v>
      </c>
      <c r="D64" s="204">
        <v>3513244</v>
      </c>
      <c r="E64" s="204">
        <v>3223817</v>
      </c>
      <c r="F64" s="132">
        <f t="shared" si="8"/>
        <v>0.08977773862474203</v>
      </c>
      <c r="G64" s="215">
        <f t="shared" si="9"/>
        <v>0.25331436263344137</v>
      </c>
      <c r="H64" s="123"/>
    </row>
    <row r="65" spans="1:8" ht="15" customHeight="1">
      <c r="A65" s="130"/>
      <c r="B65" s="131">
        <f>DATE(2020,11,1)</f>
        <v>44136</v>
      </c>
      <c r="C65" s="204">
        <v>12007892</v>
      </c>
      <c r="D65" s="204">
        <v>2437183.5</v>
      </c>
      <c r="E65" s="204">
        <v>2721670</v>
      </c>
      <c r="F65" s="132">
        <f t="shared" si="8"/>
        <v>-0.1045264488347228</v>
      </c>
      <c r="G65" s="215">
        <f t="shared" si="9"/>
        <v>0.20296514159187973</v>
      </c>
      <c r="H65" s="123"/>
    </row>
    <row r="66" spans="1:8" ht="15" customHeight="1">
      <c r="A66" s="130"/>
      <c r="B66" s="131">
        <f>DATE(2020,12,1)</f>
        <v>44166</v>
      </c>
      <c r="C66" s="204">
        <v>12703424</v>
      </c>
      <c r="D66" s="204">
        <v>2589172</v>
      </c>
      <c r="E66" s="204">
        <v>2841867</v>
      </c>
      <c r="F66" s="132">
        <f t="shared" si="8"/>
        <v>-0.08891865805120366</v>
      </c>
      <c r="G66" s="215">
        <f t="shared" si="9"/>
        <v>0.2038168607140878</v>
      </c>
      <c r="H66" s="123"/>
    </row>
    <row r="67" spans="1:8" ht="15" customHeight="1">
      <c r="A67" s="130"/>
      <c r="B67" s="131">
        <f>DATE(2021,1,1)</f>
        <v>44197</v>
      </c>
      <c r="C67" s="204">
        <v>14127995</v>
      </c>
      <c r="D67" s="204">
        <v>3152748</v>
      </c>
      <c r="E67" s="204">
        <v>3701292</v>
      </c>
      <c r="F67" s="132">
        <f t="shared" si="8"/>
        <v>-0.14820338411560072</v>
      </c>
      <c r="G67" s="215">
        <f t="shared" si="9"/>
        <v>0.223156081241535</v>
      </c>
      <c r="H67" s="123"/>
    </row>
    <row r="68" spans="1:8" ht="15" customHeight="1">
      <c r="A68" s="130"/>
      <c r="B68" s="131">
        <f>DATE(2021,2,1)</f>
        <v>44228</v>
      </c>
      <c r="C68" s="204">
        <v>12206917</v>
      </c>
      <c r="D68" s="204">
        <v>2941714</v>
      </c>
      <c r="E68" s="204">
        <v>3050097</v>
      </c>
      <c r="F68" s="132">
        <f t="shared" si="8"/>
        <v>-0.035534279729464345</v>
      </c>
      <c r="G68" s="215">
        <f t="shared" si="9"/>
        <v>0.24098746636845322</v>
      </c>
      <c r="H68" s="123"/>
    </row>
    <row r="69" spans="1:8" ht="15" customHeight="1">
      <c r="A69" s="130"/>
      <c r="B69" s="131">
        <f>DATE(2021,3,1)</f>
        <v>44256</v>
      </c>
      <c r="C69" s="204">
        <v>14784880.5</v>
      </c>
      <c r="D69" s="204">
        <v>3606590.5</v>
      </c>
      <c r="E69" s="204">
        <v>1085587.5</v>
      </c>
      <c r="F69" s="132">
        <f t="shared" si="8"/>
        <v>2.3222476308911073</v>
      </c>
      <c r="G69" s="215">
        <f t="shared" si="9"/>
        <v>0.2439377511370484</v>
      </c>
      <c r="H69" s="123"/>
    </row>
    <row r="70" spans="1:8" ht="15" customHeight="1">
      <c r="A70" s="130"/>
      <c r="B70" s="131">
        <f>DATE(2021,4,1)</f>
        <v>44287</v>
      </c>
      <c r="C70" s="204">
        <v>14106319</v>
      </c>
      <c r="D70" s="204">
        <v>3364658.5</v>
      </c>
      <c r="E70" s="204">
        <v>0</v>
      </c>
      <c r="F70" s="132">
        <v>1</v>
      </c>
      <c r="G70" s="215">
        <f t="shared" si="9"/>
        <v>0.2385213676225527</v>
      </c>
      <c r="H70" s="123"/>
    </row>
    <row r="71" spans="1:8" ht="15.75" thickBot="1">
      <c r="A71" s="133"/>
      <c r="B71" s="131"/>
      <c r="C71" s="204"/>
      <c r="D71" s="204"/>
      <c r="E71" s="204"/>
      <c r="F71" s="132"/>
      <c r="G71" s="215"/>
      <c r="H71" s="123"/>
    </row>
    <row r="72" spans="1:8" ht="17.25" customHeight="1" thickBot="1" thickTop="1">
      <c r="A72" s="141" t="s">
        <v>14</v>
      </c>
      <c r="B72" s="142"/>
      <c r="C72" s="207">
        <f>SUM(C61:C71)</f>
        <v>135544488.89</v>
      </c>
      <c r="D72" s="261">
        <f>SUM(D61:D71)</f>
        <v>30587585.89</v>
      </c>
      <c r="E72" s="206">
        <f>SUM(E61:E71)</f>
        <v>25850949</v>
      </c>
      <c r="F72" s="268">
        <f>(+D72-E72)/E72</f>
        <v>0.18322874297574146</v>
      </c>
      <c r="G72" s="267">
        <f>D72/C72</f>
        <v>0.22566454852194767</v>
      </c>
      <c r="H72" s="123"/>
    </row>
    <row r="73" spans="1:8" ht="15.75" customHeight="1" thickTop="1">
      <c r="A73" s="130"/>
      <c r="B73" s="134"/>
      <c r="C73" s="204"/>
      <c r="D73" s="204"/>
      <c r="E73" s="204"/>
      <c r="F73" s="132"/>
      <c r="G73" s="218"/>
      <c r="H73" s="123"/>
    </row>
    <row r="74" spans="1:8" ht="15.75">
      <c r="A74" s="130" t="s">
        <v>68</v>
      </c>
      <c r="B74" s="131">
        <f>DATE(2020,7,1)</f>
        <v>44013</v>
      </c>
      <c r="C74" s="204">
        <v>2263375</v>
      </c>
      <c r="D74" s="204">
        <v>572750</v>
      </c>
      <c r="E74" s="204">
        <v>550912.5</v>
      </c>
      <c r="F74" s="132">
        <f aca="true" t="shared" si="10" ref="F74:F82">(+D74-E74)/E74</f>
        <v>0.03963878111315318</v>
      </c>
      <c r="G74" s="215">
        <f aca="true" t="shared" si="11" ref="G74:G83">D74/C74</f>
        <v>0.25305130612470317</v>
      </c>
      <c r="H74" s="123"/>
    </row>
    <row r="75" spans="1:8" ht="15.75">
      <c r="A75" s="130"/>
      <c r="B75" s="131">
        <f>DATE(2020,8,1)</f>
        <v>44044</v>
      </c>
      <c r="C75" s="204">
        <v>2272442</v>
      </c>
      <c r="D75" s="204">
        <v>629353.5</v>
      </c>
      <c r="E75" s="204">
        <v>544892.5</v>
      </c>
      <c r="F75" s="132">
        <f t="shared" si="10"/>
        <v>0.1550048862849094</v>
      </c>
      <c r="G75" s="215">
        <f t="shared" si="11"/>
        <v>0.2769503028020077</v>
      </c>
      <c r="H75" s="123"/>
    </row>
    <row r="76" spans="1:8" ht="15.75">
      <c r="A76" s="130"/>
      <c r="B76" s="131">
        <f>DATE(2020,9,1)</f>
        <v>44075</v>
      </c>
      <c r="C76" s="204">
        <v>1993931</v>
      </c>
      <c r="D76" s="204">
        <v>564621.5</v>
      </c>
      <c r="E76" s="204">
        <v>648210.4</v>
      </c>
      <c r="F76" s="132">
        <f t="shared" si="10"/>
        <v>-0.12895334601234418</v>
      </c>
      <c r="G76" s="215">
        <f t="shared" si="11"/>
        <v>0.2831700294543793</v>
      </c>
      <c r="H76" s="123"/>
    </row>
    <row r="77" spans="1:8" ht="15.75">
      <c r="A77" s="130"/>
      <c r="B77" s="131">
        <f>DATE(2020,10,1)</f>
        <v>44105</v>
      </c>
      <c r="C77" s="204">
        <v>1898010</v>
      </c>
      <c r="D77" s="204">
        <v>553335.5</v>
      </c>
      <c r="E77" s="204">
        <v>633881.5</v>
      </c>
      <c r="F77" s="132">
        <f t="shared" si="10"/>
        <v>-0.12706791411328458</v>
      </c>
      <c r="G77" s="215">
        <f t="shared" si="11"/>
        <v>0.2915345546124625</v>
      </c>
      <c r="H77" s="123"/>
    </row>
    <row r="78" spans="1:8" ht="15.75">
      <c r="A78" s="130"/>
      <c r="B78" s="131">
        <f>DATE(2020,11,1)</f>
        <v>44136</v>
      </c>
      <c r="C78" s="204">
        <v>2213531</v>
      </c>
      <c r="D78" s="204">
        <v>402553.5</v>
      </c>
      <c r="E78" s="204">
        <v>745956</v>
      </c>
      <c r="F78" s="132">
        <f t="shared" si="10"/>
        <v>-0.4603522191657417</v>
      </c>
      <c r="G78" s="215">
        <f t="shared" si="11"/>
        <v>0.18186033988229666</v>
      </c>
      <c r="H78" s="123"/>
    </row>
    <row r="79" spans="1:8" ht="15.75">
      <c r="A79" s="130"/>
      <c r="B79" s="131">
        <f>DATE(2020,12,1)</f>
        <v>44166</v>
      </c>
      <c r="C79" s="204">
        <v>2627071</v>
      </c>
      <c r="D79" s="204">
        <v>614666.5</v>
      </c>
      <c r="E79" s="204">
        <v>825802.5</v>
      </c>
      <c r="F79" s="132">
        <f t="shared" si="10"/>
        <v>-0.2556737234387157</v>
      </c>
      <c r="G79" s="215">
        <f t="shared" si="11"/>
        <v>0.23397407226527187</v>
      </c>
      <c r="H79" s="123"/>
    </row>
    <row r="80" spans="1:8" ht="15.75">
      <c r="A80" s="130"/>
      <c r="B80" s="131">
        <f>DATE(2021,1,1)</f>
        <v>44197</v>
      </c>
      <c r="C80" s="204">
        <v>2512116</v>
      </c>
      <c r="D80" s="204">
        <v>697063</v>
      </c>
      <c r="E80" s="204">
        <v>839366</v>
      </c>
      <c r="F80" s="132">
        <f t="shared" si="10"/>
        <v>-0.16953629286866517</v>
      </c>
      <c r="G80" s="215">
        <f t="shared" si="11"/>
        <v>0.27748041889785346</v>
      </c>
      <c r="H80" s="123"/>
    </row>
    <row r="81" spans="1:8" ht="15.75">
      <c r="A81" s="130"/>
      <c r="B81" s="131">
        <f>DATE(2021,2,1)</f>
        <v>44228</v>
      </c>
      <c r="C81" s="204">
        <v>2097105</v>
      </c>
      <c r="D81" s="204">
        <v>596898</v>
      </c>
      <c r="E81" s="204">
        <v>859354</v>
      </c>
      <c r="F81" s="132">
        <f t="shared" si="10"/>
        <v>-0.3054108085841225</v>
      </c>
      <c r="G81" s="215">
        <f t="shared" si="11"/>
        <v>0.2846295249880192</v>
      </c>
      <c r="H81" s="123"/>
    </row>
    <row r="82" spans="1:8" ht="15.75">
      <c r="A82" s="130"/>
      <c r="B82" s="131">
        <f>DATE(2021,3,1)</f>
        <v>44256</v>
      </c>
      <c r="C82" s="204">
        <v>2672167</v>
      </c>
      <c r="D82" s="204">
        <v>649953.5</v>
      </c>
      <c r="E82" s="204">
        <v>352677.5</v>
      </c>
      <c r="F82" s="132">
        <f t="shared" si="10"/>
        <v>0.842911725301444</v>
      </c>
      <c r="G82" s="215">
        <f t="shared" si="11"/>
        <v>0.24323086843000455</v>
      </c>
      <c r="H82" s="123"/>
    </row>
    <row r="83" spans="1:8" ht="15.75">
      <c r="A83" s="130"/>
      <c r="B83" s="131">
        <f>DATE(2021,4,1)</f>
        <v>44287</v>
      </c>
      <c r="C83" s="204">
        <v>2940598</v>
      </c>
      <c r="D83" s="204">
        <v>759812.5</v>
      </c>
      <c r="E83" s="204">
        <v>0</v>
      </c>
      <c r="F83" s="132">
        <v>1</v>
      </c>
      <c r="G83" s="215">
        <f t="shared" si="11"/>
        <v>0.2583870695688428</v>
      </c>
      <c r="H83" s="123"/>
    </row>
    <row r="84" spans="1:8" ht="15.75" customHeight="1" thickBot="1">
      <c r="A84" s="130"/>
      <c r="B84" s="131"/>
      <c r="C84" s="204"/>
      <c r="D84" s="204"/>
      <c r="E84" s="204"/>
      <c r="F84" s="132"/>
      <c r="G84" s="215"/>
      <c r="H84" s="123"/>
    </row>
    <row r="85" spans="1:8" ht="17.25" thickBot="1" thickTop="1">
      <c r="A85" s="141" t="s">
        <v>14</v>
      </c>
      <c r="B85" s="142"/>
      <c r="C85" s="207">
        <f>SUM(C74:C84)</f>
        <v>23490346</v>
      </c>
      <c r="D85" s="261">
        <f>SUM(D74:D84)</f>
        <v>6041007.5</v>
      </c>
      <c r="E85" s="207">
        <f>SUM(E74:E84)</f>
        <v>6001052.9</v>
      </c>
      <c r="F85" s="268">
        <f>(+D85-E85)/E85</f>
        <v>0.0066579316439619495</v>
      </c>
      <c r="G85" s="267">
        <f>D85/C85</f>
        <v>0.2571697964772422</v>
      </c>
      <c r="H85" s="123"/>
    </row>
    <row r="86" spans="1:8" ht="15.75" customHeight="1" thickTop="1">
      <c r="A86" s="130"/>
      <c r="B86" s="134"/>
      <c r="C86" s="204"/>
      <c r="D86" s="204"/>
      <c r="E86" s="204"/>
      <c r="F86" s="132"/>
      <c r="G86" s="218"/>
      <c r="H86" s="123"/>
    </row>
    <row r="87" spans="1:8" ht="15.75">
      <c r="A87" s="130" t="s">
        <v>66</v>
      </c>
      <c r="B87" s="131">
        <f>DATE(2020,7,1)</f>
        <v>44013</v>
      </c>
      <c r="C87" s="204">
        <v>1014737</v>
      </c>
      <c r="D87" s="204">
        <v>248731.5</v>
      </c>
      <c r="E87" s="204">
        <v>255421</v>
      </c>
      <c r="F87" s="132">
        <f aca="true" t="shared" si="12" ref="F87:F95">(+D87-E87)/E87</f>
        <v>-0.026190094001667833</v>
      </c>
      <c r="G87" s="215">
        <f aca="true" t="shared" si="13" ref="G87:G96">D87/C87</f>
        <v>0.24511917866402821</v>
      </c>
      <c r="H87" s="123"/>
    </row>
    <row r="88" spans="1:8" ht="15.75">
      <c r="A88" s="130"/>
      <c r="B88" s="131">
        <f>DATE(2020,8,1)</f>
        <v>44044</v>
      </c>
      <c r="C88" s="204">
        <v>1314485</v>
      </c>
      <c r="D88" s="204">
        <v>268487</v>
      </c>
      <c r="E88" s="204">
        <v>366605.5</v>
      </c>
      <c r="F88" s="132">
        <f t="shared" si="12"/>
        <v>-0.26764055640190887</v>
      </c>
      <c r="G88" s="215">
        <f t="shared" si="13"/>
        <v>0.20425261604354558</v>
      </c>
      <c r="H88" s="123"/>
    </row>
    <row r="89" spans="1:8" ht="15.75">
      <c r="A89" s="130"/>
      <c r="B89" s="131">
        <f>DATE(2020,9,1)</f>
        <v>44075</v>
      </c>
      <c r="C89" s="204">
        <v>1245407</v>
      </c>
      <c r="D89" s="204">
        <v>277957.5</v>
      </c>
      <c r="E89" s="204">
        <v>323382</v>
      </c>
      <c r="F89" s="132">
        <f t="shared" si="12"/>
        <v>-0.14046700187394476</v>
      </c>
      <c r="G89" s="215">
        <f t="shared" si="13"/>
        <v>0.22318607491366277</v>
      </c>
      <c r="H89" s="123"/>
    </row>
    <row r="90" spans="1:8" ht="15.75">
      <c r="A90" s="130"/>
      <c r="B90" s="131">
        <f>DATE(2020,10,1)</f>
        <v>44105</v>
      </c>
      <c r="C90" s="204">
        <v>1388391</v>
      </c>
      <c r="D90" s="204">
        <v>306011.5</v>
      </c>
      <c r="E90" s="204">
        <v>301934</v>
      </c>
      <c r="F90" s="132">
        <f t="shared" si="12"/>
        <v>0.013504606967085522</v>
      </c>
      <c r="G90" s="215">
        <f t="shared" si="13"/>
        <v>0.2204072916058949</v>
      </c>
      <c r="H90" s="123"/>
    </row>
    <row r="91" spans="1:8" ht="15.75">
      <c r="A91" s="130"/>
      <c r="B91" s="131">
        <f>DATE(2020,11,1)</f>
        <v>44136</v>
      </c>
      <c r="C91" s="204">
        <v>1080444</v>
      </c>
      <c r="D91" s="204">
        <v>264033.5</v>
      </c>
      <c r="E91" s="204">
        <v>378106</v>
      </c>
      <c r="F91" s="132">
        <f t="shared" si="12"/>
        <v>-0.30169449836818246</v>
      </c>
      <c r="G91" s="215">
        <f t="shared" si="13"/>
        <v>0.24437499768613644</v>
      </c>
      <c r="H91" s="123"/>
    </row>
    <row r="92" spans="1:8" ht="15.75">
      <c r="A92" s="130"/>
      <c r="B92" s="131">
        <f>DATE(2020,12,1)</f>
        <v>44166</v>
      </c>
      <c r="C92" s="204">
        <v>1251103</v>
      </c>
      <c r="D92" s="204">
        <v>310571</v>
      </c>
      <c r="E92" s="204">
        <v>350445.5</v>
      </c>
      <c r="F92" s="132">
        <f t="shared" si="12"/>
        <v>-0.11378231422574979</v>
      </c>
      <c r="G92" s="215">
        <f t="shared" si="13"/>
        <v>0.2482377550049836</v>
      </c>
      <c r="H92" s="123"/>
    </row>
    <row r="93" spans="1:8" ht="15.75">
      <c r="A93" s="130"/>
      <c r="B93" s="131">
        <f>DATE(2021,1,1)</f>
        <v>44197</v>
      </c>
      <c r="C93" s="204">
        <v>3199214</v>
      </c>
      <c r="D93" s="204">
        <v>371981</v>
      </c>
      <c r="E93" s="204">
        <v>284016.5</v>
      </c>
      <c r="F93" s="132">
        <f t="shared" si="12"/>
        <v>0.3097161608568516</v>
      </c>
      <c r="G93" s="215">
        <f t="shared" si="13"/>
        <v>0.1162726219627696</v>
      </c>
      <c r="H93" s="123"/>
    </row>
    <row r="94" spans="1:8" ht="15.75">
      <c r="A94" s="130"/>
      <c r="B94" s="131">
        <f>DATE(2021,2,1)</f>
        <v>44228</v>
      </c>
      <c r="C94" s="204">
        <v>4050366</v>
      </c>
      <c r="D94" s="204">
        <v>412016.5</v>
      </c>
      <c r="E94" s="204">
        <v>306224.5</v>
      </c>
      <c r="F94" s="132">
        <f t="shared" si="12"/>
        <v>0.34547203114055214</v>
      </c>
      <c r="G94" s="215">
        <f t="shared" si="13"/>
        <v>0.10172327636564202</v>
      </c>
      <c r="H94" s="123"/>
    </row>
    <row r="95" spans="1:8" ht="15.75">
      <c r="A95" s="130"/>
      <c r="B95" s="131">
        <f>DATE(2021,3,1)</f>
        <v>44256</v>
      </c>
      <c r="C95" s="204">
        <v>4644484</v>
      </c>
      <c r="D95" s="204">
        <v>636027.5</v>
      </c>
      <c r="E95" s="204">
        <v>205020.5</v>
      </c>
      <c r="F95" s="132">
        <f t="shared" si="12"/>
        <v>2.1022629444372636</v>
      </c>
      <c r="G95" s="215">
        <f t="shared" si="13"/>
        <v>0.1369425537906902</v>
      </c>
      <c r="H95" s="123"/>
    </row>
    <row r="96" spans="1:8" ht="15.75">
      <c r="A96" s="130"/>
      <c r="B96" s="131">
        <f>DATE(2021,4,1)</f>
        <v>44287</v>
      </c>
      <c r="C96" s="204">
        <v>5020756</v>
      </c>
      <c r="D96" s="204">
        <v>862567</v>
      </c>
      <c r="E96" s="204">
        <v>0</v>
      </c>
      <c r="F96" s="132">
        <v>1</v>
      </c>
      <c r="G96" s="215">
        <f t="shared" si="13"/>
        <v>0.17180022291463676</v>
      </c>
      <c r="H96" s="123"/>
    </row>
    <row r="97" spans="1:8" ht="15.75" customHeight="1" thickBot="1">
      <c r="A97" s="130"/>
      <c r="B97" s="131"/>
      <c r="C97" s="204"/>
      <c r="D97" s="204"/>
      <c r="E97" s="204"/>
      <c r="F97" s="132"/>
      <c r="G97" s="215"/>
      <c r="H97" s="123"/>
    </row>
    <row r="98" spans="1:8" ht="17.25" thickBot="1" thickTop="1">
      <c r="A98" s="141" t="s">
        <v>14</v>
      </c>
      <c r="B98" s="142"/>
      <c r="C98" s="207">
        <f>SUM(C87:C97)</f>
        <v>24209387</v>
      </c>
      <c r="D98" s="261">
        <f>SUM(D87:D97)</f>
        <v>3958384</v>
      </c>
      <c r="E98" s="207">
        <f>SUM(E87:E97)</f>
        <v>2771155.5</v>
      </c>
      <c r="F98" s="269">
        <f>(+D98-E98)/E98</f>
        <v>0.42842363050359317</v>
      </c>
      <c r="G98" s="267">
        <f>D98/C98</f>
        <v>0.16350616395202405</v>
      </c>
      <c r="H98" s="123"/>
    </row>
    <row r="99" spans="1:8" ht="15.75" customHeight="1" thickTop="1">
      <c r="A99" s="130"/>
      <c r="B99" s="139"/>
      <c r="C99" s="205"/>
      <c r="D99" s="205"/>
      <c r="E99" s="205"/>
      <c r="F99" s="140"/>
      <c r="G99" s="216"/>
      <c r="H99" s="123"/>
    </row>
    <row r="100" spans="1:8" ht="15.75">
      <c r="A100" s="130" t="s">
        <v>52</v>
      </c>
      <c r="B100" s="131">
        <f>DATE(2020,7,1)</f>
        <v>44013</v>
      </c>
      <c r="C100" s="204">
        <v>3151915</v>
      </c>
      <c r="D100" s="204">
        <v>671384</v>
      </c>
      <c r="E100" s="204">
        <v>1702644.86</v>
      </c>
      <c r="F100" s="132">
        <f aca="true" t="shared" si="14" ref="F100:F108">(+D100-E100)/E100</f>
        <v>-0.6056817156808614</v>
      </c>
      <c r="G100" s="215">
        <f aca="true" t="shared" si="15" ref="G100:G109">D100/C100</f>
        <v>0.21300828226649512</v>
      </c>
      <c r="H100" s="123"/>
    </row>
    <row r="101" spans="1:8" ht="15.75">
      <c r="A101" s="130"/>
      <c r="B101" s="131">
        <f>DATE(2020,8,1)</f>
        <v>44044</v>
      </c>
      <c r="C101" s="204">
        <v>3093947</v>
      </c>
      <c r="D101" s="204">
        <v>647438.06</v>
      </c>
      <c r="E101" s="204">
        <v>2308275.88</v>
      </c>
      <c r="F101" s="132">
        <f t="shared" si="14"/>
        <v>-0.7195144368965116</v>
      </c>
      <c r="G101" s="215">
        <f t="shared" si="15"/>
        <v>0.2092595833089578</v>
      </c>
      <c r="H101" s="123"/>
    </row>
    <row r="102" spans="1:8" ht="15.75">
      <c r="A102" s="130"/>
      <c r="B102" s="131">
        <f>DATE(2020,9,1)</f>
        <v>44075</v>
      </c>
      <c r="C102" s="204">
        <v>3761958</v>
      </c>
      <c r="D102" s="204">
        <v>476389</v>
      </c>
      <c r="E102" s="204">
        <v>1996051.56</v>
      </c>
      <c r="F102" s="132">
        <f t="shared" si="14"/>
        <v>-0.7613343214440813</v>
      </c>
      <c r="G102" s="215">
        <f t="shared" si="15"/>
        <v>0.12663325853186028</v>
      </c>
      <c r="H102" s="123"/>
    </row>
    <row r="103" spans="1:8" ht="15.75">
      <c r="A103" s="130"/>
      <c r="B103" s="131">
        <f>DATE(2020,10,1)</f>
        <v>44105</v>
      </c>
      <c r="C103" s="204">
        <v>3789812</v>
      </c>
      <c r="D103" s="204">
        <v>822284.63</v>
      </c>
      <c r="E103" s="204">
        <v>2026195.69</v>
      </c>
      <c r="F103" s="132">
        <f t="shared" si="14"/>
        <v>-0.5941731422792633</v>
      </c>
      <c r="G103" s="215">
        <f t="shared" si="15"/>
        <v>0.21697240654681552</v>
      </c>
      <c r="H103" s="123"/>
    </row>
    <row r="104" spans="1:8" ht="15.75">
      <c r="A104" s="130"/>
      <c r="B104" s="131">
        <f>DATE(2020,11,1)</f>
        <v>44136</v>
      </c>
      <c r="C104" s="204">
        <v>3550127</v>
      </c>
      <c r="D104" s="204">
        <v>587592.5</v>
      </c>
      <c r="E104" s="204">
        <v>1903112.96</v>
      </c>
      <c r="F104" s="132">
        <f t="shared" si="14"/>
        <v>-0.6912466509607501</v>
      </c>
      <c r="G104" s="215">
        <f t="shared" si="15"/>
        <v>0.16551309291188737</v>
      </c>
      <c r="H104" s="123"/>
    </row>
    <row r="105" spans="1:8" ht="15.75">
      <c r="A105" s="130"/>
      <c r="B105" s="131">
        <f>DATE(2020,12,1)</f>
        <v>44166</v>
      </c>
      <c r="C105" s="204">
        <v>4018731</v>
      </c>
      <c r="D105" s="204">
        <v>844069.86</v>
      </c>
      <c r="E105" s="204">
        <v>1980334.65</v>
      </c>
      <c r="F105" s="132">
        <f t="shared" si="14"/>
        <v>-0.5737741295391666</v>
      </c>
      <c r="G105" s="215">
        <f t="shared" si="15"/>
        <v>0.21003392862075118</v>
      </c>
      <c r="H105" s="123"/>
    </row>
    <row r="106" spans="1:8" ht="15.75">
      <c r="A106" s="130"/>
      <c r="B106" s="131">
        <f>DATE(2021,1,1)</f>
        <v>44197</v>
      </c>
      <c r="C106" s="204">
        <v>5130615</v>
      </c>
      <c r="D106" s="204">
        <v>1044151.5</v>
      </c>
      <c r="E106" s="204">
        <v>2178926.1</v>
      </c>
      <c r="F106" s="132">
        <f t="shared" si="14"/>
        <v>-0.5207953587778861</v>
      </c>
      <c r="G106" s="215">
        <f t="shared" si="15"/>
        <v>0.20351390622761598</v>
      </c>
      <c r="H106" s="123"/>
    </row>
    <row r="107" spans="1:8" ht="15.75">
      <c r="A107" s="130"/>
      <c r="B107" s="131">
        <f>DATE(2021,2,1)</f>
        <v>44228</v>
      </c>
      <c r="C107" s="204">
        <v>4856229</v>
      </c>
      <c r="D107" s="204">
        <v>1000996.5</v>
      </c>
      <c r="E107" s="204">
        <v>2379520.27</v>
      </c>
      <c r="F107" s="132">
        <f t="shared" si="14"/>
        <v>-0.5793284416946782</v>
      </c>
      <c r="G107" s="215">
        <f t="shared" si="15"/>
        <v>0.20612629676236438</v>
      </c>
      <c r="H107" s="123"/>
    </row>
    <row r="108" spans="1:8" ht="15.75">
      <c r="A108" s="130"/>
      <c r="B108" s="131">
        <f>DATE(2021,3,1)</f>
        <v>44256</v>
      </c>
      <c r="C108" s="204">
        <v>6023562</v>
      </c>
      <c r="D108" s="204">
        <v>1370156.18</v>
      </c>
      <c r="E108" s="204">
        <v>1002834.07</v>
      </c>
      <c r="F108" s="132">
        <f t="shared" si="14"/>
        <v>0.3662840354037832</v>
      </c>
      <c r="G108" s="215">
        <f t="shared" si="15"/>
        <v>0.2274661039431486</v>
      </c>
      <c r="H108" s="123"/>
    </row>
    <row r="109" spans="1:8" ht="15.75">
      <c r="A109" s="130"/>
      <c r="B109" s="131">
        <f>DATE(2021,4,1)</f>
        <v>44287</v>
      </c>
      <c r="C109" s="204">
        <v>6088755</v>
      </c>
      <c r="D109" s="204">
        <v>1355487.38</v>
      </c>
      <c r="E109" s="204">
        <v>0</v>
      </c>
      <c r="F109" s="132">
        <v>1</v>
      </c>
      <c r="G109" s="215">
        <f t="shared" si="15"/>
        <v>0.22262143574507431</v>
      </c>
      <c r="H109" s="123"/>
    </row>
    <row r="110" spans="1:8" ht="15.75" customHeight="1" thickBot="1">
      <c r="A110" s="130"/>
      <c r="B110" s="131"/>
      <c r="C110" s="204"/>
      <c r="D110" s="204"/>
      <c r="E110" s="204"/>
      <c r="F110" s="132"/>
      <c r="G110" s="215"/>
      <c r="H110" s="123"/>
    </row>
    <row r="111" spans="1:8" ht="17.25" thickBot="1" thickTop="1">
      <c r="A111" s="141" t="s">
        <v>14</v>
      </c>
      <c r="B111" s="142"/>
      <c r="C111" s="206">
        <f>SUM(C100:C110)</f>
        <v>43465651</v>
      </c>
      <c r="D111" s="206">
        <f>SUM(D100:D110)</f>
        <v>8819949.61</v>
      </c>
      <c r="E111" s="206">
        <f>SUM(E100:E110)</f>
        <v>17477896.04</v>
      </c>
      <c r="F111" s="143">
        <f>(+D111-E111)/E111</f>
        <v>-0.4953654839338431</v>
      </c>
      <c r="G111" s="217">
        <f>D111/C111</f>
        <v>0.20291769263964318</v>
      </c>
      <c r="H111" s="123"/>
    </row>
    <row r="112" spans="1:8" ht="15.75" customHeight="1" thickTop="1">
      <c r="A112" s="138"/>
      <c r="B112" s="139"/>
      <c r="C112" s="205"/>
      <c r="D112" s="205"/>
      <c r="E112" s="205"/>
      <c r="F112" s="140"/>
      <c r="G112" s="216"/>
      <c r="H112" s="123"/>
    </row>
    <row r="113" spans="1:8" ht="15.75">
      <c r="A113" s="130" t="s">
        <v>16</v>
      </c>
      <c r="B113" s="131">
        <f>DATE(2020,7,1)</f>
        <v>44013</v>
      </c>
      <c r="C113" s="204">
        <v>8611169</v>
      </c>
      <c r="D113" s="204">
        <v>1702806.5</v>
      </c>
      <c r="E113" s="204">
        <v>2126431.5</v>
      </c>
      <c r="F113" s="132">
        <f aca="true" t="shared" si="16" ref="F113:F121">(+D113-E113)/E113</f>
        <v>-0.19921873805951426</v>
      </c>
      <c r="G113" s="215">
        <f aca="true" t="shared" si="17" ref="G113:G122">D113/C113</f>
        <v>0.19774394161814732</v>
      </c>
      <c r="H113" s="123"/>
    </row>
    <row r="114" spans="1:8" ht="15.75">
      <c r="A114" s="130"/>
      <c r="B114" s="131">
        <f>DATE(2020,8,1)</f>
        <v>44044</v>
      </c>
      <c r="C114" s="204">
        <v>7982010</v>
      </c>
      <c r="D114" s="204">
        <v>1570570.5</v>
      </c>
      <c r="E114" s="204">
        <v>2726871</v>
      </c>
      <c r="F114" s="132">
        <f t="shared" si="16"/>
        <v>-0.4240393109905089</v>
      </c>
      <c r="G114" s="215">
        <f t="shared" si="17"/>
        <v>0.1967637850616574</v>
      </c>
      <c r="H114" s="123"/>
    </row>
    <row r="115" spans="1:8" ht="15.75">
      <c r="A115" s="130"/>
      <c r="B115" s="131">
        <f>DATE(2020,9,1)</f>
        <v>44075</v>
      </c>
      <c r="C115" s="204">
        <v>8162396</v>
      </c>
      <c r="D115" s="204">
        <v>1447626.5</v>
      </c>
      <c r="E115" s="204">
        <v>2679876</v>
      </c>
      <c r="F115" s="132">
        <f t="shared" si="16"/>
        <v>-0.4598158646146314</v>
      </c>
      <c r="G115" s="215">
        <f t="shared" si="17"/>
        <v>0.17735313258508897</v>
      </c>
      <c r="H115" s="123"/>
    </row>
    <row r="116" spans="1:8" ht="15.75">
      <c r="A116" s="130"/>
      <c r="B116" s="131">
        <f>DATE(2020,10,1)</f>
        <v>44105</v>
      </c>
      <c r="C116" s="204">
        <v>8619144</v>
      </c>
      <c r="D116" s="204">
        <v>1659455</v>
      </c>
      <c r="E116" s="204">
        <v>3088329</v>
      </c>
      <c r="F116" s="132">
        <f t="shared" si="16"/>
        <v>-0.4626689708253233</v>
      </c>
      <c r="G116" s="215">
        <f t="shared" si="17"/>
        <v>0.1925313000919813</v>
      </c>
      <c r="H116" s="123"/>
    </row>
    <row r="117" spans="1:8" ht="15.75">
      <c r="A117" s="130"/>
      <c r="B117" s="131">
        <f>DATE(2020,11,1)</f>
        <v>44136</v>
      </c>
      <c r="C117" s="204">
        <v>8144246</v>
      </c>
      <c r="D117" s="204">
        <v>1564224</v>
      </c>
      <c r="E117" s="204">
        <v>2810591.5</v>
      </c>
      <c r="F117" s="132">
        <f t="shared" si="16"/>
        <v>-0.44345380678764595</v>
      </c>
      <c r="G117" s="215">
        <f t="shared" si="17"/>
        <v>0.19206492534729427</v>
      </c>
      <c r="H117" s="123"/>
    </row>
    <row r="118" spans="1:8" ht="15.75">
      <c r="A118" s="130"/>
      <c r="B118" s="131">
        <f>DATE(2020,12,1)</f>
        <v>44166</v>
      </c>
      <c r="C118" s="204">
        <v>8593856</v>
      </c>
      <c r="D118" s="204">
        <v>1930831.5</v>
      </c>
      <c r="E118" s="204">
        <v>1704640.5</v>
      </c>
      <c r="F118" s="132">
        <f t="shared" si="16"/>
        <v>0.1326913211319337</v>
      </c>
      <c r="G118" s="215">
        <f t="shared" si="17"/>
        <v>0.22467580327154654</v>
      </c>
      <c r="H118" s="123"/>
    </row>
    <row r="119" spans="1:8" ht="15.75">
      <c r="A119" s="130"/>
      <c r="B119" s="131">
        <f>DATE(2021,1,1)</f>
        <v>44197</v>
      </c>
      <c r="C119" s="204">
        <v>9211199</v>
      </c>
      <c r="D119" s="204">
        <v>2028934.5</v>
      </c>
      <c r="E119" s="204">
        <v>2631202</v>
      </c>
      <c r="F119" s="132">
        <f t="shared" si="16"/>
        <v>-0.22889443683913283</v>
      </c>
      <c r="G119" s="215">
        <f t="shared" si="17"/>
        <v>0.2202682300100128</v>
      </c>
      <c r="H119" s="123"/>
    </row>
    <row r="120" spans="1:8" ht="15.75">
      <c r="A120" s="130"/>
      <c r="B120" s="131">
        <f>DATE(2021,2,1)</f>
        <v>44228</v>
      </c>
      <c r="C120" s="204">
        <v>7248677</v>
      </c>
      <c r="D120" s="204">
        <v>1539079.5</v>
      </c>
      <c r="E120" s="204">
        <v>2680732</v>
      </c>
      <c r="F120" s="132">
        <f t="shared" si="16"/>
        <v>-0.4258734181559365</v>
      </c>
      <c r="G120" s="215">
        <f t="shared" si="17"/>
        <v>0.21232557334255617</v>
      </c>
      <c r="H120" s="123"/>
    </row>
    <row r="121" spans="1:8" ht="15.75">
      <c r="A121" s="130"/>
      <c r="B121" s="131">
        <f>DATE(2021,3,1)</f>
        <v>44256</v>
      </c>
      <c r="C121" s="204">
        <v>9278927</v>
      </c>
      <c r="D121" s="204">
        <v>1934782.5</v>
      </c>
      <c r="E121" s="204">
        <v>1364411.5</v>
      </c>
      <c r="F121" s="132">
        <f t="shared" si="16"/>
        <v>0.4180344419553778</v>
      </c>
      <c r="G121" s="215">
        <f t="shared" si="17"/>
        <v>0.20851360291982035</v>
      </c>
      <c r="H121" s="123"/>
    </row>
    <row r="122" spans="1:8" ht="15.75">
      <c r="A122" s="130"/>
      <c r="B122" s="131">
        <f>DATE(2021,4,1)</f>
        <v>44287</v>
      </c>
      <c r="C122" s="204">
        <v>10391250</v>
      </c>
      <c r="D122" s="204">
        <v>2261091</v>
      </c>
      <c r="E122" s="204">
        <v>0</v>
      </c>
      <c r="F122" s="132">
        <v>1</v>
      </c>
      <c r="G122" s="215">
        <f t="shared" si="17"/>
        <v>0.21759566943341754</v>
      </c>
      <c r="H122" s="123"/>
    </row>
    <row r="123" spans="1:8" ht="15.75" customHeight="1" thickBot="1">
      <c r="A123" s="130"/>
      <c r="B123" s="131"/>
      <c r="C123" s="204"/>
      <c r="D123" s="204"/>
      <c r="E123" s="204"/>
      <c r="F123" s="132"/>
      <c r="G123" s="215"/>
      <c r="H123" s="123"/>
    </row>
    <row r="124" spans="1:8" ht="17.25" thickBot="1" thickTop="1">
      <c r="A124" s="141" t="s">
        <v>14</v>
      </c>
      <c r="B124" s="142"/>
      <c r="C124" s="206">
        <f>SUM(C113:C123)</f>
        <v>86242874</v>
      </c>
      <c r="D124" s="206">
        <f>SUM(D113:D123)</f>
        <v>17639401.5</v>
      </c>
      <c r="E124" s="206">
        <f>SUM(E113:E123)</f>
        <v>21813085</v>
      </c>
      <c r="F124" s="143">
        <f>(+D124-E124)/E124</f>
        <v>-0.19133852455991437</v>
      </c>
      <c r="G124" s="217">
        <f>D124/C124</f>
        <v>0.20453169846821198</v>
      </c>
      <c r="H124" s="123"/>
    </row>
    <row r="125" spans="1:8" ht="15.75" customHeight="1" thickTop="1">
      <c r="A125" s="138"/>
      <c r="B125" s="139"/>
      <c r="C125" s="205"/>
      <c r="D125" s="205"/>
      <c r="E125" s="205"/>
      <c r="F125" s="140"/>
      <c r="G125" s="216"/>
      <c r="H125" s="123"/>
    </row>
    <row r="126" spans="1:8" ht="15.75">
      <c r="A126" s="130" t="s">
        <v>54</v>
      </c>
      <c r="B126" s="131">
        <f>DATE(2020,7,1)</f>
        <v>44013</v>
      </c>
      <c r="C126" s="204">
        <v>10453635</v>
      </c>
      <c r="D126" s="204">
        <v>1923906.33</v>
      </c>
      <c r="E126" s="204">
        <v>1977732.9</v>
      </c>
      <c r="F126" s="132">
        <f aca="true" t="shared" si="18" ref="F126:F134">(+D126-E126)/E126</f>
        <v>-0.027216299026021074</v>
      </c>
      <c r="G126" s="215">
        <f aca="true" t="shared" si="19" ref="G126:G135">D126/C126</f>
        <v>0.18404185051419913</v>
      </c>
      <c r="H126" s="123"/>
    </row>
    <row r="127" spans="1:8" ht="15.75">
      <c r="A127" s="130"/>
      <c r="B127" s="131">
        <f>DATE(2020,8,1)</f>
        <v>44044</v>
      </c>
      <c r="C127" s="204">
        <v>12051254</v>
      </c>
      <c r="D127" s="204">
        <v>2698345.86</v>
      </c>
      <c r="E127" s="204">
        <v>2646777.5</v>
      </c>
      <c r="F127" s="132">
        <f t="shared" si="18"/>
        <v>0.019483451102330993</v>
      </c>
      <c r="G127" s="215">
        <f t="shared" si="19"/>
        <v>0.2239058159424737</v>
      </c>
      <c r="H127" s="123"/>
    </row>
    <row r="128" spans="1:8" ht="15.75">
      <c r="A128" s="130"/>
      <c r="B128" s="131">
        <f>DATE(2020,9,1)</f>
        <v>44075</v>
      </c>
      <c r="C128" s="204">
        <v>11460638</v>
      </c>
      <c r="D128" s="204">
        <v>2773332.44</v>
      </c>
      <c r="E128" s="204">
        <v>2514781.23</v>
      </c>
      <c r="F128" s="132">
        <f t="shared" si="18"/>
        <v>0.10281260529370181</v>
      </c>
      <c r="G128" s="215">
        <f t="shared" si="19"/>
        <v>0.24198761360405938</v>
      </c>
      <c r="H128" s="123"/>
    </row>
    <row r="129" spans="1:8" ht="15.75">
      <c r="A129" s="130"/>
      <c r="B129" s="131">
        <f>DATE(2020,10,1)</f>
        <v>44105</v>
      </c>
      <c r="C129" s="204">
        <v>11609263</v>
      </c>
      <c r="D129" s="204">
        <v>2099358.01</v>
      </c>
      <c r="E129" s="204">
        <v>2541006.48</v>
      </c>
      <c r="F129" s="132">
        <f t="shared" si="18"/>
        <v>-0.17380847844197556</v>
      </c>
      <c r="G129" s="215">
        <f t="shared" si="19"/>
        <v>0.18083473602071035</v>
      </c>
      <c r="H129" s="123"/>
    </row>
    <row r="130" spans="1:8" ht="15.75">
      <c r="A130" s="130"/>
      <c r="B130" s="131">
        <f>DATE(2020,11,1)</f>
        <v>44136</v>
      </c>
      <c r="C130" s="204">
        <v>11563380</v>
      </c>
      <c r="D130" s="204">
        <v>2138602.36</v>
      </c>
      <c r="E130" s="204">
        <v>2692124.24</v>
      </c>
      <c r="F130" s="132">
        <f t="shared" si="18"/>
        <v>-0.20560785114434404</v>
      </c>
      <c r="G130" s="215">
        <f t="shared" si="19"/>
        <v>0.18494612820818826</v>
      </c>
      <c r="H130" s="123"/>
    </row>
    <row r="131" spans="1:8" ht="15.75">
      <c r="A131" s="130"/>
      <c r="B131" s="131">
        <f>DATE(2020,12,1)</f>
        <v>44166</v>
      </c>
      <c r="C131" s="204">
        <v>10891043</v>
      </c>
      <c r="D131" s="204">
        <v>1971253.86</v>
      </c>
      <c r="E131" s="204">
        <v>2968383.02</v>
      </c>
      <c r="F131" s="132">
        <f t="shared" si="18"/>
        <v>-0.3359166095755392</v>
      </c>
      <c r="G131" s="215">
        <f t="shared" si="19"/>
        <v>0.18099771160576633</v>
      </c>
      <c r="H131" s="123"/>
    </row>
    <row r="132" spans="1:8" ht="15.75">
      <c r="A132" s="130"/>
      <c r="B132" s="131">
        <f>DATE(2021,1,1)</f>
        <v>44197</v>
      </c>
      <c r="C132" s="204">
        <v>10786485</v>
      </c>
      <c r="D132" s="204">
        <v>2332941.5</v>
      </c>
      <c r="E132" s="204">
        <v>2911355</v>
      </c>
      <c r="F132" s="132">
        <f t="shared" si="18"/>
        <v>-0.19867501558552633</v>
      </c>
      <c r="G132" s="215">
        <f t="shared" si="19"/>
        <v>0.2162837569421364</v>
      </c>
      <c r="H132" s="123"/>
    </row>
    <row r="133" spans="1:8" ht="15.75">
      <c r="A133" s="130"/>
      <c r="B133" s="131">
        <f>DATE(2021,2,1)</f>
        <v>44228</v>
      </c>
      <c r="C133" s="204">
        <v>8825700</v>
      </c>
      <c r="D133" s="204">
        <v>2002620.27</v>
      </c>
      <c r="E133" s="204">
        <v>2209831.51</v>
      </c>
      <c r="F133" s="132">
        <f t="shared" si="18"/>
        <v>-0.09376789092848069</v>
      </c>
      <c r="G133" s="215">
        <f t="shared" si="19"/>
        <v>0.22690781127842552</v>
      </c>
      <c r="H133" s="123"/>
    </row>
    <row r="134" spans="1:8" ht="15.75">
      <c r="A134" s="130"/>
      <c r="B134" s="131">
        <f>DATE(2021,3,1)</f>
        <v>44256</v>
      </c>
      <c r="C134" s="204">
        <v>11172903.5</v>
      </c>
      <c r="D134" s="204">
        <v>2026634.3</v>
      </c>
      <c r="E134" s="204">
        <v>1369447.43</v>
      </c>
      <c r="F134" s="132">
        <f t="shared" si="18"/>
        <v>0.47989200286425027</v>
      </c>
      <c r="G134" s="215">
        <f t="shared" si="19"/>
        <v>0.18138832936308813</v>
      </c>
      <c r="H134" s="123"/>
    </row>
    <row r="135" spans="1:8" ht="15.75">
      <c r="A135" s="130"/>
      <c r="B135" s="131">
        <f>DATE(2021,4,1)</f>
        <v>44287</v>
      </c>
      <c r="C135" s="204">
        <v>12159987</v>
      </c>
      <c r="D135" s="204">
        <v>2242370.53</v>
      </c>
      <c r="E135" s="204">
        <v>0</v>
      </c>
      <c r="F135" s="132">
        <v>1</v>
      </c>
      <c r="G135" s="215">
        <f t="shared" si="19"/>
        <v>0.18440566836132308</v>
      </c>
      <c r="H135" s="123"/>
    </row>
    <row r="136" spans="1:8" ht="15.75" thickBot="1">
      <c r="A136" s="133"/>
      <c r="B136" s="131"/>
      <c r="C136" s="204"/>
      <c r="D136" s="204"/>
      <c r="E136" s="204"/>
      <c r="F136" s="132"/>
      <c r="G136" s="215"/>
      <c r="H136" s="123"/>
    </row>
    <row r="137" spans="1:8" ht="17.25" thickBot="1" thickTop="1">
      <c r="A137" s="141" t="s">
        <v>14</v>
      </c>
      <c r="B137" s="142"/>
      <c r="C137" s="207">
        <f>SUM(C126:C136)</f>
        <v>110974288.5</v>
      </c>
      <c r="D137" s="207">
        <f>SUM(D126:D136)</f>
        <v>22209365.46</v>
      </c>
      <c r="E137" s="207">
        <f>SUM(E126:E136)</f>
        <v>21831439.310000002</v>
      </c>
      <c r="F137" s="143">
        <f>(+D137-E137)/E137</f>
        <v>0.017311096379563372</v>
      </c>
      <c r="G137" s="267">
        <f>D137/C137</f>
        <v>0.20013073082239227</v>
      </c>
      <c r="H137" s="123"/>
    </row>
    <row r="138" spans="1:8" ht="15.75" customHeight="1" thickTop="1">
      <c r="A138" s="138"/>
      <c r="B138" s="139"/>
      <c r="C138" s="205"/>
      <c r="D138" s="205"/>
      <c r="E138" s="205"/>
      <c r="F138" s="140"/>
      <c r="G138" s="219"/>
      <c r="H138" s="123"/>
    </row>
    <row r="139" spans="1:8" ht="15.75">
      <c r="A139" s="130" t="s">
        <v>55</v>
      </c>
      <c r="B139" s="131">
        <f>DATE(2020,7,1)</f>
        <v>44013</v>
      </c>
      <c r="C139" s="204">
        <v>472126</v>
      </c>
      <c r="D139" s="204">
        <v>188605.5</v>
      </c>
      <c r="E139" s="204">
        <v>135934</v>
      </c>
      <c r="F139" s="132">
        <f aca="true" t="shared" si="20" ref="F139:F147">(+D139-E139)/E139</f>
        <v>0.3874784822045993</v>
      </c>
      <c r="G139" s="215">
        <f aca="true" t="shared" si="21" ref="G139:G148">D139/C139</f>
        <v>0.39948128253898324</v>
      </c>
      <c r="H139" s="123"/>
    </row>
    <row r="140" spans="1:8" ht="15.75">
      <c r="A140" s="130"/>
      <c r="B140" s="131">
        <f>DATE(2020,8,1)</f>
        <v>44044</v>
      </c>
      <c r="C140" s="204">
        <v>370157</v>
      </c>
      <c r="D140" s="204">
        <v>111546</v>
      </c>
      <c r="E140" s="204">
        <v>134255.5</v>
      </c>
      <c r="F140" s="132">
        <f t="shared" si="20"/>
        <v>-0.16915135692764915</v>
      </c>
      <c r="G140" s="215">
        <f t="shared" si="21"/>
        <v>0.3013478064713081</v>
      </c>
      <c r="H140" s="123"/>
    </row>
    <row r="141" spans="1:8" ht="15.75">
      <c r="A141" s="130"/>
      <c r="B141" s="131">
        <f>DATE(2020,9,1)</f>
        <v>44075</v>
      </c>
      <c r="C141" s="204">
        <v>425232</v>
      </c>
      <c r="D141" s="204">
        <v>108554</v>
      </c>
      <c r="E141" s="204">
        <v>147952</v>
      </c>
      <c r="F141" s="132">
        <f t="shared" si="20"/>
        <v>-0.26628906672434305</v>
      </c>
      <c r="G141" s="215">
        <f t="shared" si="21"/>
        <v>0.2552818226285886</v>
      </c>
      <c r="H141" s="123"/>
    </row>
    <row r="142" spans="1:8" ht="15.75">
      <c r="A142" s="130"/>
      <c r="B142" s="131">
        <f>DATE(2020,10,1)</f>
        <v>44105</v>
      </c>
      <c r="C142" s="204">
        <v>382275</v>
      </c>
      <c r="D142" s="204">
        <v>95084.5</v>
      </c>
      <c r="E142" s="204">
        <v>160874.5</v>
      </c>
      <c r="F142" s="132">
        <f t="shared" si="20"/>
        <v>-0.40895231997613046</v>
      </c>
      <c r="G142" s="215">
        <f t="shared" si="21"/>
        <v>0.24873324177620823</v>
      </c>
      <c r="H142" s="123"/>
    </row>
    <row r="143" spans="1:8" ht="15.75">
      <c r="A143" s="130"/>
      <c r="B143" s="131">
        <f>DATE(2020,11,1)</f>
        <v>44136</v>
      </c>
      <c r="C143" s="204">
        <v>348011</v>
      </c>
      <c r="D143" s="204">
        <v>102680.5</v>
      </c>
      <c r="E143" s="204">
        <v>171123.5</v>
      </c>
      <c r="F143" s="132">
        <f t="shared" si="20"/>
        <v>-0.39996260011044654</v>
      </c>
      <c r="G143" s="215">
        <f t="shared" si="21"/>
        <v>0.2950495817660936</v>
      </c>
      <c r="H143" s="123"/>
    </row>
    <row r="144" spans="1:8" ht="15.75">
      <c r="A144" s="130"/>
      <c r="B144" s="131">
        <f>DATE(2020,12,1)</f>
        <v>44166</v>
      </c>
      <c r="C144" s="204">
        <v>357011</v>
      </c>
      <c r="D144" s="204">
        <v>47733</v>
      </c>
      <c r="E144" s="204">
        <v>110728</v>
      </c>
      <c r="F144" s="132">
        <f t="shared" si="20"/>
        <v>-0.5689166245213496</v>
      </c>
      <c r="G144" s="215">
        <f t="shared" si="21"/>
        <v>0.13370176269078543</v>
      </c>
      <c r="H144" s="123"/>
    </row>
    <row r="145" spans="1:8" ht="15.75">
      <c r="A145" s="130"/>
      <c r="B145" s="131">
        <f>DATE(2021,1,1)</f>
        <v>44197</v>
      </c>
      <c r="C145" s="204">
        <v>348584</v>
      </c>
      <c r="D145" s="204">
        <v>134105.5</v>
      </c>
      <c r="E145" s="204">
        <v>199122</v>
      </c>
      <c r="F145" s="132">
        <f t="shared" si="20"/>
        <v>-0.3265159048221693</v>
      </c>
      <c r="G145" s="215">
        <f t="shared" si="21"/>
        <v>0.38471501847474354</v>
      </c>
      <c r="H145" s="123"/>
    </row>
    <row r="146" spans="1:8" ht="15.75">
      <c r="A146" s="130"/>
      <c r="B146" s="131">
        <f>DATE(2021,2,1)</f>
        <v>44228</v>
      </c>
      <c r="C146" s="204">
        <v>297062</v>
      </c>
      <c r="D146" s="204">
        <v>30769</v>
      </c>
      <c r="E146" s="204">
        <v>146026</v>
      </c>
      <c r="F146" s="132">
        <f t="shared" si="20"/>
        <v>-0.7892909481873092</v>
      </c>
      <c r="G146" s="215">
        <f t="shared" si="21"/>
        <v>0.1035777043176172</v>
      </c>
      <c r="H146" s="123"/>
    </row>
    <row r="147" spans="1:8" ht="15.75">
      <c r="A147" s="130"/>
      <c r="B147" s="131">
        <f>DATE(2021,3,1)</f>
        <v>44256</v>
      </c>
      <c r="C147" s="204">
        <v>594678</v>
      </c>
      <c r="D147" s="204">
        <v>150714.5</v>
      </c>
      <c r="E147" s="204">
        <v>106726.5</v>
      </c>
      <c r="F147" s="132">
        <f t="shared" si="20"/>
        <v>0.4121563060720627</v>
      </c>
      <c r="G147" s="215">
        <f t="shared" si="21"/>
        <v>0.2534388358069409</v>
      </c>
      <c r="H147" s="123"/>
    </row>
    <row r="148" spans="1:8" ht="15.75">
      <c r="A148" s="130"/>
      <c r="B148" s="131">
        <f>DATE(2021,4,1)</f>
        <v>44287</v>
      </c>
      <c r="C148" s="204">
        <v>526727</v>
      </c>
      <c r="D148" s="204">
        <v>104078.5</v>
      </c>
      <c r="E148" s="204">
        <v>0</v>
      </c>
      <c r="F148" s="132">
        <v>1</v>
      </c>
      <c r="G148" s="215">
        <f t="shared" si="21"/>
        <v>0.1975947692068187</v>
      </c>
      <c r="H148" s="123"/>
    </row>
    <row r="149" spans="1:8" ht="15.75" thickBot="1">
      <c r="A149" s="133"/>
      <c r="B149" s="134"/>
      <c r="C149" s="204"/>
      <c r="D149" s="204"/>
      <c r="E149" s="204"/>
      <c r="F149" s="132"/>
      <c r="G149" s="215"/>
      <c r="H149" s="123"/>
    </row>
    <row r="150" spans="1:8" ht="17.25" thickBot="1" thickTop="1">
      <c r="A150" s="144" t="s">
        <v>14</v>
      </c>
      <c r="B150" s="145"/>
      <c r="C150" s="207">
        <f>SUM(C139:C149)</f>
        <v>4121863</v>
      </c>
      <c r="D150" s="207">
        <f>SUM(D139:D149)</f>
        <v>1073871</v>
      </c>
      <c r="E150" s="207">
        <f>SUM(E139:E149)</f>
        <v>1312742</v>
      </c>
      <c r="F150" s="143">
        <f>(+D150-E150)/E150</f>
        <v>-0.18196340179563084</v>
      </c>
      <c r="G150" s="217">
        <f>D150/C150</f>
        <v>0.2605304931289565</v>
      </c>
      <c r="H150" s="123"/>
    </row>
    <row r="151" spans="1:8" ht="15.75" customHeight="1" thickTop="1">
      <c r="A151" s="130"/>
      <c r="B151" s="134"/>
      <c r="C151" s="204"/>
      <c r="D151" s="204"/>
      <c r="E151" s="204"/>
      <c r="F151" s="132"/>
      <c r="G151" s="218"/>
      <c r="H151" s="123"/>
    </row>
    <row r="152" spans="1:8" ht="15.75">
      <c r="A152" s="130" t="s">
        <v>37</v>
      </c>
      <c r="B152" s="131">
        <f>DATE(2020,7,1)</f>
        <v>44013</v>
      </c>
      <c r="C152" s="204">
        <v>18681267</v>
      </c>
      <c r="D152" s="204">
        <v>4944391.55</v>
      </c>
      <c r="E152" s="204">
        <v>3678875.65</v>
      </c>
      <c r="F152" s="132">
        <f aca="true" t="shared" si="22" ref="F152:F160">(+D152-E152)/E152</f>
        <v>0.34399529106127846</v>
      </c>
      <c r="G152" s="215">
        <f aca="true" t="shared" si="23" ref="G152:G161">D152/C152</f>
        <v>0.2646711034107055</v>
      </c>
      <c r="H152" s="123"/>
    </row>
    <row r="153" spans="1:8" ht="15.75">
      <c r="A153" s="130"/>
      <c r="B153" s="131">
        <f>DATE(2020,8,1)</f>
        <v>44044</v>
      </c>
      <c r="C153" s="204">
        <v>17505825</v>
      </c>
      <c r="D153" s="204">
        <v>3489579.3</v>
      </c>
      <c r="E153" s="204">
        <v>3806318.41</v>
      </c>
      <c r="F153" s="132">
        <f t="shared" si="22"/>
        <v>-0.08321403410914337</v>
      </c>
      <c r="G153" s="215">
        <f t="shared" si="23"/>
        <v>0.19933818029141728</v>
      </c>
      <c r="H153" s="123"/>
    </row>
    <row r="154" spans="1:8" ht="15.75">
      <c r="A154" s="130"/>
      <c r="B154" s="131">
        <f>DATE(2020,9,1)</f>
        <v>44075</v>
      </c>
      <c r="C154" s="204">
        <v>17711205.5</v>
      </c>
      <c r="D154" s="204">
        <v>3694673.89</v>
      </c>
      <c r="E154" s="204">
        <v>3987675.53</v>
      </c>
      <c r="F154" s="132">
        <f t="shared" si="22"/>
        <v>-0.0734768006563462</v>
      </c>
      <c r="G154" s="215">
        <f t="shared" si="23"/>
        <v>0.20860657339219513</v>
      </c>
      <c r="H154" s="123"/>
    </row>
    <row r="155" spans="1:8" ht="15.75">
      <c r="A155" s="130"/>
      <c r="B155" s="131">
        <f>DATE(2020,10,1)</f>
        <v>44105</v>
      </c>
      <c r="C155" s="204">
        <v>17114468.25</v>
      </c>
      <c r="D155" s="204">
        <v>4159604.05</v>
      </c>
      <c r="E155" s="204">
        <v>3485177.78</v>
      </c>
      <c r="F155" s="132">
        <f t="shared" si="22"/>
        <v>0.1935127309344891</v>
      </c>
      <c r="G155" s="215">
        <f t="shared" si="23"/>
        <v>0.24304605841317914</v>
      </c>
      <c r="H155" s="123"/>
    </row>
    <row r="156" spans="1:8" ht="15.75">
      <c r="A156" s="130"/>
      <c r="B156" s="131">
        <f>DATE(2020,11,1)</f>
        <v>44136</v>
      </c>
      <c r="C156" s="204">
        <v>17014102</v>
      </c>
      <c r="D156" s="204">
        <v>3752761.48</v>
      </c>
      <c r="E156" s="204">
        <v>3099140.29</v>
      </c>
      <c r="F156" s="132">
        <f t="shared" si="22"/>
        <v>0.21090403429268442</v>
      </c>
      <c r="G156" s="215">
        <f t="shared" si="23"/>
        <v>0.22056770789313476</v>
      </c>
      <c r="H156" s="123"/>
    </row>
    <row r="157" spans="1:8" ht="15.75">
      <c r="A157" s="130"/>
      <c r="B157" s="131">
        <f>DATE(2020,12,1)</f>
        <v>44166</v>
      </c>
      <c r="C157" s="204">
        <v>18034169</v>
      </c>
      <c r="D157" s="204">
        <v>4490962</v>
      </c>
      <c r="E157" s="204">
        <v>4022599</v>
      </c>
      <c r="F157" s="132">
        <f t="shared" si="22"/>
        <v>0.1164329330365766</v>
      </c>
      <c r="G157" s="215">
        <f t="shared" si="23"/>
        <v>0.24902516994267937</v>
      </c>
      <c r="H157" s="123"/>
    </row>
    <row r="158" spans="1:8" ht="15.75">
      <c r="A158" s="130"/>
      <c r="B158" s="131">
        <f>DATE(2021,1,1)</f>
        <v>44197</v>
      </c>
      <c r="C158" s="204">
        <v>20239790</v>
      </c>
      <c r="D158" s="204">
        <v>4702074.91</v>
      </c>
      <c r="E158" s="204">
        <v>3993751.63</v>
      </c>
      <c r="F158" s="132">
        <f t="shared" si="22"/>
        <v>0.17735786939760204</v>
      </c>
      <c r="G158" s="215">
        <f t="shared" si="23"/>
        <v>0.23231836446919657</v>
      </c>
      <c r="H158" s="123"/>
    </row>
    <row r="159" spans="1:8" ht="15.75">
      <c r="A159" s="130"/>
      <c r="B159" s="131">
        <f>DATE(2021,2,1)</f>
        <v>44228</v>
      </c>
      <c r="C159" s="204">
        <v>19398778</v>
      </c>
      <c r="D159" s="204">
        <v>4573683.54</v>
      </c>
      <c r="E159" s="204">
        <v>3495544.26</v>
      </c>
      <c r="F159" s="132">
        <f t="shared" si="22"/>
        <v>0.308432449944147</v>
      </c>
      <c r="G159" s="215">
        <f t="shared" si="23"/>
        <v>0.2357717346938039</v>
      </c>
      <c r="H159" s="123"/>
    </row>
    <row r="160" spans="1:8" ht="15.75">
      <c r="A160" s="130"/>
      <c r="B160" s="131">
        <f>DATE(2021,3,1)</f>
        <v>44256</v>
      </c>
      <c r="C160" s="204">
        <v>22033262</v>
      </c>
      <c r="D160" s="204">
        <v>4732473.02</v>
      </c>
      <c r="E160" s="204">
        <v>2577359.47</v>
      </c>
      <c r="F160" s="132">
        <f t="shared" si="22"/>
        <v>0.8361711181870952</v>
      </c>
      <c r="G160" s="215">
        <f t="shared" si="23"/>
        <v>0.21478767056825265</v>
      </c>
      <c r="H160" s="123"/>
    </row>
    <row r="161" spans="1:8" ht="15.75">
      <c r="A161" s="130"/>
      <c r="B161" s="131">
        <f>DATE(2021,4,1)</f>
        <v>44287</v>
      </c>
      <c r="C161" s="204">
        <v>21031148</v>
      </c>
      <c r="D161" s="204">
        <v>4209870.96</v>
      </c>
      <c r="E161" s="204">
        <v>0</v>
      </c>
      <c r="F161" s="132">
        <v>1</v>
      </c>
      <c r="G161" s="215">
        <f t="shared" si="23"/>
        <v>0.2001731412854876</v>
      </c>
      <c r="H161" s="123"/>
    </row>
    <row r="162" spans="1:8" ht="15.75" thickBot="1">
      <c r="A162" s="133"/>
      <c r="B162" s="134"/>
      <c r="C162" s="204"/>
      <c r="D162" s="204"/>
      <c r="E162" s="204"/>
      <c r="F162" s="132"/>
      <c r="G162" s="215"/>
      <c r="H162" s="123"/>
    </row>
    <row r="163" spans="1:8" ht="17.25" thickBot="1" thickTop="1">
      <c r="A163" s="141" t="s">
        <v>14</v>
      </c>
      <c r="B163" s="142"/>
      <c r="C163" s="206">
        <f>SUM(C152:C162)</f>
        <v>188764014.75</v>
      </c>
      <c r="D163" s="207">
        <f>SUM(D152:D162)</f>
        <v>42750074.699999996</v>
      </c>
      <c r="E163" s="206">
        <f>SUM(E152:E162)</f>
        <v>32146442.019999996</v>
      </c>
      <c r="F163" s="143">
        <f>(+D163-E163)/E163</f>
        <v>0.329854006032858</v>
      </c>
      <c r="G163" s="217">
        <f>D163/C163</f>
        <v>0.22647364624353009</v>
      </c>
      <c r="H163" s="123"/>
    </row>
    <row r="164" spans="1:8" ht="15.75" customHeight="1" thickTop="1">
      <c r="A164" s="130"/>
      <c r="B164" s="134"/>
      <c r="C164" s="204"/>
      <c r="D164" s="204"/>
      <c r="E164" s="204"/>
      <c r="F164" s="132"/>
      <c r="G164" s="218"/>
      <c r="H164" s="123"/>
    </row>
    <row r="165" spans="1:8" ht="15.75">
      <c r="A165" s="130" t="s">
        <v>58</v>
      </c>
      <c r="B165" s="131">
        <f>DATE(2020,7,1)</f>
        <v>44013</v>
      </c>
      <c r="C165" s="204">
        <v>674370</v>
      </c>
      <c r="D165" s="204">
        <v>155770.5</v>
      </c>
      <c r="E165" s="204">
        <v>102948</v>
      </c>
      <c r="F165" s="132">
        <f aca="true" t="shared" si="24" ref="F165:F173">(+D165-E165)/E165</f>
        <v>0.5130988460193495</v>
      </c>
      <c r="G165" s="215">
        <f aca="true" t="shared" si="25" ref="G165:G174">D165/C165</f>
        <v>0.23098669869656124</v>
      </c>
      <c r="H165" s="123"/>
    </row>
    <row r="166" spans="1:8" ht="15.75">
      <c r="A166" s="130"/>
      <c r="B166" s="131">
        <f>DATE(2020,8,1)</f>
        <v>44044</v>
      </c>
      <c r="C166" s="204">
        <v>698636</v>
      </c>
      <c r="D166" s="204">
        <v>187855</v>
      </c>
      <c r="E166" s="204">
        <v>208443.5</v>
      </c>
      <c r="F166" s="132">
        <f t="shared" si="24"/>
        <v>-0.09877256906547817</v>
      </c>
      <c r="G166" s="215">
        <f t="shared" si="25"/>
        <v>0.2688882336438431</v>
      </c>
      <c r="H166" s="123"/>
    </row>
    <row r="167" spans="1:8" ht="15.75">
      <c r="A167" s="130"/>
      <c r="B167" s="131">
        <f>DATE(2020,9,1)</f>
        <v>44075</v>
      </c>
      <c r="C167" s="204">
        <v>619816</v>
      </c>
      <c r="D167" s="204">
        <v>175772.5</v>
      </c>
      <c r="E167" s="204">
        <v>206651.5</v>
      </c>
      <c r="F167" s="132">
        <f t="shared" si="24"/>
        <v>-0.14942548203134262</v>
      </c>
      <c r="G167" s="215">
        <f t="shared" si="25"/>
        <v>0.2835881939156137</v>
      </c>
      <c r="H167" s="123"/>
    </row>
    <row r="168" spans="1:8" ht="15.75">
      <c r="A168" s="130"/>
      <c r="B168" s="131">
        <f>DATE(2020,10,1)</f>
        <v>44105</v>
      </c>
      <c r="C168" s="204">
        <v>525356</v>
      </c>
      <c r="D168" s="204">
        <v>128393</v>
      </c>
      <c r="E168" s="204">
        <v>159975</v>
      </c>
      <c r="F168" s="132">
        <f t="shared" si="24"/>
        <v>-0.19741834661665886</v>
      </c>
      <c r="G168" s="215">
        <f t="shared" si="25"/>
        <v>0.2443923739331044</v>
      </c>
      <c r="H168" s="123"/>
    </row>
    <row r="169" spans="1:8" ht="15.75">
      <c r="A169" s="130"/>
      <c r="B169" s="131">
        <f>DATE(2020,11,1)</f>
        <v>44136</v>
      </c>
      <c r="C169" s="204">
        <v>526166</v>
      </c>
      <c r="D169" s="204">
        <v>162751.5</v>
      </c>
      <c r="E169" s="204">
        <v>185433.5</v>
      </c>
      <c r="F169" s="132">
        <f t="shared" si="24"/>
        <v>-0.12231878274421827</v>
      </c>
      <c r="G169" s="215">
        <f t="shared" si="25"/>
        <v>0.3093158812998179</v>
      </c>
      <c r="H169" s="123"/>
    </row>
    <row r="170" spans="1:8" ht="15.75">
      <c r="A170" s="130"/>
      <c r="B170" s="131">
        <f>DATE(2020,12,1)</f>
        <v>44166</v>
      </c>
      <c r="C170" s="204">
        <v>502248</v>
      </c>
      <c r="D170" s="204">
        <v>165476</v>
      </c>
      <c r="E170" s="204">
        <v>198005</v>
      </c>
      <c r="F170" s="132">
        <f t="shared" si="24"/>
        <v>-0.1642837302088331</v>
      </c>
      <c r="G170" s="215">
        <f t="shared" si="25"/>
        <v>0.32947069973399595</v>
      </c>
      <c r="H170" s="123"/>
    </row>
    <row r="171" spans="1:8" ht="15.75">
      <c r="A171" s="130"/>
      <c r="B171" s="131">
        <f>DATE(2021,1,1)</f>
        <v>44197</v>
      </c>
      <c r="C171" s="204">
        <v>482408</v>
      </c>
      <c r="D171" s="204">
        <v>104168.5</v>
      </c>
      <c r="E171" s="204">
        <v>233910.5</v>
      </c>
      <c r="F171" s="132">
        <f t="shared" si="24"/>
        <v>-0.5546651390168462</v>
      </c>
      <c r="G171" s="215">
        <f t="shared" si="25"/>
        <v>0.21593443723984676</v>
      </c>
      <c r="H171" s="123"/>
    </row>
    <row r="172" spans="1:8" ht="15.75">
      <c r="A172" s="130"/>
      <c r="B172" s="131">
        <f>DATE(2021,2,1)</f>
        <v>44228</v>
      </c>
      <c r="C172" s="204">
        <v>393631</v>
      </c>
      <c r="D172" s="204">
        <v>114089.5</v>
      </c>
      <c r="E172" s="204">
        <v>194088.5</v>
      </c>
      <c r="F172" s="132">
        <f t="shared" si="24"/>
        <v>-0.41217794974972755</v>
      </c>
      <c r="G172" s="215">
        <f t="shared" si="25"/>
        <v>0.289838706809169</v>
      </c>
      <c r="H172" s="123"/>
    </row>
    <row r="173" spans="1:8" ht="15.75">
      <c r="A173" s="130"/>
      <c r="B173" s="131">
        <f>DATE(2021,3,1)</f>
        <v>44256</v>
      </c>
      <c r="C173" s="204">
        <v>572053</v>
      </c>
      <c r="D173" s="204">
        <v>155568.5</v>
      </c>
      <c r="E173" s="204">
        <v>137240.5</v>
      </c>
      <c r="F173" s="132">
        <f t="shared" si="24"/>
        <v>0.13354658428087918</v>
      </c>
      <c r="G173" s="215">
        <f t="shared" si="25"/>
        <v>0.27194770414629416</v>
      </c>
      <c r="H173" s="123"/>
    </row>
    <row r="174" spans="1:8" ht="15.75">
      <c r="A174" s="130"/>
      <c r="B174" s="131">
        <f>DATE(2021,4,1)</f>
        <v>44287</v>
      </c>
      <c r="C174" s="204">
        <v>647775</v>
      </c>
      <c r="D174" s="204">
        <v>131890</v>
      </c>
      <c r="E174" s="204">
        <v>0</v>
      </c>
      <c r="F174" s="132">
        <v>1</v>
      </c>
      <c r="G174" s="215">
        <f t="shared" si="25"/>
        <v>0.20360464667515726</v>
      </c>
      <c r="H174" s="123"/>
    </row>
    <row r="175" spans="1:8" ht="15.75" thickBot="1">
      <c r="A175" s="133"/>
      <c r="B175" s="134"/>
      <c r="C175" s="204"/>
      <c r="D175" s="204"/>
      <c r="E175" s="204"/>
      <c r="F175" s="132"/>
      <c r="G175" s="215"/>
      <c r="H175" s="123"/>
    </row>
    <row r="176" spans="1:8" ht="17.25" thickBot="1" thickTop="1">
      <c r="A176" s="135" t="s">
        <v>14</v>
      </c>
      <c r="B176" s="136"/>
      <c r="C176" s="201">
        <f>SUM(C165:C175)</f>
        <v>5642459</v>
      </c>
      <c r="D176" s="207">
        <f>SUM(D165:D175)</f>
        <v>1481735</v>
      </c>
      <c r="E176" s="207">
        <f>SUM(E165:E175)</f>
        <v>1626696</v>
      </c>
      <c r="F176" s="143">
        <f>(+D176-E176)/E176</f>
        <v>-0.08911376188298244</v>
      </c>
      <c r="G176" s="217">
        <f>D176/C176</f>
        <v>0.2626044779412664</v>
      </c>
      <c r="H176" s="123"/>
    </row>
    <row r="177" spans="1:8" ht="16.5" thickBot="1" thickTop="1">
      <c r="A177" s="146"/>
      <c r="B177" s="139"/>
      <c r="C177" s="205"/>
      <c r="D177" s="205"/>
      <c r="E177" s="205"/>
      <c r="F177" s="140"/>
      <c r="G177" s="216"/>
      <c r="H177" s="123"/>
    </row>
    <row r="178" spans="1:8" ht="17.25" thickBot="1" thickTop="1">
      <c r="A178" s="147" t="s">
        <v>38</v>
      </c>
      <c r="B178" s="121"/>
      <c r="C178" s="201">
        <f>C176+C163+C124+C98+C72+C46+C20+C59+C150+C33+C111+C137+C85</f>
        <v>859530349.55</v>
      </c>
      <c r="D178" s="201">
        <f>D176+D163+D124+D98+D72+D46+D20+D59+D150+D33+D111+D137+D85</f>
        <v>182457522.75000003</v>
      </c>
      <c r="E178" s="201">
        <f>E176+E163+E124+E98+E72+E46+E20+E59+E150+E33+E111+E137+E85</f>
        <v>182315669.39</v>
      </c>
      <c r="F178" s="137">
        <f>(+D178-E178)/E178</f>
        <v>0.0007780645540488291</v>
      </c>
      <c r="G178" s="212">
        <f>D178/C178</f>
        <v>0.21227583510637427</v>
      </c>
      <c r="H178" s="123"/>
    </row>
    <row r="179" spans="1:8" ht="17.25" thickBot="1" thickTop="1">
      <c r="A179" s="147"/>
      <c r="B179" s="121"/>
      <c r="C179" s="201"/>
      <c r="D179" s="201"/>
      <c r="E179" s="201"/>
      <c r="F179" s="137"/>
      <c r="G179" s="212"/>
      <c r="H179" s="123"/>
    </row>
    <row r="180" spans="1:8" ht="17.25" thickBot="1" thickTop="1">
      <c r="A180" s="265" t="s">
        <v>39</v>
      </c>
      <c r="B180" s="266"/>
      <c r="C180" s="206">
        <f>SUM(C18+C31+C44+C57+C70+C83+C96+C109+C122+C135+C148+C161+C174)</f>
        <v>99345267</v>
      </c>
      <c r="D180" s="206">
        <f>SUM(D18+D31+D44+D57+D70+D83+D96+D109+D122+D135+D148+D161+D174)</f>
        <v>20993124.349999998</v>
      </c>
      <c r="E180" s="206">
        <f>SUM(E18+E31+E44+E57+E70+E83+E96+E109+E122+E135+E148+E161+E174)</f>
        <v>0</v>
      </c>
      <c r="F180" s="143">
        <v>1</v>
      </c>
      <c r="G180" s="217">
        <f>D180/C180</f>
        <v>0.21131479117168206</v>
      </c>
      <c r="H180" s="123"/>
    </row>
    <row r="181" spans="1:8" ht="16.5" thickTop="1">
      <c r="A181" s="256"/>
      <c r="B181" s="258"/>
      <c r="C181" s="259"/>
      <c r="D181" s="259"/>
      <c r="E181" s="259"/>
      <c r="F181" s="260"/>
      <c r="G181" s="257"/>
      <c r="H181" s="257"/>
    </row>
    <row r="182" spans="1:8" ht="15.75">
      <c r="A182" s="289" t="s">
        <v>76</v>
      </c>
      <c r="B182" s="258"/>
      <c r="C182" s="259"/>
      <c r="D182" s="259"/>
      <c r="E182" s="259"/>
      <c r="F182" s="260"/>
      <c r="G182" s="257"/>
      <c r="H182" s="257"/>
    </row>
    <row r="183" spans="1:7" ht="18.75">
      <c r="A183" s="263" t="s">
        <v>40</v>
      </c>
      <c r="B183" s="117"/>
      <c r="C183" s="208"/>
      <c r="D183" s="208"/>
      <c r="E183" s="208"/>
      <c r="F183" s="148"/>
      <c r="G183" s="220"/>
    </row>
    <row r="184" ht="15.75">
      <c r="A184" s="7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4" manualBreakCount="4">
    <brk id="46" max="7" man="1"/>
    <brk id="85" max="7" man="1"/>
    <brk id="124" max="7" man="1"/>
    <brk id="16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84"/>
  <sheetViews>
    <sheetView zoomScalePageLayoutView="0" workbookViewId="0" topLeftCell="A1">
      <selection activeCell="A6" sqref="A6"/>
    </sheetView>
  </sheetViews>
  <sheetFormatPr defaultColWidth="8.88671875" defaultRowHeight="15"/>
  <cols>
    <col min="1" max="1" width="27.6640625" style="0" customWidth="1"/>
    <col min="2" max="2" width="9.6640625" style="0" customWidth="1"/>
    <col min="3" max="3" width="18.3359375" style="0" customWidth="1"/>
    <col min="4" max="4" width="15.77734375" style="0" customWidth="1"/>
    <col min="5" max="5" width="15.6640625" style="0" customWidth="1"/>
    <col min="6" max="6" width="8.6640625" style="0" customWidth="1"/>
    <col min="7" max="7" width="9.6640625" style="0" customWidth="1"/>
    <col min="8" max="8" width="10.6640625" style="0" customWidth="1"/>
  </cols>
  <sheetData>
    <row r="1" spans="1:8" ht="18">
      <c r="A1" s="149" t="s">
        <v>0</v>
      </c>
      <c r="B1" s="150"/>
      <c r="C1" s="222"/>
      <c r="D1" s="222"/>
      <c r="E1" s="222"/>
      <c r="F1" s="150"/>
      <c r="G1" s="234"/>
      <c r="H1" s="234"/>
    </row>
    <row r="2" spans="1:8" ht="18.75">
      <c r="A2" s="153" t="s">
        <v>61</v>
      </c>
      <c r="B2" s="150"/>
      <c r="C2" s="222"/>
      <c r="D2" s="222"/>
      <c r="E2" s="222"/>
      <c r="F2" s="150"/>
      <c r="G2" s="234"/>
      <c r="H2" s="234"/>
    </row>
    <row r="3" spans="1:8" ht="18">
      <c r="A3" s="149" t="s">
        <v>42</v>
      </c>
      <c r="B3" s="150"/>
      <c r="C3" s="222"/>
      <c r="D3" s="222"/>
      <c r="E3" s="222"/>
      <c r="F3" s="150"/>
      <c r="G3" s="234"/>
      <c r="H3" s="234"/>
    </row>
    <row r="4" spans="1:8" ht="18">
      <c r="A4" s="285" t="s">
        <v>77</v>
      </c>
      <c r="B4" s="150"/>
      <c r="C4" s="222"/>
      <c r="D4" s="222"/>
      <c r="E4" s="222"/>
      <c r="F4" s="150"/>
      <c r="G4" s="234"/>
      <c r="H4" s="234"/>
    </row>
    <row r="5" spans="1:8" ht="15">
      <c r="A5" s="286" t="s">
        <v>72</v>
      </c>
      <c r="B5" s="150"/>
      <c r="C5" s="222"/>
      <c r="D5" s="222"/>
      <c r="E5" s="222"/>
      <c r="F5" s="150"/>
      <c r="G5" s="234"/>
      <c r="H5" s="234"/>
    </row>
    <row r="6" spans="1:8" ht="16.5" thickBot="1">
      <c r="A6" s="150"/>
      <c r="B6" s="150"/>
      <c r="C6" s="222"/>
      <c r="D6" s="222"/>
      <c r="E6" s="222"/>
      <c r="F6" s="150"/>
      <c r="G6" s="235" t="s">
        <v>43</v>
      </c>
      <c r="H6" s="235"/>
    </row>
    <row r="7" spans="1:8" ht="16.5" thickTop="1">
      <c r="A7" s="154"/>
      <c r="B7" s="155" t="s">
        <v>2</v>
      </c>
      <c r="C7" s="223" t="s">
        <v>69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</row>
    <row r="8" spans="1:8" ht="16.5" thickBot="1">
      <c r="A8" s="158" t="s">
        <v>5</v>
      </c>
      <c r="B8" s="159" t="s">
        <v>6</v>
      </c>
      <c r="C8" s="224" t="s">
        <v>45</v>
      </c>
      <c r="D8" s="224" t="s">
        <v>70</v>
      </c>
      <c r="E8" s="224" t="s">
        <v>70</v>
      </c>
      <c r="F8" s="160" t="s">
        <v>8</v>
      </c>
      <c r="G8" s="238" t="s">
        <v>35</v>
      </c>
      <c r="H8" s="254" t="s">
        <v>47</v>
      </c>
    </row>
    <row r="9" spans="1:8" ht="16.5" thickTop="1">
      <c r="A9" s="161"/>
      <c r="B9" s="162"/>
      <c r="C9" s="225"/>
      <c r="D9" s="225"/>
      <c r="E9" s="225"/>
      <c r="F9" s="163"/>
      <c r="G9" s="239"/>
      <c r="H9" s="240"/>
    </row>
    <row r="10" spans="1:8" ht="15.75">
      <c r="A10" s="164" t="s">
        <v>36</v>
      </c>
      <c r="B10" s="165">
        <f>DATE(20,7,1)</f>
        <v>7488</v>
      </c>
      <c r="C10" s="226">
        <v>0</v>
      </c>
      <c r="D10" s="226">
        <v>0</v>
      </c>
      <c r="E10" s="226">
        <v>0</v>
      </c>
      <c r="F10" s="166">
        <v>0</v>
      </c>
      <c r="G10" s="241">
        <v>0</v>
      </c>
      <c r="H10" s="242">
        <v>0</v>
      </c>
    </row>
    <row r="11" spans="1:8" ht="15.75">
      <c r="A11" s="164"/>
      <c r="B11" s="165">
        <f>DATE(20,8,1)</f>
        <v>7519</v>
      </c>
      <c r="C11" s="226">
        <v>0</v>
      </c>
      <c r="D11" s="226">
        <v>0</v>
      </c>
      <c r="E11" s="226">
        <v>0</v>
      </c>
      <c r="F11" s="166">
        <v>0</v>
      </c>
      <c r="G11" s="241">
        <v>0</v>
      </c>
      <c r="H11" s="242">
        <v>0</v>
      </c>
    </row>
    <row r="12" spans="1:8" ht="15.75">
      <c r="A12" s="164"/>
      <c r="B12" s="165">
        <f>DATE(20,9,1)</f>
        <v>7550</v>
      </c>
      <c r="C12" s="226">
        <v>0</v>
      </c>
      <c r="D12" s="226">
        <v>0</v>
      </c>
      <c r="E12" s="226">
        <v>0</v>
      </c>
      <c r="F12" s="166">
        <v>0</v>
      </c>
      <c r="G12" s="241">
        <v>0</v>
      </c>
      <c r="H12" s="242">
        <v>0</v>
      </c>
    </row>
    <row r="13" spans="1:8" ht="15.75">
      <c r="A13" s="164"/>
      <c r="B13" s="165">
        <f>DATE(20,10,1)</f>
        <v>7580</v>
      </c>
      <c r="C13" s="226">
        <v>0</v>
      </c>
      <c r="D13" s="226">
        <v>0</v>
      </c>
      <c r="E13" s="226">
        <v>0</v>
      </c>
      <c r="F13" s="166">
        <v>0</v>
      </c>
      <c r="G13" s="241">
        <v>0</v>
      </c>
      <c r="H13" s="242">
        <v>0</v>
      </c>
    </row>
    <row r="14" spans="1:8" ht="15.75">
      <c r="A14" s="164"/>
      <c r="B14" s="165">
        <f>DATE(20,11,1)</f>
        <v>7611</v>
      </c>
      <c r="C14" s="226">
        <v>0</v>
      </c>
      <c r="D14" s="226">
        <v>0</v>
      </c>
      <c r="E14" s="226">
        <v>0</v>
      </c>
      <c r="F14" s="166">
        <v>0</v>
      </c>
      <c r="G14" s="241">
        <v>0</v>
      </c>
      <c r="H14" s="242">
        <v>0</v>
      </c>
    </row>
    <row r="15" spans="1:8" ht="15.75">
      <c r="A15" s="164"/>
      <c r="B15" s="165">
        <f>DATE(20,12,1)</f>
        <v>7641</v>
      </c>
      <c r="C15" s="226">
        <v>0</v>
      </c>
      <c r="D15" s="226">
        <v>0</v>
      </c>
      <c r="E15" s="226">
        <v>0</v>
      </c>
      <c r="F15" s="166">
        <v>0</v>
      </c>
      <c r="G15" s="241">
        <v>0</v>
      </c>
      <c r="H15" s="242">
        <v>0</v>
      </c>
    </row>
    <row r="16" spans="1:8" ht="15.75">
      <c r="A16" s="164"/>
      <c r="B16" s="165">
        <f>DATE(21,1,1)</f>
        <v>7672</v>
      </c>
      <c r="C16" s="226">
        <v>0</v>
      </c>
      <c r="D16" s="226">
        <v>0</v>
      </c>
      <c r="E16" s="226">
        <v>0</v>
      </c>
      <c r="F16" s="166">
        <v>0</v>
      </c>
      <c r="G16" s="241">
        <v>0</v>
      </c>
      <c r="H16" s="242">
        <v>0</v>
      </c>
    </row>
    <row r="17" spans="1:8" ht="15.75">
      <c r="A17" s="164"/>
      <c r="B17" s="165">
        <f>DATE(21,2,1)</f>
        <v>7703</v>
      </c>
      <c r="C17" s="226">
        <v>0</v>
      </c>
      <c r="D17" s="226">
        <v>0</v>
      </c>
      <c r="E17" s="226">
        <v>0</v>
      </c>
      <c r="F17" s="166">
        <v>0</v>
      </c>
      <c r="G17" s="241">
        <v>0</v>
      </c>
      <c r="H17" s="242">
        <v>0</v>
      </c>
    </row>
    <row r="18" spans="1:8" ht="15.75">
      <c r="A18" s="164"/>
      <c r="B18" s="165">
        <f>DATE(21,3,1)</f>
        <v>7731</v>
      </c>
      <c r="C18" s="226">
        <v>0</v>
      </c>
      <c r="D18" s="226">
        <v>0</v>
      </c>
      <c r="E18" s="226">
        <v>0</v>
      </c>
      <c r="F18" s="166">
        <v>0</v>
      </c>
      <c r="G18" s="241">
        <v>0</v>
      </c>
      <c r="H18" s="242">
        <v>0</v>
      </c>
    </row>
    <row r="19" spans="1:8" ht="15.75">
      <c r="A19" s="164"/>
      <c r="B19" s="165">
        <f>DATE(21,4,1)</f>
        <v>7762</v>
      </c>
      <c r="C19" s="226">
        <v>0</v>
      </c>
      <c r="D19" s="226">
        <v>0</v>
      </c>
      <c r="E19" s="226">
        <v>0</v>
      </c>
      <c r="F19" s="166">
        <v>0</v>
      </c>
      <c r="G19" s="241">
        <v>0</v>
      </c>
      <c r="H19" s="242">
        <v>0</v>
      </c>
    </row>
    <row r="20" spans="1:8" ht="15.75" thickBot="1">
      <c r="A20" s="167"/>
      <c r="B20" s="168"/>
      <c r="C20" s="226"/>
      <c r="D20" s="226"/>
      <c r="E20" s="226"/>
      <c r="F20" s="166"/>
      <c r="G20" s="241"/>
      <c r="H20" s="242"/>
    </row>
    <row r="21" spans="1:8" ht="17.25" thickBot="1" thickTop="1">
      <c r="A21" s="169" t="s">
        <v>14</v>
      </c>
      <c r="B21" s="155"/>
      <c r="C21" s="223">
        <f>SUM(C10:C20)</f>
        <v>0</v>
      </c>
      <c r="D21" s="223">
        <f>SUM(D10:D20)</f>
        <v>0</v>
      </c>
      <c r="E21" s="223">
        <f>SUM(E10:E20)</f>
        <v>0</v>
      </c>
      <c r="F21" s="170">
        <v>0</v>
      </c>
      <c r="G21" s="236">
        <v>0</v>
      </c>
      <c r="H21" s="237">
        <v>0</v>
      </c>
    </row>
    <row r="22" spans="1:8" ht="15.75" thickTop="1">
      <c r="A22" s="171"/>
      <c r="B22" s="172"/>
      <c r="C22" s="227"/>
      <c r="D22" s="227"/>
      <c r="E22" s="227"/>
      <c r="F22" s="173"/>
      <c r="G22" s="243"/>
      <c r="H22" s="244"/>
    </row>
    <row r="23" spans="1:8" ht="15.75">
      <c r="A23" s="19" t="s">
        <v>48</v>
      </c>
      <c r="B23" s="165">
        <f>DATE(20,7,1)</f>
        <v>7488</v>
      </c>
      <c r="C23" s="226">
        <v>0</v>
      </c>
      <c r="D23" s="226">
        <v>0</v>
      </c>
      <c r="E23" s="226">
        <v>0</v>
      </c>
      <c r="F23" s="166">
        <v>0</v>
      </c>
      <c r="G23" s="241">
        <v>0</v>
      </c>
      <c r="H23" s="242">
        <v>0</v>
      </c>
    </row>
    <row r="24" spans="1:8" ht="15.75">
      <c r="A24" s="19"/>
      <c r="B24" s="165">
        <f>DATE(20,8,1)</f>
        <v>7519</v>
      </c>
      <c r="C24" s="226">
        <v>0</v>
      </c>
      <c r="D24" s="226">
        <v>0</v>
      </c>
      <c r="E24" s="226">
        <v>0</v>
      </c>
      <c r="F24" s="166">
        <v>0</v>
      </c>
      <c r="G24" s="241">
        <v>0</v>
      </c>
      <c r="H24" s="242">
        <v>0</v>
      </c>
    </row>
    <row r="25" spans="1:8" ht="15.75">
      <c r="A25" s="19"/>
      <c r="B25" s="165">
        <f>DATE(20,9,1)</f>
        <v>7550</v>
      </c>
      <c r="C25" s="226">
        <v>0</v>
      </c>
      <c r="D25" s="226">
        <v>0</v>
      </c>
      <c r="E25" s="226">
        <v>0</v>
      </c>
      <c r="F25" s="166">
        <v>0</v>
      </c>
      <c r="G25" s="241">
        <v>0</v>
      </c>
      <c r="H25" s="242">
        <v>0</v>
      </c>
    </row>
    <row r="26" spans="1:8" ht="15.75">
      <c r="A26" s="19"/>
      <c r="B26" s="165">
        <f>DATE(20,10,1)</f>
        <v>7580</v>
      </c>
      <c r="C26" s="226">
        <v>0</v>
      </c>
      <c r="D26" s="226">
        <v>0</v>
      </c>
      <c r="E26" s="226">
        <v>0</v>
      </c>
      <c r="F26" s="166">
        <v>0</v>
      </c>
      <c r="G26" s="241">
        <v>0</v>
      </c>
      <c r="H26" s="242">
        <v>0</v>
      </c>
    </row>
    <row r="27" spans="1:8" ht="15.75">
      <c r="A27" s="19"/>
      <c r="B27" s="165">
        <f>DATE(20,11,1)</f>
        <v>7611</v>
      </c>
      <c r="C27" s="226">
        <v>0</v>
      </c>
      <c r="D27" s="226">
        <v>0</v>
      </c>
      <c r="E27" s="226">
        <v>0</v>
      </c>
      <c r="F27" s="166">
        <v>0</v>
      </c>
      <c r="G27" s="241">
        <v>0</v>
      </c>
      <c r="H27" s="242">
        <v>0</v>
      </c>
    </row>
    <row r="28" spans="1:8" ht="15.75">
      <c r="A28" s="19"/>
      <c r="B28" s="165">
        <f>DATE(20,12,1)</f>
        <v>7641</v>
      </c>
      <c r="C28" s="226">
        <v>0</v>
      </c>
      <c r="D28" s="226">
        <v>0</v>
      </c>
      <c r="E28" s="226">
        <v>0</v>
      </c>
      <c r="F28" s="166">
        <v>0</v>
      </c>
      <c r="G28" s="241">
        <v>0</v>
      </c>
      <c r="H28" s="242">
        <v>0</v>
      </c>
    </row>
    <row r="29" spans="1:8" ht="15.75">
      <c r="A29" s="19"/>
      <c r="B29" s="165">
        <f>DATE(21,1,1)</f>
        <v>7672</v>
      </c>
      <c r="C29" s="226">
        <v>0</v>
      </c>
      <c r="D29" s="226">
        <v>0</v>
      </c>
      <c r="E29" s="226">
        <v>0</v>
      </c>
      <c r="F29" s="166">
        <v>0</v>
      </c>
      <c r="G29" s="241">
        <v>0</v>
      </c>
      <c r="H29" s="242">
        <v>0</v>
      </c>
    </row>
    <row r="30" spans="1:8" ht="15.75">
      <c r="A30" s="19"/>
      <c r="B30" s="165">
        <f>DATE(21,2,1)</f>
        <v>7703</v>
      </c>
      <c r="C30" s="226">
        <v>0</v>
      </c>
      <c r="D30" s="226">
        <v>0</v>
      </c>
      <c r="E30" s="226">
        <v>0</v>
      </c>
      <c r="F30" s="166">
        <v>0</v>
      </c>
      <c r="G30" s="241">
        <v>0</v>
      </c>
      <c r="H30" s="242">
        <v>0</v>
      </c>
    </row>
    <row r="31" spans="1:8" ht="15.75">
      <c r="A31" s="19"/>
      <c r="B31" s="165">
        <f>DATE(21,3,1)</f>
        <v>7731</v>
      </c>
      <c r="C31" s="226">
        <v>0</v>
      </c>
      <c r="D31" s="226">
        <v>0</v>
      </c>
      <c r="E31" s="226">
        <v>0</v>
      </c>
      <c r="F31" s="166">
        <v>0</v>
      </c>
      <c r="G31" s="241">
        <v>0</v>
      </c>
      <c r="H31" s="242">
        <v>0</v>
      </c>
    </row>
    <row r="32" spans="1:8" ht="15.75">
      <c r="A32" s="19"/>
      <c r="B32" s="165">
        <f>DATE(21,4,1)</f>
        <v>7762</v>
      </c>
      <c r="C32" s="226">
        <v>0</v>
      </c>
      <c r="D32" s="226">
        <v>0</v>
      </c>
      <c r="E32" s="226">
        <v>0</v>
      </c>
      <c r="F32" s="166">
        <v>0</v>
      </c>
      <c r="G32" s="241">
        <v>0</v>
      </c>
      <c r="H32" s="242">
        <v>0</v>
      </c>
    </row>
    <row r="33" spans="1:8" ht="15.75" thickBot="1">
      <c r="A33" s="167"/>
      <c r="B33" s="165"/>
      <c r="C33" s="226"/>
      <c r="D33" s="226"/>
      <c r="E33" s="226"/>
      <c r="F33" s="166"/>
      <c r="G33" s="241"/>
      <c r="H33" s="242"/>
    </row>
    <row r="34" spans="1:8" ht="17.25" thickBot="1" thickTop="1">
      <c r="A34" s="169" t="s">
        <v>14</v>
      </c>
      <c r="B34" s="155"/>
      <c r="C34" s="223">
        <f>SUM(C23:C33)</f>
        <v>0</v>
      </c>
      <c r="D34" s="223">
        <f>SUM(D23:D33)</f>
        <v>0</v>
      </c>
      <c r="E34" s="223">
        <f>SUM(E23:E33)</f>
        <v>0</v>
      </c>
      <c r="F34" s="170">
        <v>0</v>
      </c>
      <c r="G34" s="236">
        <v>0</v>
      </c>
      <c r="H34" s="237">
        <v>0</v>
      </c>
    </row>
    <row r="35" spans="1:8" ht="15.75" thickTop="1">
      <c r="A35" s="171"/>
      <c r="B35" s="172"/>
      <c r="C35" s="227"/>
      <c r="D35" s="227"/>
      <c r="E35" s="227"/>
      <c r="F35" s="173"/>
      <c r="G35" s="243"/>
      <c r="H35" s="244"/>
    </row>
    <row r="36" spans="1:8" ht="15.75">
      <c r="A36" s="19" t="s">
        <v>65</v>
      </c>
      <c r="B36" s="165">
        <f>DATE(20,7,1)</f>
        <v>7488</v>
      </c>
      <c r="C36" s="226">
        <v>0</v>
      </c>
      <c r="D36" s="226">
        <v>0</v>
      </c>
      <c r="E36" s="226">
        <v>0</v>
      </c>
      <c r="F36" s="166">
        <v>0</v>
      </c>
      <c r="G36" s="241">
        <v>0</v>
      </c>
      <c r="H36" s="242">
        <v>0</v>
      </c>
    </row>
    <row r="37" spans="1:8" ht="15.75">
      <c r="A37" s="19"/>
      <c r="B37" s="165">
        <f>DATE(20,8,1)</f>
        <v>7519</v>
      </c>
      <c r="C37" s="226">
        <v>0</v>
      </c>
      <c r="D37" s="226">
        <v>0</v>
      </c>
      <c r="E37" s="226">
        <v>0</v>
      </c>
      <c r="F37" s="166">
        <v>0</v>
      </c>
      <c r="G37" s="241">
        <v>0</v>
      </c>
      <c r="H37" s="242">
        <v>0</v>
      </c>
    </row>
    <row r="38" spans="1:8" ht="15.75">
      <c r="A38" s="19"/>
      <c r="B38" s="165">
        <f>DATE(20,9,1)</f>
        <v>7550</v>
      </c>
      <c r="C38" s="226">
        <v>0</v>
      </c>
      <c r="D38" s="226">
        <v>0</v>
      </c>
      <c r="E38" s="226">
        <v>0</v>
      </c>
      <c r="F38" s="166">
        <v>0</v>
      </c>
      <c r="G38" s="241">
        <v>0</v>
      </c>
      <c r="H38" s="242">
        <v>0</v>
      </c>
    </row>
    <row r="39" spans="1:8" ht="15.75">
      <c r="A39" s="19"/>
      <c r="B39" s="165">
        <f>DATE(20,10,1)</f>
        <v>7580</v>
      </c>
      <c r="C39" s="226">
        <v>0</v>
      </c>
      <c r="D39" s="226">
        <v>0</v>
      </c>
      <c r="E39" s="226">
        <v>0</v>
      </c>
      <c r="F39" s="166">
        <v>0</v>
      </c>
      <c r="G39" s="241">
        <v>0</v>
      </c>
      <c r="H39" s="242">
        <v>0</v>
      </c>
    </row>
    <row r="40" spans="1:8" ht="15.75">
      <c r="A40" s="19"/>
      <c r="B40" s="165">
        <f>DATE(20,11,1)</f>
        <v>7611</v>
      </c>
      <c r="C40" s="226">
        <v>0</v>
      </c>
      <c r="D40" s="226">
        <v>0</v>
      </c>
      <c r="E40" s="226">
        <v>0</v>
      </c>
      <c r="F40" s="166">
        <v>0</v>
      </c>
      <c r="G40" s="241">
        <v>0</v>
      </c>
      <c r="H40" s="242">
        <v>0</v>
      </c>
    </row>
    <row r="41" spans="1:8" ht="15.75">
      <c r="A41" s="19"/>
      <c r="B41" s="165">
        <f>DATE(20,12,1)</f>
        <v>7641</v>
      </c>
      <c r="C41" s="226">
        <v>0</v>
      </c>
      <c r="D41" s="226">
        <v>0</v>
      </c>
      <c r="E41" s="226">
        <v>0</v>
      </c>
      <c r="F41" s="166">
        <v>0</v>
      </c>
      <c r="G41" s="241">
        <v>0</v>
      </c>
      <c r="H41" s="242">
        <v>0</v>
      </c>
    </row>
    <row r="42" spans="1:8" ht="15.75">
      <c r="A42" s="19"/>
      <c r="B42" s="165">
        <f>DATE(21,1,1)</f>
        <v>7672</v>
      </c>
      <c r="C42" s="226">
        <v>0</v>
      </c>
      <c r="D42" s="226">
        <v>0</v>
      </c>
      <c r="E42" s="226">
        <v>0</v>
      </c>
      <c r="F42" s="166">
        <v>0</v>
      </c>
      <c r="G42" s="241">
        <v>0</v>
      </c>
      <c r="H42" s="242">
        <v>0</v>
      </c>
    </row>
    <row r="43" spans="1:8" ht="15.75">
      <c r="A43" s="19"/>
      <c r="B43" s="165">
        <f>DATE(21,2,1)</f>
        <v>7703</v>
      </c>
      <c r="C43" s="226">
        <v>0</v>
      </c>
      <c r="D43" s="226">
        <v>0</v>
      </c>
      <c r="E43" s="226">
        <v>0</v>
      </c>
      <c r="F43" s="166">
        <v>0</v>
      </c>
      <c r="G43" s="241">
        <v>0</v>
      </c>
      <c r="H43" s="242">
        <v>0</v>
      </c>
    </row>
    <row r="44" spans="1:8" ht="15.75">
      <c r="A44" s="19"/>
      <c r="B44" s="165">
        <f>DATE(21,3,1)</f>
        <v>7731</v>
      </c>
      <c r="C44" s="226">
        <v>0</v>
      </c>
      <c r="D44" s="226">
        <v>0</v>
      </c>
      <c r="E44" s="226">
        <v>0</v>
      </c>
      <c r="F44" s="166">
        <v>0</v>
      </c>
      <c r="G44" s="241">
        <v>0</v>
      </c>
      <c r="H44" s="242">
        <v>0</v>
      </c>
    </row>
    <row r="45" spans="1:8" ht="15.75">
      <c r="A45" s="19"/>
      <c r="B45" s="165">
        <f>DATE(21,4,1)</f>
        <v>7762</v>
      </c>
      <c r="C45" s="226">
        <v>0</v>
      </c>
      <c r="D45" s="226">
        <v>0</v>
      </c>
      <c r="E45" s="226">
        <v>0</v>
      </c>
      <c r="F45" s="166">
        <v>0</v>
      </c>
      <c r="G45" s="241">
        <v>0</v>
      </c>
      <c r="H45" s="242">
        <v>0</v>
      </c>
    </row>
    <row r="46" spans="1:8" ht="15.75" thickBot="1">
      <c r="A46" s="167"/>
      <c r="B46" s="165"/>
      <c r="C46" s="226"/>
      <c r="D46" s="226"/>
      <c r="E46" s="226"/>
      <c r="F46" s="166"/>
      <c r="G46" s="241"/>
      <c r="H46" s="242"/>
    </row>
    <row r="47" spans="1:8" ht="17.25" thickBot="1" thickTop="1">
      <c r="A47" s="174" t="s">
        <v>14</v>
      </c>
      <c r="B47" s="175"/>
      <c r="C47" s="228">
        <f>SUM(C36:C46)</f>
        <v>0</v>
      </c>
      <c r="D47" s="228">
        <f>SUM(D36:D46)</f>
        <v>0</v>
      </c>
      <c r="E47" s="228">
        <f>SUM(E36:E46)</f>
        <v>0</v>
      </c>
      <c r="F47" s="176">
        <v>0</v>
      </c>
      <c r="G47" s="245">
        <v>0</v>
      </c>
      <c r="H47" s="246">
        <v>0</v>
      </c>
    </row>
    <row r="48" spans="1:8" ht="15.75" thickTop="1">
      <c r="A48" s="167"/>
      <c r="B48" s="168"/>
      <c r="C48" s="226"/>
      <c r="D48" s="226"/>
      <c r="E48" s="226"/>
      <c r="F48" s="166"/>
      <c r="G48" s="241"/>
      <c r="H48" s="242"/>
    </row>
    <row r="49" spans="1:8" ht="15.75">
      <c r="A49" s="177" t="s">
        <v>59</v>
      </c>
      <c r="B49" s="165">
        <f>DATE(20,7,1)</f>
        <v>7488</v>
      </c>
      <c r="C49" s="226">
        <v>0</v>
      </c>
      <c r="D49" s="226">
        <v>0</v>
      </c>
      <c r="E49" s="226">
        <v>0</v>
      </c>
      <c r="F49" s="166">
        <v>0</v>
      </c>
      <c r="G49" s="241">
        <v>0</v>
      </c>
      <c r="H49" s="242">
        <v>0</v>
      </c>
    </row>
    <row r="50" spans="1:8" ht="15.75">
      <c r="A50" s="177"/>
      <c r="B50" s="165">
        <f>DATE(20,8,1)</f>
        <v>7519</v>
      </c>
      <c r="C50" s="226">
        <v>0</v>
      </c>
      <c r="D50" s="226">
        <v>0</v>
      </c>
      <c r="E50" s="226">
        <v>0</v>
      </c>
      <c r="F50" s="166">
        <v>0</v>
      </c>
      <c r="G50" s="241">
        <v>0</v>
      </c>
      <c r="H50" s="242">
        <v>0</v>
      </c>
    </row>
    <row r="51" spans="1:8" ht="15.75">
      <c r="A51" s="177"/>
      <c r="B51" s="165">
        <f>DATE(20,9,1)</f>
        <v>7550</v>
      </c>
      <c r="C51" s="226">
        <v>0</v>
      </c>
      <c r="D51" s="226">
        <v>0</v>
      </c>
      <c r="E51" s="226">
        <v>0</v>
      </c>
      <c r="F51" s="166">
        <v>0</v>
      </c>
      <c r="G51" s="241">
        <v>0</v>
      </c>
      <c r="H51" s="242">
        <v>0</v>
      </c>
    </row>
    <row r="52" spans="1:8" ht="15.75">
      <c r="A52" s="177"/>
      <c r="B52" s="165">
        <f>DATE(20,10,1)</f>
        <v>7580</v>
      </c>
      <c r="C52" s="226">
        <v>0</v>
      </c>
      <c r="D52" s="226">
        <v>0</v>
      </c>
      <c r="E52" s="226">
        <v>0</v>
      </c>
      <c r="F52" s="166">
        <v>0</v>
      </c>
      <c r="G52" s="241">
        <v>0</v>
      </c>
      <c r="H52" s="242">
        <v>0</v>
      </c>
    </row>
    <row r="53" spans="1:8" ht="15.75">
      <c r="A53" s="177"/>
      <c r="B53" s="165">
        <f>DATE(20,11,1)</f>
        <v>7611</v>
      </c>
      <c r="C53" s="226">
        <v>0</v>
      </c>
      <c r="D53" s="226">
        <v>0</v>
      </c>
      <c r="E53" s="226">
        <v>0</v>
      </c>
      <c r="F53" s="166">
        <v>0</v>
      </c>
      <c r="G53" s="241">
        <v>0</v>
      </c>
      <c r="H53" s="242">
        <v>0</v>
      </c>
    </row>
    <row r="54" spans="1:8" ht="15.75">
      <c r="A54" s="177"/>
      <c r="B54" s="165">
        <f>DATE(20,12,1)</f>
        <v>7641</v>
      </c>
      <c r="C54" s="226">
        <v>0</v>
      </c>
      <c r="D54" s="226">
        <v>0</v>
      </c>
      <c r="E54" s="226">
        <v>0</v>
      </c>
      <c r="F54" s="166">
        <v>0</v>
      </c>
      <c r="G54" s="241">
        <v>0</v>
      </c>
      <c r="H54" s="242">
        <v>0</v>
      </c>
    </row>
    <row r="55" spans="1:8" ht="15.75">
      <c r="A55" s="177"/>
      <c r="B55" s="165">
        <f>DATE(21,1,1)</f>
        <v>7672</v>
      </c>
      <c r="C55" s="226">
        <v>0</v>
      </c>
      <c r="D55" s="226">
        <v>0</v>
      </c>
      <c r="E55" s="226">
        <v>0</v>
      </c>
      <c r="F55" s="166">
        <v>0</v>
      </c>
      <c r="G55" s="241">
        <v>0</v>
      </c>
      <c r="H55" s="242">
        <v>0</v>
      </c>
    </row>
    <row r="56" spans="1:8" ht="15.75">
      <c r="A56" s="177"/>
      <c r="B56" s="165">
        <f>DATE(21,2,1)</f>
        <v>7703</v>
      </c>
      <c r="C56" s="226">
        <v>0</v>
      </c>
      <c r="D56" s="226">
        <v>0</v>
      </c>
      <c r="E56" s="226">
        <v>0</v>
      </c>
      <c r="F56" s="166">
        <v>0</v>
      </c>
      <c r="G56" s="241">
        <v>0</v>
      </c>
      <c r="H56" s="242">
        <v>0</v>
      </c>
    </row>
    <row r="57" spans="1:8" ht="15.75">
      <c r="A57" s="177"/>
      <c r="B57" s="165">
        <f>DATE(21,3,1)</f>
        <v>7731</v>
      </c>
      <c r="C57" s="226">
        <v>0</v>
      </c>
      <c r="D57" s="226">
        <v>0</v>
      </c>
      <c r="E57" s="226">
        <v>0</v>
      </c>
      <c r="F57" s="166">
        <v>0</v>
      </c>
      <c r="G57" s="241">
        <v>0</v>
      </c>
      <c r="H57" s="242">
        <v>0</v>
      </c>
    </row>
    <row r="58" spans="1:8" ht="15.75">
      <c r="A58" s="177"/>
      <c r="B58" s="165">
        <f>DATE(21,4,1)</f>
        <v>7762</v>
      </c>
      <c r="C58" s="226">
        <v>0</v>
      </c>
      <c r="D58" s="226">
        <v>0</v>
      </c>
      <c r="E58" s="226">
        <v>0</v>
      </c>
      <c r="F58" s="166">
        <v>0</v>
      </c>
      <c r="G58" s="241">
        <v>0</v>
      </c>
      <c r="H58" s="242">
        <v>0</v>
      </c>
    </row>
    <row r="59" spans="1:8" ht="15.75" thickBot="1">
      <c r="A59" s="167"/>
      <c r="B59" s="168"/>
      <c r="C59" s="226"/>
      <c r="D59" s="226"/>
      <c r="E59" s="226"/>
      <c r="F59" s="166"/>
      <c r="G59" s="241"/>
      <c r="H59" s="242"/>
    </row>
    <row r="60" spans="1:8" ht="17.25" thickBot="1" thickTop="1">
      <c r="A60" s="174" t="s">
        <v>14</v>
      </c>
      <c r="B60" s="178"/>
      <c r="C60" s="228">
        <f>SUM(C49:C59)</f>
        <v>0</v>
      </c>
      <c r="D60" s="228">
        <f>SUM(D49:D59)</f>
        <v>0</v>
      </c>
      <c r="E60" s="228">
        <f>SUM(E49:E59)</f>
        <v>0</v>
      </c>
      <c r="F60" s="176">
        <v>0</v>
      </c>
      <c r="G60" s="245">
        <v>0</v>
      </c>
      <c r="H60" s="246">
        <v>0</v>
      </c>
    </row>
    <row r="61" spans="1:8" ht="15.75" thickTop="1">
      <c r="A61" s="167"/>
      <c r="B61" s="168"/>
      <c r="C61" s="226"/>
      <c r="D61" s="226"/>
      <c r="E61" s="226"/>
      <c r="F61" s="166"/>
      <c r="G61" s="241"/>
      <c r="H61" s="242"/>
    </row>
    <row r="62" spans="1:8" ht="15.75">
      <c r="A62" s="164" t="s">
        <v>63</v>
      </c>
      <c r="B62" s="165">
        <f>DATE(20,7,1)</f>
        <v>7488</v>
      </c>
      <c r="C62" s="226">
        <v>0</v>
      </c>
      <c r="D62" s="226">
        <v>0</v>
      </c>
      <c r="E62" s="226">
        <v>0</v>
      </c>
      <c r="F62" s="166">
        <v>0</v>
      </c>
      <c r="G62" s="241">
        <v>0</v>
      </c>
      <c r="H62" s="242">
        <v>0</v>
      </c>
    </row>
    <row r="63" spans="1:8" ht="15.75">
      <c r="A63" s="164"/>
      <c r="B63" s="165">
        <f>DATE(20,8,1)</f>
        <v>7519</v>
      </c>
      <c r="C63" s="226">
        <v>0</v>
      </c>
      <c r="D63" s="226">
        <v>0</v>
      </c>
      <c r="E63" s="226">
        <v>0</v>
      </c>
      <c r="F63" s="166">
        <v>0</v>
      </c>
      <c r="G63" s="241">
        <v>0</v>
      </c>
      <c r="H63" s="242">
        <v>0</v>
      </c>
    </row>
    <row r="64" spans="1:8" ht="15.75">
      <c r="A64" s="164"/>
      <c r="B64" s="165">
        <f>DATE(20,9,1)</f>
        <v>7550</v>
      </c>
      <c r="C64" s="226">
        <v>0</v>
      </c>
      <c r="D64" s="226">
        <v>0</v>
      </c>
      <c r="E64" s="226">
        <v>0</v>
      </c>
      <c r="F64" s="166">
        <v>0</v>
      </c>
      <c r="G64" s="241">
        <v>0</v>
      </c>
      <c r="H64" s="242">
        <v>0</v>
      </c>
    </row>
    <row r="65" spans="1:8" ht="15.75">
      <c r="A65" s="164"/>
      <c r="B65" s="165">
        <f>DATE(20,10,1)</f>
        <v>7580</v>
      </c>
      <c r="C65" s="226">
        <v>0</v>
      </c>
      <c r="D65" s="226">
        <v>0</v>
      </c>
      <c r="E65" s="226">
        <v>0</v>
      </c>
      <c r="F65" s="166">
        <v>0</v>
      </c>
      <c r="G65" s="241">
        <v>0</v>
      </c>
      <c r="H65" s="242">
        <v>0</v>
      </c>
    </row>
    <row r="66" spans="1:8" ht="15.75">
      <c r="A66" s="164"/>
      <c r="B66" s="165">
        <f>DATE(20,11,1)</f>
        <v>7611</v>
      </c>
      <c r="C66" s="226">
        <v>0</v>
      </c>
      <c r="D66" s="226">
        <v>0</v>
      </c>
      <c r="E66" s="226">
        <v>0</v>
      </c>
      <c r="F66" s="166">
        <v>0</v>
      </c>
      <c r="G66" s="241">
        <v>0</v>
      </c>
      <c r="H66" s="242">
        <v>0</v>
      </c>
    </row>
    <row r="67" spans="1:8" ht="15.75">
      <c r="A67" s="164"/>
      <c r="B67" s="165">
        <f>DATE(20,12,1)</f>
        <v>7641</v>
      </c>
      <c r="C67" s="226">
        <v>0</v>
      </c>
      <c r="D67" s="226">
        <v>0</v>
      </c>
      <c r="E67" s="226">
        <v>0</v>
      </c>
      <c r="F67" s="166">
        <v>0</v>
      </c>
      <c r="G67" s="241">
        <v>0</v>
      </c>
      <c r="H67" s="242">
        <v>0</v>
      </c>
    </row>
    <row r="68" spans="1:8" ht="15.75">
      <c r="A68" s="164"/>
      <c r="B68" s="165">
        <f>DATE(21,1,1)</f>
        <v>7672</v>
      </c>
      <c r="C68" s="226">
        <v>0</v>
      </c>
      <c r="D68" s="226">
        <v>0</v>
      </c>
      <c r="E68" s="226">
        <v>0</v>
      </c>
      <c r="F68" s="166">
        <v>0</v>
      </c>
      <c r="G68" s="241">
        <v>0</v>
      </c>
      <c r="H68" s="242">
        <v>0</v>
      </c>
    </row>
    <row r="69" spans="1:8" ht="15.75">
      <c r="A69" s="164"/>
      <c r="B69" s="165">
        <f>DATE(21,2,1)</f>
        <v>7703</v>
      </c>
      <c r="C69" s="226">
        <v>0</v>
      </c>
      <c r="D69" s="226">
        <v>0</v>
      </c>
      <c r="E69" s="226">
        <v>0</v>
      </c>
      <c r="F69" s="166">
        <v>0</v>
      </c>
      <c r="G69" s="241">
        <v>0</v>
      </c>
      <c r="H69" s="242">
        <v>0</v>
      </c>
    </row>
    <row r="70" spans="1:8" ht="15.75">
      <c r="A70" s="164"/>
      <c r="B70" s="165">
        <f>DATE(21,3,1)</f>
        <v>7731</v>
      </c>
      <c r="C70" s="226">
        <v>0</v>
      </c>
      <c r="D70" s="226">
        <v>0</v>
      </c>
      <c r="E70" s="226">
        <v>0</v>
      </c>
      <c r="F70" s="166">
        <v>0</v>
      </c>
      <c r="G70" s="241">
        <v>0</v>
      </c>
      <c r="H70" s="242">
        <v>0</v>
      </c>
    </row>
    <row r="71" spans="1:8" ht="15.75">
      <c r="A71" s="164"/>
      <c r="B71" s="165">
        <f>DATE(21,4,1)</f>
        <v>7762</v>
      </c>
      <c r="C71" s="226">
        <v>0</v>
      </c>
      <c r="D71" s="226">
        <v>0</v>
      </c>
      <c r="E71" s="226">
        <v>0</v>
      </c>
      <c r="F71" s="166">
        <v>0</v>
      </c>
      <c r="G71" s="241">
        <v>0</v>
      </c>
      <c r="H71" s="242">
        <v>0</v>
      </c>
    </row>
    <row r="72" spans="1:8" ht="15.75" thickBot="1">
      <c r="A72" s="167"/>
      <c r="B72" s="165"/>
      <c r="C72" s="226"/>
      <c r="D72" s="226"/>
      <c r="E72" s="226"/>
      <c r="F72" s="166"/>
      <c r="G72" s="241"/>
      <c r="H72" s="242"/>
    </row>
    <row r="73" spans="1:8" ht="17.25" thickBot="1" thickTop="1">
      <c r="A73" s="174" t="s">
        <v>14</v>
      </c>
      <c r="B73" s="175"/>
      <c r="C73" s="228">
        <f>SUM(C62:C72)</f>
        <v>0</v>
      </c>
      <c r="D73" s="230">
        <f>SUM(D62:D72)</f>
        <v>0</v>
      </c>
      <c r="E73" s="271">
        <f>SUM(E62:E72)</f>
        <v>0</v>
      </c>
      <c r="F73" s="176">
        <v>0</v>
      </c>
      <c r="G73" s="245">
        <v>0</v>
      </c>
      <c r="H73" s="246">
        <v>0</v>
      </c>
    </row>
    <row r="74" spans="1:8" ht="15.75" thickTop="1">
      <c r="A74" s="167"/>
      <c r="B74" s="168"/>
      <c r="C74" s="226"/>
      <c r="D74" s="226"/>
      <c r="E74" s="226"/>
      <c r="F74" s="166"/>
      <c r="G74" s="241"/>
      <c r="H74" s="242"/>
    </row>
    <row r="75" spans="1:8" ht="15.75">
      <c r="A75" s="164" t="s">
        <v>68</v>
      </c>
      <c r="B75" s="165">
        <f>DATE(20,7,1)</f>
        <v>7488</v>
      </c>
      <c r="C75" s="226">
        <v>0</v>
      </c>
      <c r="D75" s="226">
        <v>0</v>
      </c>
      <c r="E75" s="226">
        <v>0</v>
      </c>
      <c r="F75" s="166">
        <v>0</v>
      </c>
      <c r="G75" s="241">
        <v>0</v>
      </c>
      <c r="H75" s="242">
        <v>0</v>
      </c>
    </row>
    <row r="76" spans="1:8" ht="15.75">
      <c r="A76" s="164"/>
      <c r="B76" s="165">
        <f>DATE(20,8,1)</f>
        <v>7519</v>
      </c>
      <c r="C76" s="226">
        <v>0</v>
      </c>
      <c r="D76" s="226">
        <v>0</v>
      </c>
      <c r="E76" s="226">
        <v>0</v>
      </c>
      <c r="F76" s="166">
        <v>0</v>
      </c>
      <c r="G76" s="241">
        <v>0</v>
      </c>
      <c r="H76" s="242">
        <v>0</v>
      </c>
    </row>
    <row r="77" spans="1:8" ht="15.75">
      <c r="A77" s="164"/>
      <c r="B77" s="165">
        <f>DATE(20,9,1)</f>
        <v>7550</v>
      </c>
      <c r="C77" s="226">
        <v>0</v>
      </c>
      <c r="D77" s="226">
        <v>0</v>
      </c>
      <c r="E77" s="226">
        <v>0</v>
      </c>
      <c r="F77" s="166">
        <v>0</v>
      </c>
      <c r="G77" s="241">
        <v>0</v>
      </c>
      <c r="H77" s="242">
        <v>0</v>
      </c>
    </row>
    <row r="78" spans="1:8" ht="15.75">
      <c r="A78" s="164"/>
      <c r="B78" s="165">
        <f>DATE(20,10,1)</f>
        <v>7580</v>
      </c>
      <c r="C78" s="226">
        <v>0</v>
      </c>
      <c r="D78" s="226">
        <v>0</v>
      </c>
      <c r="E78" s="226">
        <v>0</v>
      </c>
      <c r="F78" s="166">
        <v>0</v>
      </c>
      <c r="G78" s="241">
        <v>0</v>
      </c>
      <c r="H78" s="242">
        <v>0</v>
      </c>
    </row>
    <row r="79" spans="1:8" ht="15.75">
      <c r="A79" s="164"/>
      <c r="B79" s="165">
        <f>DATE(20,11,1)</f>
        <v>7611</v>
      </c>
      <c r="C79" s="226">
        <v>0</v>
      </c>
      <c r="D79" s="226">
        <v>0</v>
      </c>
      <c r="E79" s="226">
        <v>0</v>
      </c>
      <c r="F79" s="166">
        <v>0</v>
      </c>
      <c r="G79" s="241">
        <v>0</v>
      </c>
      <c r="H79" s="242">
        <v>0</v>
      </c>
    </row>
    <row r="80" spans="1:8" ht="15.75">
      <c r="A80" s="164"/>
      <c r="B80" s="165">
        <f>DATE(20,12,1)</f>
        <v>7641</v>
      </c>
      <c r="C80" s="226">
        <v>0</v>
      </c>
      <c r="D80" s="226">
        <v>0</v>
      </c>
      <c r="E80" s="226">
        <v>0</v>
      </c>
      <c r="F80" s="166">
        <v>0</v>
      </c>
      <c r="G80" s="241">
        <v>0</v>
      </c>
      <c r="H80" s="242">
        <v>0</v>
      </c>
    </row>
    <row r="81" spans="1:8" ht="15.75">
      <c r="A81" s="164"/>
      <c r="B81" s="165">
        <f>DATE(21,1,1)</f>
        <v>7672</v>
      </c>
      <c r="C81" s="226">
        <v>0</v>
      </c>
      <c r="D81" s="226">
        <v>0</v>
      </c>
      <c r="E81" s="226">
        <v>0</v>
      </c>
      <c r="F81" s="166">
        <v>0</v>
      </c>
      <c r="G81" s="241">
        <v>0</v>
      </c>
      <c r="H81" s="242">
        <v>0</v>
      </c>
    </row>
    <row r="82" spans="1:8" ht="15.75">
      <c r="A82" s="164"/>
      <c r="B82" s="165">
        <f>DATE(21,2,1)</f>
        <v>7703</v>
      </c>
      <c r="C82" s="226">
        <v>0</v>
      </c>
      <c r="D82" s="226">
        <v>0</v>
      </c>
      <c r="E82" s="226">
        <v>0</v>
      </c>
      <c r="F82" s="166">
        <v>0</v>
      </c>
      <c r="G82" s="241">
        <v>0</v>
      </c>
      <c r="H82" s="242">
        <v>0</v>
      </c>
    </row>
    <row r="83" spans="1:8" ht="15.75">
      <c r="A83" s="164"/>
      <c r="B83" s="165">
        <f>DATE(21,3,1)</f>
        <v>7731</v>
      </c>
      <c r="C83" s="226">
        <v>0</v>
      </c>
      <c r="D83" s="226">
        <v>0</v>
      </c>
      <c r="E83" s="226">
        <v>0</v>
      </c>
      <c r="F83" s="166">
        <v>0</v>
      </c>
      <c r="G83" s="241">
        <v>0</v>
      </c>
      <c r="H83" s="242">
        <v>0</v>
      </c>
    </row>
    <row r="84" spans="1:8" ht="15.75">
      <c r="A84" s="164"/>
      <c r="B84" s="165">
        <f>DATE(21,4,1)</f>
        <v>7762</v>
      </c>
      <c r="C84" s="226">
        <v>0</v>
      </c>
      <c r="D84" s="226">
        <v>0</v>
      </c>
      <c r="E84" s="226">
        <v>0</v>
      </c>
      <c r="F84" s="166">
        <v>0</v>
      </c>
      <c r="G84" s="241">
        <v>0</v>
      </c>
      <c r="H84" s="242">
        <v>0</v>
      </c>
    </row>
    <row r="85" spans="1:8" ht="15.75" thickBot="1">
      <c r="A85" s="167"/>
      <c r="B85" s="165"/>
      <c r="C85" s="226"/>
      <c r="D85" s="226"/>
      <c r="E85" s="226"/>
      <c r="F85" s="166"/>
      <c r="G85" s="241"/>
      <c r="H85" s="242"/>
    </row>
    <row r="86" spans="1:8" ht="17.25" thickBot="1" thickTop="1">
      <c r="A86" s="174" t="s">
        <v>14</v>
      </c>
      <c r="B86" s="175"/>
      <c r="C86" s="228">
        <f>SUM(C75:C85)</f>
        <v>0</v>
      </c>
      <c r="D86" s="230">
        <f>SUM(D75:D85)</f>
        <v>0</v>
      </c>
      <c r="E86" s="271">
        <f>SUM(E75:E85)</f>
        <v>0</v>
      </c>
      <c r="F86" s="176">
        <v>0</v>
      </c>
      <c r="G86" s="245">
        <v>0</v>
      </c>
      <c r="H86" s="246">
        <v>0</v>
      </c>
    </row>
    <row r="87" spans="1:8" ht="15.75" thickTop="1">
      <c r="A87" s="167"/>
      <c r="B87" s="168"/>
      <c r="C87" s="226"/>
      <c r="D87" s="226"/>
      <c r="E87" s="226"/>
      <c r="F87" s="166"/>
      <c r="G87" s="241"/>
      <c r="H87" s="242"/>
    </row>
    <row r="88" spans="1:8" ht="15.75">
      <c r="A88" s="164" t="s">
        <v>66</v>
      </c>
      <c r="B88" s="165">
        <f>DATE(20,7,1)</f>
        <v>7488</v>
      </c>
      <c r="C88" s="226">
        <v>0</v>
      </c>
      <c r="D88" s="226">
        <v>0</v>
      </c>
      <c r="E88" s="226">
        <v>0</v>
      </c>
      <c r="F88" s="166">
        <v>0</v>
      </c>
      <c r="G88" s="241">
        <v>0</v>
      </c>
      <c r="H88" s="242">
        <v>0</v>
      </c>
    </row>
    <row r="89" spans="1:8" ht="15.75">
      <c r="A89" s="164"/>
      <c r="B89" s="165">
        <f>DATE(20,8,1)</f>
        <v>7519</v>
      </c>
      <c r="C89" s="226">
        <v>0</v>
      </c>
      <c r="D89" s="226">
        <v>0</v>
      </c>
      <c r="E89" s="226">
        <v>0</v>
      </c>
      <c r="F89" s="166">
        <v>0</v>
      </c>
      <c r="G89" s="241">
        <v>0</v>
      </c>
      <c r="H89" s="242">
        <v>0</v>
      </c>
    </row>
    <row r="90" spans="1:8" ht="15.75">
      <c r="A90" s="164"/>
      <c r="B90" s="165">
        <f>DATE(20,9,1)</f>
        <v>7550</v>
      </c>
      <c r="C90" s="226">
        <v>0</v>
      </c>
      <c r="D90" s="226">
        <v>0</v>
      </c>
      <c r="E90" s="226">
        <v>0</v>
      </c>
      <c r="F90" s="166">
        <v>0</v>
      </c>
      <c r="G90" s="241">
        <v>0</v>
      </c>
      <c r="H90" s="242">
        <v>0</v>
      </c>
    </row>
    <row r="91" spans="1:8" ht="15.75">
      <c r="A91" s="164"/>
      <c r="B91" s="165">
        <f>DATE(20,10,1)</f>
        <v>7580</v>
      </c>
      <c r="C91" s="226">
        <v>0</v>
      </c>
      <c r="D91" s="226">
        <v>0</v>
      </c>
      <c r="E91" s="226">
        <v>0</v>
      </c>
      <c r="F91" s="166">
        <v>0</v>
      </c>
      <c r="G91" s="241">
        <v>0</v>
      </c>
      <c r="H91" s="242">
        <v>0</v>
      </c>
    </row>
    <row r="92" spans="1:8" ht="15.75">
      <c r="A92" s="164"/>
      <c r="B92" s="165">
        <f>DATE(20,11,1)</f>
        <v>7611</v>
      </c>
      <c r="C92" s="226">
        <v>0</v>
      </c>
      <c r="D92" s="226">
        <v>0</v>
      </c>
      <c r="E92" s="226">
        <v>0</v>
      </c>
      <c r="F92" s="166">
        <v>0</v>
      </c>
      <c r="G92" s="241">
        <v>0</v>
      </c>
      <c r="H92" s="242">
        <v>0</v>
      </c>
    </row>
    <row r="93" spans="1:8" ht="15.75">
      <c r="A93" s="164"/>
      <c r="B93" s="165">
        <f>DATE(20,12,1)</f>
        <v>7641</v>
      </c>
      <c r="C93" s="226">
        <v>0</v>
      </c>
      <c r="D93" s="226">
        <v>0</v>
      </c>
      <c r="E93" s="226">
        <v>0</v>
      </c>
      <c r="F93" s="166">
        <v>0</v>
      </c>
      <c r="G93" s="241">
        <v>0</v>
      </c>
      <c r="H93" s="242">
        <v>0</v>
      </c>
    </row>
    <row r="94" spans="1:8" ht="15.75">
      <c r="A94" s="164"/>
      <c r="B94" s="165">
        <f>DATE(21,1,1)</f>
        <v>7672</v>
      </c>
      <c r="C94" s="226">
        <v>0</v>
      </c>
      <c r="D94" s="226">
        <v>0</v>
      </c>
      <c r="E94" s="226">
        <v>0</v>
      </c>
      <c r="F94" s="166">
        <v>0</v>
      </c>
      <c r="G94" s="241">
        <v>0</v>
      </c>
      <c r="H94" s="242">
        <v>0</v>
      </c>
    </row>
    <row r="95" spans="1:8" ht="15.75">
      <c r="A95" s="164"/>
      <c r="B95" s="165">
        <f>DATE(21,2,1)</f>
        <v>7703</v>
      </c>
      <c r="C95" s="226">
        <v>0</v>
      </c>
      <c r="D95" s="226">
        <v>0</v>
      </c>
      <c r="E95" s="226">
        <v>0</v>
      </c>
      <c r="F95" s="166">
        <v>0</v>
      </c>
      <c r="G95" s="241">
        <v>0</v>
      </c>
      <c r="H95" s="242">
        <v>0</v>
      </c>
    </row>
    <row r="96" spans="1:8" ht="15.75">
      <c r="A96" s="164"/>
      <c r="B96" s="165">
        <f>DATE(21,3,1)</f>
        <v>7731</v>
      </c>
      <c r="C96" s="226">
        <v>0</v>
      </c>
      <c r="D96" s="226">
        <v>0</v>
      </c>
      <c r="E96" s="226">
        <v>0</v>
      </c>
      <c r="F96" s="166">
        <v>0</v>
      </c>
      <c r="G96" s="241">
        <v>0</v>
      </c>
      <c r="H96" s="242">
        <v>0</v>
      </c>
    </row>
    <row r="97" spans="1:8" ht="15.75">
      <c r="A97" s="164"/>
      <c r="B97" s="165">
        <f>DATE(21,4,1)</f>
        <v>7762</v>
      </c>
      <c r="C97" s="226">
        <v>0</v>
      </c>
      <c r="D97" s="226">
        <v>0</v>
      </c>
      <c r="E97" s="226">
        <v>0</v>
      </c>
      <c r="F97" s="166">
        <v>0</v>
      </c>
      <c r="G97" s="241">
        <v>0</v>
      </c>
      <c r="H97" s="242">
        <v>0</v>
      </c>
    </row>
    <row r="98" spans="1:8" ht="15.75" thickBot="1">
      <c r="A98" s="167"/>
      <c r="B98" s="165"/>
      <c r="C98" s="226"/>
      <c r="D98" s="226"/>
      <c r="E98" s="226"/>
      <c r="F98" s="166"/>
      <c r="G98" s="241"/>
      <c r="H98" s="242"/>
    </row>
    <row r="99" spans="1:8" ht="17.25" thickBot="1" thickTop="1">
      <c r="A99" s="174" t="s">
        <v>14</v>
      </c>
      <c r="B99" s="175"/>
      <c r="C99" s="228">
        <f>SUM(C88:C98)</f>
        <v>0</v>
      </c>
      <c r="D99" s="230">
        <f>SUM(D88:D98)</f>
        <v>0</v>
      </c>
      <c r="E99" s="271">
        <f>SUM(E88:E98)</f>
        <v>0</v>
      </c>
      <c r="F99" s="176">
        <v>0</v>
      </c>
      <c r="G99" s="245">
        <v>0</v>
      </c>
      <c r="H99" s="246">
        <v>0</v>
      </c>
    </row>
    <row r="100" spans="1:8" ht="15.75" thickTop="1">
      <c r="A100" s="167"/>
      <c r="B100" s="168"/>
      <c r="C100" s="226"/>
      <c r="D100" s="226"/>
      <c r="E100" s="226"/>
      <c r="F100" s="166"/>
      <c r="G100" s="241"/>
      <c r="H100" s="242"/>
    </row>
    <row r="101" spans="1:8" ht="15.75">
      <c r="A101" s="164" t="s">
        <v>60</v>
      </c>
      <c r="B101" s="165">
        <f>DATE(20,7,1)</f>
        <v>7488</v>
      </c>
      <c r="C101" s="226">
        <v>0</v>
      </c>
      <c r="D101" s="226">
        <v>0</v>
      </c>
      <c r="E101" s="226">
        <v>0</v>
      </c>
      <c r="F101" s="166">
        <v>0</v>
      </c>
      <c r="G101" s="241">
        <v>0</v>
      </c>
      <c r="H101" s="242">
        <v>0</v>
      </c>
    </row>
    <row r="102" spans="1:8" ht="15.75">
      <c r="A102" s="164"/>
      <c r="B102" s="165">
        <f>DATE(20,8,1)</f>
        <v>7519</v>
      </c>
      <c r="C102" s="226">
        <v>2426243.5</v>
      </c>
      <c r="D102" s="226">
        <v>118455</v>
      </c>
      <c r="E102" s="226">
        <v>0</v>
      </c>
      <c r="F102" s="166">
        <v>1</v>
      </c>
      <c r="G102" s="241">
        <f aca="true" t="shared" si="0" ref="G102:G107">D102/C102</f>
        <v>0.04882238736548908</v>
      </c>
      <c r="H102" s="242">
        <f aca="true" t="shared" si="1" ref="H102:H109">1-G102</f>
        <v>0.951177612634511</v>
      </c>
    </row>
    <row r="103" spans="1:8" ht="15.75">
      <c r="A103" s="164"/>
      <c r="B103" s="165">
        <f>DATE(20,9,1)</f>
        <v>7550</v>
      </c>
      <c r="C103" s="226">
        <v>1791988</v>
      </c>
      <c r="D103" s="226">
        <v>106241</v>
      </c>
      <c r="E103" s="226">
        <v>0</v>
      </c>
      <c r="F103" s="166">
        <v>1</v>
      </c>
      <c r="G103" s="241">
        <f t="shared" si="0"/>
        <v>0.05928666933037498</v>
      </c>
      <c r="H103" s="242">
        <f t="shared" si="1"/>
        <v>0.940713330669625</v>
      </c>
    </row>
    <row r="104" spans="1:8" ht="15.75">
      <c r="A104" s="164"/>
      <c r="B104" s="165">
        <f>DATE(20,10,1)</f>
        <v>7580</v>
      </c>
      <c r="C104" s="226">
        <v>1843163.5</v>
      </c>
      <c r="D104" s="226">
        <v>82618</v>
      </c>
      <c r="E104" s="226">
        <v>0</v>
      </c>
      <c r="F104" s="166">
        <v>1</v>
      </c>
      <c r="G104" s="241">
        <f t="shared" si="0"/>
        <v>0.04482402130901572</v>
      </c>
      <c r="H104" s="242">
        <f t="shared" si="1"/>
        <v>0.9551759786909843</v>
      </c>
    </row>
    <row r="105" spans="1:8" ht="15.75">
      <c r="A105" s="164"/>
      <c r="B105" s="165">
        <f>DATE(20,11,1)</f>
        <v>7611</v>
      </c>
      <c r="C105" s="226">
        <v>1486394.5</v>
      </c>
      <c r="D105" s="226">
        <v>81702.08</v>
      </c>
      <c r="E105" s="226">
        <v>0</v>
      </c>
      <c r="F105" s="166">
        <v>1</v>
      </c>
      <c r="G105" s="241">
        <f t="shared" si="0"/>
        <v>0.054966618888861604</v>
      </c>
      <c r="H105" s="242">
        <f t="shared" si="1"/>
        <v>0.9450333811111384</v>
      </c>
    </row>
    <row r="106" spans="1:8" ht="15.75">
      <c r="A106" s="164"/>
      <c r="B106" s="165">
        <f>DATE(20,12,1)</f>
        <v>7641</v>
      </c>
      <c r="C106" s="226">
        <v>2678467</v>
      </c>
      <c r="D106" s="226">
        <v>84775</v>
      </c>
      <c r="E106" s="226">
        <v>0</v>
      </c>
      <c r="F106" s="166">
        <v>1</v>
      </c>
      <c r="G106" s="241">
        <f t="shared" si="0"/>
        <v>0.031650567283449824</v>
      </c>
      <c r="H106" s="242">
        <f t="shared" si="1"/>
        <v>0.9683494327165502</v>
      </c>
    </row>
    <row r="107" spans="1:8" ht="15.75">
      <c r="A107" s="164"/>
      <c r="B107" s="165">
        <f>DATE(21,1,1)</f>
        <v>7672</v>
      </c>
      <c r="C107" s="226">
        <v>3363779.5</v>
      </c>
      <c r="D107" s="226">
        <v>127657</v>
      </c>
      <c r="E107" s="226">
        <v>0</v>
      </c>
      <c r="F107" s="166">
        <v>1</v>
      </c>
      <c r="G107" s="241">
        <f t="shared" si="0"/>
        <v>0.0379504661348938</v>
      </c>
      <c r="H107" s="242">
        <f t="shared" si="1"/>
        <v>0.9620495338651062</v>
      </c>
    </row>
    <row r="108" spans="1:8" ht="15.75">
      <c r="A108" s="164"/>
      <c r="B108" s="165">
        <f>DATE(21,2,1)</f>
        <v>7703</v>
      </c>
      <c r="C108" s="226">
        <v>1638650.5</v>
      </c>
      <c r="D108" s="226">
        <v>94650</v>
      </c>
      <c r="E108" s="226">
        <v>0</v>
      </c>
      <c r="F108" s="166">
        <v>1</v>
      </c>
      <c r="G108" s="241">
        <f>D108/C108</f>
        <v>0.057760944142756496</v>
      </c>
      <c r="H108" s="242">
        <f t="shared" si="1"/>
        <v>0.9422390558572435</v>
      </c>
    </row>
    <row r="109" spans="1:8" ht="15.75">
      <c r="A109" s="164"/>
      <c r="B109" s="165">
        <f>DATE(21,3,1)</f>
        <v>7731</v>
      </c>
      <c r="C109" s="226">
        <v>184054</v>
      </c>
      <c r="D109" s="226">
        <v>5436.5</v>
      </c>
      <c r="E109" s="226">
        <v>0</v>
      </c>
      <c r="F109" s="166">
        <v>1</v>
      </c>
      <c r="G109" s="241">
        <f>D109/C109</f>
        <v>0.029537527030110727</v>
      </c>
      <c r="H109" s="242">
        <f t="shared" si="1"/>
        <v>0.9704624729698893</v>
      </c>
    </row>
    <row r="110" spans="1:8" ht="15.75">
      <c r="A110" s="164"/>
      <c r="B110" s="165">
        <f>DATE(21,4,1)</f>
        <v>7762</v>
      </c>
      <c r="C110" s="226">
        <v>0</v>
      </c>
      <c r="D110" s="226">
        <v>0</v>
      </c>
      <c r="E110" s="226">
        <v>0</v>
      </c>
      <c r="F110" s="166">
        <v>0</v>
      </c>
      <c r="G110" s="241">
        <v>0</v>
      </c>
      <c r="H110" s="242">
        <v>0</v>
      </c>
    </row>
    <row r="111" spans="1:8" ht="15.75" thickBot="1">
      <c r="A111" s="167"/>
      <c r="B111" s="165"/>
      <c r="C111" s="226"/>
      <c r="D111" s="226"/>
      <c r="E111" s="226"/>
      <c r="F111" s="166"/>
      <c r="G111" s="241"/>
      <c r="H111" s="242"/>
    </row>
    <row r="112" spans="1:8" ht="17.25" thickBot="1" thickTop="1">
      <c r="A112" s="174" t="s">
        <v>14</v>
      </c>
      <c r="B112" s="175"/>
      <c r="C112" s="228">
        <f>SUM(C101:C111)</f>
        <v>15412740.5</v>
      </c>
      <c r="D112" s="230">
        <f>SUM(D101:D111)</f>
        <v>701534.5800000001</v>
      </c>
      <c r="E112" s="271">
        <f>SUM(E101:E111)</f>
        <v>0</v>
      </c>
      <c r="F112" s="176">
        <v>1</v>
      </c>
      <c r="G112" s="249">
        <f>D112/C112</f>
        <v>0.045516537438620996</v>
      </c>
      <c r="H112" s="270">
        <f>1-G112</f>
        <v>0.954483462561379</v>
      </c>
    </row>
    <row r="113" spans="1:8" ht="15.75" thickTop="1">
      <c r="A113" s="167"/>
      <c r="B113" s="179"/>
      <c r="C113" s="229"/>
      <c r="D113" s="229"/>
      <c r="E113" s="229"/>
      <c r="F113" s="180"/>
      <c r="G113" s="247"/>
      <c r="H113" s="248"/>
    </row>
    <row r="114" spans="1:8" ht="15.75">
      <c r="A114" s="164" t="s">
        <v>16</v>
      </c>
      <c r="B114" s="165">
        <f>DATE(20,7,1)</f>
        <v>7488</v>
      </c>
      <c r="C114" s="226">
        <v>0</v>
      </c>
      <c r="D114" s="226">
        <v>0</v>
      </c>
      <c r="E114" s="226">
        <v>0</v>
      </c>
      <c r="F114" s="166">
        <v>0</v>
      </c>
      <c r="G114" s="241">
        <v>0</v>
      </c>
      <c r="H114" s="242">
        <v>0</v>
      </c>
    </row>
    <row r="115" spans="1:8" ht="15.75">
      <c r="A115" s="164"/>
      <c r="B115" s="165">
        <f>DATE(20,8,1)</f>
        <v>7519</v>
      </c>
      <c r="C115" s="226">
        <v>0</v>
      </c>
      <c r="D115" s="226">
        <v>0</v>
      </c>
      <c r="E115" s="226">
        <v>0</v>
      </c>
      <c r="F115" s="166">
        <v>0</v>
      </c>
      <c r="G115" s="241">
        <v>0</v>
      </c>
      <c r="H115" s="242">
        <v>0</v>
      </c>
    </row>
    <row r="116" spans="1:8" ht="15.75">
      <c r="A116" s="164"/>
      <c r="B116" s="165">
        <f>DATE(20,9,1)</f>
        <v>7550</v>
      </c>
      <c r="C116" s="226">
        <v>0</v>
      </c>
      <c r="D116" s="226">
        <v>0</v>
      </c>
      <c r="E116" s="226">
        <v>0</v>
      </c>
      <c r="F116" s="166">
        <v>0</v>
      </c>
      <c r="G116" s="241">
        <v>0</v>
      </c>
      <c r="H116" s="242">
        <v>0</v>
      </c>
    </row>
    <row r="117" spans="1:8" ht="15.75">
      <c r="A117" s="164"/>
      <c r="B117" s="165">
        <f>DATE(20,10,1)</f>
        <v>7580</v>
      </c>
      <c r="C117" s="226">
        <v>0</v>
      </c>
      <c r="D117" s="226">
        <v>0</v>
      </c>
      <c r="E117" s="226">
        <v>0</v>
      </c>
      <c r="F117" s="166">
        <v>0</v>
      </c>
      <c r="G117" s="241">
        <v>0</v>
      </c>
      <c r="H117" s="242">
        <v>0</v>
      </c>
    </row>
    <row r="118" spans="1:8" ht="15.75">
      <c r="A118" s="164"/>
      <c r="B118" s="165">
        <f>DATE(20,11,1)</f>
        <v>7611</v>
      </c>
      <c r="C118" s="226">
        <v>0</v>
      </c>
      <c r="D118" s="226">
        <v>0</v>
      </c>
      <c r="E118" s="226">
        <v>0</v>
      </c>
      <c r="F118" s="166">
        <v>0</v>
      </c>
      <c r="G118" s="241">
        <v>0</v>
      </c>
      <c r="H118" s="242">
        <v>0</v>
      </c>
    </row>
    <row r="119" spans="1:8" ht="15.75">
      <c r="A119" s="164"/>
      <c r="B119" s="165">
        <f>DATE(20,12,1)</f>
        <v>7641</v>
      </c>
      <c r="C119" s="226">
        <v>0</v>
      </c>
      <c r="D119" s="226">
        <v>0</v>
      </c>
      <c r="E119" s="226">
        <v>0</v>
      </c>
      <c r="F119" s="166">
        <v>0</v>
      </c>
      <c r="G119" s="241">
        <v>0</v>
      </c>
      <c r="H119" s="242">
        <v>0</v>
      </c>
    </row>
    <row r="120" spans="1:8" ht="15.75">
      <c r="A120" s="164"/>
      <c r="B120" s="165">
        <f>DATE(21,1,1)</f>
        <v>7672</v>
      </c>
      <c r="C120" s="226">
        <v>0</v>
      </c>
      <c r="D120" s="226">
        <v>0</v>
      </c>
      <c r="E120" s="226">
        <v>0</v>
      </c>
      <c r="F120" s="166">
        <v>0</v>
      </c>
      <c r="G120" s="241">
        <v>0</v>
      </c>
      <c r="H120" s="242">
        <v>0</v>
      </c>
    </row>
    <row r="121" spans="1:8" ht="15.75">
      <c r="A121" s="164"/>
      <c r="B121" s="165">
        <f>DATE(21,2,1)</f>
        <v>7703</v>
      </c>
      <c r="C121" s="226">
        <v>0</v>
      </c>
      <c r="D121" s="226">
        <v>0</v>
      </c>
      <c r="E121" s="226">
        <v>0</v>
      </c>
      <c r="F121" s="166">
        <v>0</v>
      </c>
      <c r="G121" s="241">
        <v>0</v>
      </c>
      <c r="H121" s="242">
        <v>0</v>
      </c>
    </row>
    <row r="122" spans="1:8" ht="15.75">
      <c r="A122" s="164"/>
      <c r="B122" s="165">
        <f>DATE(21,3,1)</f>
        <v>7731</v>
      </c>
      <c r="C122" s="226">
        <v>0</v>
      </c>
      <c r="D122" s="226">
        <v>0</v>
      </c>
      <c r="E122" s="226">
        <v>0</v>
      </c>
      <c r="F122" s="166">
        <v>0</v>
      </c>
      <c r="G122" s="241">
        <v>0</v>
      </c>
      <c r="H122" s="242">
        <v>0</v>
      </c>
    </row>
    <row r="123" spans="1:8" ht="15.75">
      <c r="A123" s="164"/>
      <c r="B123" s="165">
        <f>DATE(21,4,1)</f>
        <v>7762</v>
      </c>
      <c r="C123" s="226">
        <v>0</v>
      </c>
      <c r="D123" s="226">
        <v>0</v>
      </c>
      <c r="E123" s="226">
        <v>0</v>
      </c>
      <c r="F123" s="166">
        <v>0</v>
      </c>
      <c r="G123" s="241">
        <v>0</v>
      </c>
      <c r="H123" s="242">
        <v>0</v>
      </c>
    </row>
    <row r="124" spans="1:8" ht="16.5" thickBot="1">
      <c r="A124" s="164"/>
      <c r="B124" s="165"/>
      <c r="C124" s="226"/>
      <c r="D124" s="226"/>
      <c r="E124" s="226"/>
      <c r="F124" s="166"/>
      <c r="G124" s="241"/>
      <c r="H124" s="242"/>
    </row>
    <row r="125" spans="1:8" ht="17.25" thickBot="1" thickTop="1">
      <c r="A125" s="174" t="s">
        <v>14</v>
      </c>
      <c r="B125" s="181"/>
      <c r="C125" s="228">
        <f>SUM(C114:C124)</f>
        <v>0</v>
      </c>
      <c r="D125" s="228">
        <f>SUM(D114:D124)</f>
        <v>0</v>
      </c>
      <c r="E125" s="228">
        <f>SUM(E114:E124)</f>
        <v>0</v>
      </c>
      <c r="F125" s="176">
        <v>0</v>
      </c>
      <c r="G125" s="245">
        <v>0</v>
      </c>
      <c r="H125" s="246">
        <v>0</v>
      </c>
    </row>
    <row r="126" spans="1:8" ht="15.75" thickTop="1">
      <c r="A126" s="171"/>
      <c r="B126" s="172"/>
      <c r="C126" s="227"/>
      <c r="D126" s="227"/>
      <c r="E126" s="227"/>
      <c r="F126" s="173"/>
      <c r="G126" s="243"/>
      <c r="H126" s="244"/>
    </row>
    <row r="127" spans="1:8" ht="15.75">
      <c r="A127" s="164" t="s">
        <v>54</v>
      </c>
      <c r="B127" s="165">
        <f>DATE(20,7,1)</f>
        <v>7488</v>
      </c>
      <c r="C127" s="226">
        <v>0</v>
      </c>
      <c r="D127" s="226">
        <v>0</v>
      </c>
      <c r="E127" s="226">
        <v>0</v>
      </c>
      <c r="F127" s="166">
        <v>0</v>
      </c>
      <c r="G127" s="241">
        <v>0</v>
      </c>
      <c r="H127" s="242">
        <v>0</v>
      </c>
    </row>
    <row r="128" spans="1:8" ht="15.75">
      <c r="A128" s="164"/>
      <c r="B128" s="165">
        <f>DATE(20,8,1)</f>
        <v>7519</v>
      </c>
      <c r="C128" s="226">
        <v>0</v>
      </c>
      <c r="D128" s="226">
        <v>0</v>
      </c>
      <c r="E128" s="226">
        <v>0</v>
      </c>
      <c r="F128" s="166">
        <v>0</v>
      </c>
      <c r="G128" s="241">
        <v>0</v>
      </c>
      <c r="H128" s="242">
        <v>0</v>
      </c>
    </row>
    <row r="129" spans="1:8" ht="15.75">
      <c r="A129" s="164"/>
      <c r="B129" s="165">
        <f>DATE(20,9,1)</f>
        <v>7550</v>
      </c>
      <c r="C129" s="226">
        <v>0</v>
      </c>
      <c r="D129" s="226">
        <v>0</v>
      </c>
      <c r="E129" s="226">
        <v>0</v>
      </c>
      <c r="F129" s="166">
        <v>0</v>
      </c>
      <c r="G129" s="241">
        <v>0</v>
      </c>
      <c r="H129" s="242">
        <v>0</v>
      </c>
    </row>
    <row r="130" spans="1:8" ht="15.75">
      <c r="A130" s="164"/>
      <c r="B130" s="165">
        <f>DATE(20,10,1)</f>
        <v>7580</v>
      </c>
      <c r="C130" s="226">
        <v>0</v>
      </c>
      <c r="D130" s="226">
        <v>0</v>
      </c>
      <c r="E130" s="226">
        <v>0</v>
      </c>
      <c r="F130" s="166">
        <v>0</v>
      </c>
      <c r="G130" s="241">
        <v>0</v>
      </c>
      <c r="H130" s="242">
        <v>0</v>
      </c>
    </row>
    <row r="131" spans="1:8" ht="15.75">
      <c r="A131" s="164"/>
      <c r="B131" s="165">
        <f>DATE(20,11,1)</f>
        <v>7611</v>
      </c>
      <c r="C131" s="226">
        <v>0</v>
      </c>
      <c r="D131" s="226">
        <v>0</v>
      </c>
      <c r="E131" s="226">
        <v>0</v>
      </c>
      <c r="F131" s="166">
        <v>0</v>
      </c>
      <c r="G131" s="241">
        <v>0</v>
      </c>
      <c r="H131" s="242">
        <v>0</v>
      </c>
    </row>
    <row r="132" spans="1:8" ht="15.75">
      <c r="A132" s="164"/>
      <c r="B132" s="165">
        <f>DATE(20,12,1)</f>
        <v>7641</v>
      </c>
      <c r="C132" s="226">
        <v>0</v>
      </c>
      <c r="D132" s="226">
        <v>0</v>
      </c>
      <c r="E132" s="226">
        <v>0</v>
      </c>
      <c r="F132" s="166">
        <v>0</v>
      </c>
      <c r="G132" s="241">
        <v>0</v>
      </c>
      <c r="H132" s="242">
        <v>0</v>
      </c>
    </row>
    <row r="133" spans="1:8" ht="15.75">
      <c r="A133" s="164"/>
      <c r="B133" s="165">
        <f>DATE(21,1,1)</f>
        <v>7672</v>
      </c>
      <c r="C133" s="226">
        <v>0</v>
      </c>
      <c r="D133" s="226">
        <v>0</v>
      </c>
      <c r="E133" s="226">
        <v>0</v>
      </c>
      <c r="F133" s="166">
        <v>0</v>
      </c>
      <c r="G133" s="241">
        <v>0</v>
      </c>
      <c r="H133" s="242">
        <v>0</v>
      </c>
    </row>
    <row r="134" spans="1:8" ht="15.75">
      <c r="A134" s="164"/>
      <c r="B134" s="165">
        <f>DATE(21,2,1)</f>
        <v>7703</v>
      </c>
      <c r="C134" s="226">
        <v>0</v>
      </c>
      <c r="D134" s="226">
        <v>0</v>
      </c>
      <c r="E134" s="226">
        <v>0</v>
      </c>
      <c r="F134" s="166">
        <v>0</v>
      </c>
      <c r="G134" s="241">
        <v>0</v>
      </c>
      <c r="H134" s="242">
        <v>0</v>
      </c>
    </row>
    <row r="135" spans="1:8" ht="15.75">
      <c r="A135" s="164"/>
      <c r="B135" s="165">
        <f>DATE(21,3,1)</f>
        <v>7731</v>
      </c>
      <c r="C135" s="226">
        <v>0</v>
      </c>
      <c r="D135" s="226">
        <v>0</v>
      </c>
      <c r="E135" s="226">
        <v>0</v>
      </c>
      <c r="F135" s="166">
        <v>0</v>
      </c>
      <c r="G135" s="241">
        <v>0</v>
      </c>
      <c r="H135" s="242">
        <v>0</v>
      </c>
    </row>
    <row r="136" spans="1:8" ht="15.75">
      <c r="A136" s="164"/>
      <c r="B136" s="165">
        <f>DATE(21,4,1)</f>
        <v>7762</v>
      </c>
      <c r="C136" s="226">
        <v>0</v>
      </c>
      <c r="D136" s="226">
        <v>0</v>
      </c>
      <c r="E136" s="226">
        <v>0</v>
      </c>
      <c r="F136" s="166">
        <v>0</v>
      </c>
      <c r="G136" s="241">
        <v>0</v>
      </c>
      <c r="H136" s="242">
        <v>0</v>
      </c>
    </row>
    <row r="137" spans="1:8" ht="15.75" thickBot="1">
      <c r="A137" s="167"/>
      <c r="B137" s="168"/>
      <c r="C137" s="226"/>
      <c r="D137" s="226"/>
      <c r="E137" s="226"/>
      <c r="F137" s="166"/>
      <c r="G137" s="241"/>
      <c r="H137" s="242"/>
    </row>
    <row r="138" spans="1:8" ht="17.25" thickBot="1" thickTop="1">
      <c r="A138" s="174" t="s">
        <v>14</v>
      </c>
      <c r="B138" s="175"/>
      <c r="C138" s="228">
        <f>SUM(C127:C137)</f>
        <v>0</v>
      </c>
      <c r="D138" s="228">
        <f>SUM(D127:D137)</f>
        <v>0</v>
      </c>
      <c r="E138" s="228">
        <f>SUM(E127:E137)</f>
        <v>0</v>
      </c>
      <c r="F138" s="176">
        <v>0</v>
      </c>
      <c r="G138" s="245">
        <v>0</v>
      </c>
      <c r="H138" s="246">
        <v>0</v>
      </c>
    </row>
    <row r="139" spans="1:8" ht="15.75" thickTop="1">
      <c r="A139" s="167"/>
      <c r="B139" s="168"/>
      <c r="C139" s="226"/>
      <c r="D139" s="226"/>
      <c r="E139" s="226"/>
      <c r="F139" s="166"/>
      <c r="G139" s="241"/>
      <c r="H139" s="242"/>
    </row>
    <row r="140" spans="1:8" ht="15.75">
      <c r="A140" s="164" t="s">
        <v>55</v>
      </c>
      <c r="B140" s="165">
        <f>DATE(20,7,1)</f>
        <v>7488</v>
      </c>
      <c r="C140" s="226">
        <v>0</v>
      </c>
      <c r="D140" s="226">
        <v>0</v>
      </c>
      <c r="E140" s="226">
        <v>0</v>
      </c>
      <c r="F140" s="166">
        <v>0</v>
      </c>
      <c r="G140" s="241">
        <v>0</v>
      </c>
      <c r="H140" s="242">
        <v>0</v>
      </c>
    </row>
    <row r="141" spans="1:8" ht="15.75">
      <c r="A141" s="164"/>
      <c r="B141" s="165">
        <f>DATE(20,8,1)</f>
        <v>7519</v>
      </c>
      <c r="C141" s="226">
        <v>0</v>
      </c>
      <c r="D141" s="226">
        <v>0</v>
      </c>
      <c r="E141" s="226">
        <v>0</v>
      </c>
      <c r="F141" s="166">
        <v>0</v>
      </c>
      <c r="G141" s="241">
        <v>0</v>
      </c>
      <c r="H141" s="242">
        <v>0</v>
      </c>
    </row>
    <row r="142" spans="1:8" ht="15.75">
      <c r="A142" s="164"/>
      <c r="B142" s="165">
        <f>DATE(20,9,1)</f>
        <v>7550</v>
      </c>
      <c r="C142" s="226">
        <v>0</v>
      </c>
      <c r="D142" s="226">
        <v>0</v>
      </c>
      <c r="E142" s="226">
        <v>0</v>
      </c>
      <c r="F142" s="166">
        <v>0</v>
      </c>
      <c r="G142" s="241">
        <v>0</v>
      </c>
      <c r="H142" s="242">
        <v>0</v>
      </c>
    </row>
    <row r="143" spans="1:8" ht="15.75">
      <c r="A143" s="164"/>
      <c r="B143" s="165">
        <f>DATE(20,10,1)</f>
        <v>7580</v>
      </c>
      <c r="C143" s="226">
        <v>0</v>
      </c>
      <c r="D143" s="226">
        <v>0</v>
      </c>
      <c r="E143" s="226">
        <v>0</v>
      </c>
      <c r="F143" s="166">
        <v>0</v>
      </c>
      <c r="G143" s="241">
        <v>0</v>
      </c>
      <c r="H143" s="242">
        <v>0</v>
      </c>
    </row>
    <row r="144" spans="1:8" ht="15.75">
      <c r="A144" s="164"/>
      <c r="B144" s="165">
        <f>DATE(20,11,1)</f>
        <v>7611</v>
      </c>
      <c r="C144" s="226">
        <v>0</v>
      </c>
      <c r="D144" s="226">
        <v>0</v>
      </c>
      <c r="E144" s="226">
        <v>0</v>
      </c>
      <c r="F144" s="166">
        <v>0</v>
      </c>
      <c r="G144" s="241">
        <v>0</v>
      </c>
      <c r="H144" s="242">
        <v>0</v>
      </c>
    </row>
    <row r="145" spans="1:8" ht="15.75">
      <c r="A145" s="164"/>
      <c r="B145" s="165">
        <f>DATE(20,12,1)</f>
        <v>7641</v>
      </c>
      <c r="C145" s="226">
        <v>0</v>
      </c>
      <c r="D145" s="226">
        <v>0</v>
      </c>
      <c r="E145" s="226">
        <v>0</v>
      </c>
      <c r="F145" s="166">
        <v>0</v>
      </c>
      <c r="G145" s="241">
        <v>0</v>
      </c>
      <c r="H145" s="242">
        <v>0</v>
      </c>
    </row>
    <row r="146" spans="1:8" ht="15.75">
      <c r="A146" s="164"/>
      <c r="B146" s="165">
        <f>DATE(21,1,1)</f>
        <v>7672</v>
      </c>
      <c r="C146" s="226">
        <v>0</v>
      </c>
      <c r="D146" s="226">
        <v>0</v>
      </c>
      <c r="E146" s="226">
        <v>0</v>
      </c>
      <c r="F146" s="166">
        <v>0</v>
      </c>
      <c r="G146" s="241">
        <v>0</v>
      </c>
      <c r="H146" s="242">
        <v>0</v>
      </c>
    </row>
    <row r="147" spans="1:8" ht="15.75">
      <c r="A147" s="164"/>
      <c r="B147" s="165">
        <f>DATE(21,2,1)</f>
        <v>7703</v>
      </c>
      <c r="C147" s="226">
        <v>0</v>
      </c>
      <c r="D147" s="226">
        <v>0</v>
      </c>
      <c r="E147" s="226">
        <v>0</v>
      </c>
      <c r="F147" s="166">
        <v>0</v>
      </c>
      <c r="G147" s="241">
        <v>0</v>
      </c>
      <c r="H147" s="242">
        <v>0</v>
      </c>
    </row>
    <row r="148" spans="1:8" ht="15.75">
      <c r="A148" s="164"/>
      <c r="B148" s="165">
        <f>DATE(21,3,1)</f>
        <v>7731</v>
      </c>
      <c r="C148" s="226">
        <v>0</v>
      </c>
      <c r="D148" s="226">
        <v>0</v>
      </c>
      <c r="E148" s="226">
        <v>0</v>
      </c>
      <c r="F148" s="166">
        <v>0</v>
      </c>
      <c r="G148" s="241">
        <v>0</v>
      </c>
      <c r="H148" s="242">
        <v>0</v>
      </c>
    </row>
    <row r="149" spans="1:8" ht="15.75">
      <c r="A149" s="164"/>
      <c r="B149" s="165">
        <f>DATE(21,4,1)</f>
        <v>7762</v>
      </c>
      <c r="C149" s="226">
        <v>0</v>
      </c>
      <c r="D149" s="226">
        <v>0</v>
      </c>
      <c r="E149" s="226">
        <v>0</v>
      </c>
      <c r="F149" s="166">
        <v>0</v>
      </c>
      <c r="G149" s="241">
        <v>0</v>
      </c>
      <c r="H149" s="242">
        <v>0</v>
      </c>
    </row>
    <row r="150" spans="1:8" ht="15.75" thickBot="1">
      <c r="A150" s="167"/>
      <c r="B150" s="168"/>
      <c r="C150" s="226"/>
      <c r="D150" s="226"/>
      <c r="E150" s="226"/>
      <c r="F150" s="166"/>
      <c r="G150" s="241"/>
      <c r="H150" s="242"/>
    </row>
    <row r="151" spans="1:8" ht="17.25" thickBot="1" thickTop="1">
      <c r="A151" s="182" t="s">
        <v>14</v>
      </c>
      <c r="B151" s="183"/>
      <c r="C151" s="230">
        <f>SUM(C140:C150)</f>
        <v>0</v>
      </c>
      <c r="D151" s="230">
        <f>SUM(D140:D150)</f>
        <v>0</v>
      </c>
      <c r="E151" s="230">
        <f>SUM(E140:E150)</f>
        <v>0</v>
      </c>
      <c r="F151" s="176">
        <v>0</v>
      </c>
      <c r="G151" s="245">
        <v>0</v>
      </c>
      <c r="H151" s="246">
        <v>0</v>
      </c>
    </row>
    <row r="152" spans="1:8" ht="15.75" thickTop="1">
      <c r="A152" s="167"/>
      <c r="B152" s="168"/>
      <c r="C152" s="226"/>
      <c r="D152" s="226"/>
      <c r="E152" s="226"/>
      <c r="F152" s="166"/>
      <c r="G152" s="241"/>
      <c r="H152" s="242"/>
    </row>
    <row r="153" spans="1:8" ht="15.75">
      <c r="A153" s="164" t="s">
        <v>37</v>
      </c>
      <c r="B153" s="165">
        <f>DATE(20,7,1)</f>
        <v>7488</v>
      </c>
      <c r="C153" s="226">
        <v>0</v>
      </c>
      <c r="D153" s="226">
        <v>0</v>
      </c>
      <c r="E153" s="226">
        <v>0</v>
      </c>
      <c r="F153" s="166">
        <v>0</v>
      </c>
      <c r="G153" s="241">
        <v>0</v>
      </c>
      <c r="H153" s="242">
        <v>0</v>
      </c>
    </row>
    <row r="154" spans="1:8" ht="15.75">
      <c r="A154" s="164"/>
      <c r="B154" s="165">
        <f>DATE(20,8,1)</f>
        <v>7519</v>
      </c>
      <c r="C154" s="226">
        <v>0</v>
      </c>
      <c r="D154" s="226">
        <v>0</v>
      </c>
      <c r="E154" s="226">
        <v>0</v>
      </c>
      <c r="F154" s="166">
        <v>0</v>
      </c>
      <c r="G154" s="241">
        <v>0</v>
      </c>
      <c r="H154" s="242">
        <v>0</v>
      </c>
    </row>
    <row r="155" spans="1:8" ht="15.75">
      <c r="A155" s="164"/>
      <c r="B155" s="165">
        <f>DATE(20,9,1)</f>
        <v>7550</v>
      </c>
      <c r="C155" s="226">
        <v>0</v>
      </c>
      <c r="D155" s="226">
        <v>0</v>
      </c>
      <c r="E155" s="226">
        <v>0</v>
      </c>
      <c r="F155" s="166">
        <v>0</v>
      </c>
      <c r="G155" s="241">
        <v>0</v>
      </c>
      <c r="H155" s="242">
        <v>0</v>
      </c>
    </row>
    <row r="156" spans="1:8" ht="15.75">
      <c r="A156" s="164"/>
      <c r="B156" s="165">
        <f>DATE(20,10,1)</f>
        <v>7580</v>
      </c>
      <c r="C156" s="226">
        <v>0</v>
      </c>
      <c r="D156" s="226">
        <v>0</v>
      </c>
      <c r="E156" s="226">
        <v>0</v>
      </c>
      <c r="F156" s="166">
        <v>0</v>
      </c>
      <c r="G156" s="241">
        <v>0</v>
      </c>
      <c r="H156" s="242">
        <v>0</v>
      </c>
    </row>
    <row r="157" spans="1:8" ht="15.75">
      <c r="A157" s="164"/>
      <c r="B157" s="165">
        <f>DATE(20,11,1)</f>
        <v>7611</v>
      </c>
      <c r="C157" s="226">
        <v>0</v>
      </c>
      <c r="D157" s="226">
        <v>0</v>
      </c>
      <c r="E157" s="226">
        <v>0</v>
      </c>
      <c r="F157" s="166">
        <v>0</v>
      </c>
      <c r="G157" s="241">
        <v>0</v>
      </c>
      <c r="H157" s="242">
        <v>0</v>
      </c>
    </row>
    <row r="158" spans="1:8" ht="15.75">
      <c r="A158" s="164"/>
      <c r="B158" s="165">
        <f>DATE(20,12,1)</f>
        <v>7641</v>
      </c>
      <c r="C158" s="226">
        <v>0</v>
      </c>
      <c r="D158" s="226">
        <v>0</v>
      </c>
      <c r="E158" s="226">
        <v>0</v>
      </c>
      <c r="F158" s="166">
        <v>0</v>
      </c>
      <c r="G158" s="241">
        <v>0</v>
      </c>
      <c r="H158" s="242">
        <v>0</v>
      </c>
    </row>
    <row r="159" spans="1:8" ht="15.75">
      <c r="A159" s="164"/>
      <c r="B159" s="165">
        <f>DATE(21,1,1)</f>
        <v>7672</v>
      </c>
      <c r="C159" s="226">
        <v>277409.66</v>
      </c>
      <c r="D159" s="226">
        <v>13801.5</v>
      </c>
      <c r="E159" s="226">
        <v>0</v>
      </c>
      <c r="F159" s="166">
        <v>1</v>
      </c>
      <c r="G159" s="241">
        <f>D159/C159</f>
        <v>0.04975133165874614</v>
      </c>
      <c r="H159" s="242">
        <f>1-G159</f>
        <v>0.9502486683412539</v>
      </c>
    </row>
    <row r="160" spans="1:8" ht="15.75">
      <c r="A160" s="164"/>
      <c r="B160" s="165">
        <f>DATE(21,2,1)</f>
        <v>7703</v>
      </c>
      <c r="C160" s="226">
        <v>578383.83</v>
      </c>
      <c r="D160" s="226">
        <v>31538.07</v>
      </c>
      <c r="E160" s="226">
        <v>0</v>
      </c>
      <c r="F160" s="166">
        <v>1</v>
      </c>
      <c r="G160" s="241">
        <f>D160/C160</f>
        <v>0.054527924821134784</v>
      </c>
      <c r="H160" s="242">
        <f>1-G160</f>
        <v>0.9454720751788652</v>
      </c>
    </row>
    <row r="161" spans="1:8" ht="15.75">
      <c r="A161" s="164"/>
      <c r="B161" s="165">
        <f>DATE(21,3,1)</f>
        <v>7731</v>
      </c>
      <c r="C161" s="226">
        <v>771651.05</v>
      </c>
      <c r="D161" s="226">
        <v>34334.9</v>
      </c>
      <c r="E161" s="226">
        <v>0</v>
      </c>
      <c r="F161" s="166">
        <v>1</v>
      </c>
      <c r="G161" s="241">
        <f>D161/C161</f>
        <v>0.04449537132101356</v>
      </c>
      <c r="H161" s="242">
        <f>1-G161</f>
        <v>0.9555046286789864</v>
      </c>
    </row>
    <row r="162" spans="1:8" ht="15.75">
      <c r="A162" s="164"/>
      <c r="B162" s="165">
        <f>DATE(21,4,1)</f>
        <v>7762</v>
      </c>
      <c r="C162" s="226">
        <v>789969.52</v>
      </c>
      <c r="D162" s="226">
        <v>43135.11</v>
      </c>
      <c r="E162" s="226">
        <v>0</v>
      </c>
      <c r="F162" s="166">
        <v>1</v>
      </c>
      <c r="G162" s="241">
        <f>D162/C162</f>
        <v>0.05460351179118911</v>
      </c>
      <c r="H162" s="242">
        <f>1-G162</f>
        <v>0.9453964882088108</v>
      </c>
    </row>
    <row r="163" spans="1:8" ht="15.75" thickBot="1">
      <c r="A163" s="167"/>
      <c r="B163" s="168"/>
      <c r="C163" s="226"/>
      <c r="D163" s="226"/>
      <c r="E163" s="226"/>
      <c r="F163" s="166"/>
      <c r="G163" s="241"/>
      <c r="H163" s="242"/>
    </row>
    <row r="164" spans="1:8" ht="17.25" thickBot="1" thickTop="1">
      <c r="A164" s="174" t="s">
        <v>14</v>
      </c>
      <c r="B164" s="175"/>
      <c r="C164" s="228">
        <f>SUM(C153:C163)</f>
        <v>2417414.06</v>
      </c>
      <c r="D164" s="228">
        <f>SUM(D153:D163)</f>
        <v>122809.58</v>
      </c>
      <c r="E164" s="228">
        <f>SUM(E153:E163)</f>
        <v>0</v>
      </c>
      <c r="F164" s="176">
        <v>0</v>
      </c>
      <c r="G164" s="245">
        <v>0</v>
      </c>
      <c r="H164" s="246">
        <v>0</v>
      </c>
    </row>
    <row r="165" spans="1:8" ht="15.75" thickTop="1">
      <c r="A165" s="167"/>
      <c r="B165" s="168"/>
      <c r="C165" s="226"/>
      <c r="D165" s="226"/>
      <c r="E165" s="226"/>
      <c r="F165" s="166"/>
      <c r="G165" s="241"/>
      <c r="H165" s="242"/>
    </row>
    <row r="166" spans="1:8" ht="15.75">
      <c r="A166" s="164" t="s">
        <v>58</v>
      </c>
      <c r="B166" s="165">
        <f>DATE(20,7,1)</f>
        <v>7488</v>
      </c>
      <c r="C166" s="226">
        <v>0</v>
      </c>
      <c r="D166" s="226">
        <v>0</v>
      </c>
      <c r="E166" s="226">
        <v>0</v>
      </c>
      <c r="F166" s="166">
        <v>0</v>
      </c>
      <c r="G166" s="241">
        <v>0</v>
      </c>
      <c r="H166" s="242">
        <v>0</v>
      </c>
    </row>
    <row r="167" spans="1:8" ht="15.75">
      <c r="A167" s="164"/>
      <c r="B167" s="165">
        <f>DATE(20,8,1)</f>
        <v>7519</v>
      </c>
      <c r="C167" s="226">
        <v>0</v>
      </c>
      <c r="D167" s="226">
        <v>0</v>
      </c>
      <c r="E167" s="226">
        <v>0</v>
      </c>
      <c r="F167" s="166">
        <v>0</v>
      </c>
      <c r="G167" s="241">
        <v>0</v>
      </c>
      <c r="H167" s="242">
        <v>0</v>
      </c>
    </row>
    <row r="168" spans="1:8" ht="15.75">
      <c r="A168" s="164"/>
      <c r="B168" s="165">
        <f>DATE(20,9,1)</f>
        <v>7550</v>
      </c>
      <c r="C168" s="226">
        <v>0</v>
      </c>
      <c r="D168" s="226">
        <v>0</v>
      </c>
      <c r="E168" s="226">
        <v>0</v>
      </c>
      <c r="F168" s="166">
        <v>0</v>
      </c>
      <c r="G168" s="241">
        <v>0</v>
      </c>
      <c r="H168" s="242">
        <v>0</v>
      </c>
    </row>
    <row r="169" spans="1:8" ht="15.75">
      <c r="A169" s="164"/>
      <c r="B169" s="165">
        <f>DATE(20,10,1)</f>
        <v>7580</v>
      </c>
      <c r="C169" s="226">
        <v>0</v>
      </c>
      <c r="D169" s="226">
        <v>0</v>
      </c>
      <c r="E169" s="226">
        <v>0</v>
      </c>
      <c r="F169" s="166">
        <v>0</v>
      </c>
      <c r="G169" s="241">
        <v>0</v>
      </c>
      <c r="H169" s="242">
        <v>0</v>
      </c>
    </row>
    <row r="170" spans="1:8" ht="15.75">
      <c r="A170" s="164"/>
      <c r="B170" s="165">
        <f>DATE(20,11,1)</f>
        <v>7611</v>
      </c>
      <c r="C170" s="226">
        <v>0</v>
      </c>
      <c r="D170" s="226">
        <v>0</v>
      </c>
      <c r="E170" s="226">
        <v>0</v>
      </c>
      <c r="F170" s="166">
        <v>0</v>
      </c>
      <c r="G170" s="241">
        <v>0</v>
      </c>
      <c r="H170" s="242">
        <v>0</v>
      </c>
    </row>
    <row r="171" spans="1:8" ht="15.75">
      <c r="A171" s="164"/>
      <c r="B171" s="165">
        <f>DATE(20,12,1)</f>
        <v>7641</v>
      </c>
      <c r="C171" s="226">
        <v>0</v>
      </c>
      <c r="D171" s="226">
        <v>0</v>
      </c>
      <c r="E171" s="226">
        <v>0</v>
      </c>
      <c r="F171" s="166">
        <v>0</v>
      </c>
      <c r="G171" s="241">
        <v>0</v>
      </c>
      <c r="H171" s="242">
        <v>0</v>
      </c>
    </row>
    <row r="172" spans="1:8" ht="15.75">
      <c r="A172" s="164"/>
      <c r="B172" s="165">
        <f>DATE(21,1,1)</f>
        <v>7672</v>
      </c>
      <c r="C172" s="226">
        <v>0</v>
      </c>
      <c r="D172" s="226">
        <v>0</v>
      </c>
      <c r="E172" s="226">
        <v>0</v>
      </c>
      <c r="F172" s="166">
        <v>0</v>
      </c>
      <c r="G172" s="241">
        <v>0</v>
      </c>
      <c r="H172" s="242">
        <v>0</v>
      </c>
    </row>
    <row r="173" spans="1:8" ht="15.75">
      <c r="A173" s="164"/>
      <c r="B173" s="165">
        <f>DATE(21,2,1)</f>
        <v>7703</v>
      </c>
      <c r="C173" s="226">
        <v>0</v>
      </c>
      <c r="D173" s="226">
        <v>0</v>
      </c>
      <c r="E173" s="226">
        <v>0</v>
      </c>
      <c r="F173" s="166">
        <v>0</v>
      </c>
      <c r="G173" s="241">
        <v>0</v>
      </c>
      <c r="H173" s="242">
        <v>0</v>
      </c>
    </row>
    <row r="174" spans="1:8" ht="15.75">
      <c r="A174" s="164"/>
      <c r="B174" s="165">
        <f>DATE(21,3,1)</f>
        <v>7731</v>
      </c>
      <c r="C174" s="226">
        <v>0</v>
      </c>
      <c r="D174" s="226">
        <v>0</v>
      </c>
      <c r="E174" s="226">
        <v>0</v>
      </c>
      <c r="F174" s="166">
        <v>0</v>
      </c>
      <c r="G174" s="241">
        <v>0</v>
      </c>
      <c r="H174" s="242">
        <v>0</v>
      </c>
    </row>
    <row r="175" spans="1:8" ht="15.75">
      <c r="A175" s="164"/>
      <c r="B175" s="165">
        <f>DATE(21,4,1)</f>
        <v>7762</v>
      </c>
      <c r="C175" s="226">
        <v>0</v>
      </c>
      <c r="D175" s="226">
        <v>0</v>
      </c>
      <c r="E175" s="226">
        <v>0</v>
      </c>
      <c r="F175" s="166">
        <v>0</v>
      </c>
      <c r="G175" s="241">
        <v>0</v>
      </c>
      <c r="H175" s="242">
        <v>0</v>
      </c>
    </row>
    <row r="176" spans="1:8" ht="15.75" thickBot="1">
      <c r="A176" s="167"/>
      <c r="B176" s="168"/>
      <c r="C176" s="226"/>
      <c r="D176" s="226"/>
      <c r="E176" s="226"/>
      <c r="F176" s="166"/>
      <c r="G176" s="241"/>
      <c r="H176" s="242"/>
    </row>
    <row r="177" spans="1:8" ht="17.25" thickBot="1" thickTop="1">
      <c r="A177" s="169" t="s">
        <v>14</v>
      </c>
      <c r="B177" s="155"/>
      <c r="C177" s="223">
        <f>SUM(C166:C176)</f>
        <v>0</v>
      </c>
      <c r="D177" s="223">
        <f>SUM(D166:D176)</f>
        <v>0</v>
      </c>
      <c r="E177" s="223">
        <f>SUM(E166:E176)</f>
        <v>0</v>
      </c>
      <c r="F177" s="176">
        <v>0</v>
      </c>
      <c r="G177" s="245">
        <v>0</v>
      </c>
      <c r="H177" s="246">
        <v>0</v>
      </c>
    </row>
    <row r="178" spans="1:8" ht="16.5" thickBot="1" thickTop="1">
      <c r="A178" s="171"/>
      <c r="B178" s="172"/>
      <c r="C178" s="227"/>
      <c r="D178" s="227"/>
      <c r="E178" s="227"/>
      <c r="F178" s="173"/>
      <c r="G178" s="243"/>
      <c r="H178" s="244"/>
    </row>
    <row r="179" spans="1:8" ht="17.25" thickBot="1" thickTop="1">
      <c r="A179" s="184" t="s">
        <v>38</v>
      </c>
      <c r="B179" s="155"/>
      <c r="C179" s="223">
        <f>C177+C164+C125+C99+C73+C47+C21+C60+C151+C34+C112+C138+C86</f>
        <v>17830154.56</v>
      </c>
      <c r="D179" s="223">
        <f>D177+D164+D125+D99+D73+D47+D21+D60+D151+D34+D112+D138+D86</f>
        <v>824344.16</v>
      </c>
      <c r="E179" s="223">
        <f>E177+E164+E125+E99+E73+E47+E21+E60+E151+E34+E112+E138+E86</f>
        <v>0</v>
      </c>
      <c r="F179" s="170">
        <v>1</v>
      </c>
      <c r="G179" s="236">
        <f>D179/C179</f>
        <v>0.04623314717917959</v>
      </c>
      <c r="H179" s="237">
        <f>1-G179</f>
        <v>0.9537668528208204</v>
      </c>
    </row>
    <row r="180" spans="1:8" ht="17.25" thickBot="1" thickTop="1">
      <c r="A180" s="184"/>
      <c r="B180" s="155"/>
      <c r="C180" s="223"/>
      <c r="D180" s="223"/>
      <c r="E180" s="223"/>
      <c r="F180" s="170"/>
      <c r="G180" s="236"/>
      <c r="H180" s="237"/>
    </row>
    <row r="181" spans="1:8" ht="17.25" thickBot="1" thickTop="1">
      <c r="A181" s="184" t="s">
        <v>39</v>
      </c>
      <c r="B181" s="155"/>
      <c r="C181" s="223">
        <f>SUM(C19+C32+C45+C58+C71+C84+C97+C110+C123+C136+C149+C162+C175)</f>
        <v>789969.52</v>
      </c>
      <c r="D181" s="223">
        <f>SUM(D19+D32+D45+D58+D71+D84+D97+D110+D123+D136+D149+D162+D175)</f>
        <v>43135.11</v>
      </c>
      <c r="E181" s="223">
        <f>SUM(E19+E32+E45+E58+E71+E84+E97+E110+E123+E136+E149+E162+E175)</f>
        <v>0</v>
      </c>
      <c r="F181" s="170">
        <v>1</v>
      </c>
      <c r="G181" s="236">
        <f>D181/C181</f>
        <v>0.05460351179118911</v>
      </c>
      <c r="H181" s="246">
        <f>1-G181</f>
        <v>0.9453964882088108</v>
      </c>
    </row>
    <row r="182" spans="1:8" ht="16.5" thickTop="1">
      <c r="A182" s="185"/>
      <c r="B182" s="186"/>
      <c r="C182" s="231"/>
      <c r="D182" s="231"/>
      <c r="E182" s="231"/>
      <c r="F182" s="187"/>
      <c r="G182" s="250"/>
      <c r="H182" s="250"/>
    </row>
    <row r="183" spans="1:8" ht="18.75">
      <c r="A183" s="188" t="s">
        <v>49</v>
      </c>
      <c r="B183" s="189"/>
      <c r="C183" s="232"/>
      <c r="D183" s="232"/>
      <c r="E183" s="232"/>
      <c r="F183" s="190"/>
      <c r="G183" s="251"/>
      <c r="H183" s="251"/>
    </row>
    <row r="184" spans="1:8" ht="15.75">
      <c r="A184" s="191"/>
      <c r="B184" s="189"/>
      <c r="C184" s="232"/>
      <c r="D184" s="232"/>
      <c r="E184" s="232"/>
      <c r="F184" s="190"/>
      <c r="G184" s="257"/>
      <c r="H184" s="257"/>
    </row>
  </sheetData>
  <sheetProtection/>
  <printOptions horizontalCentered="1"/>
  <pageMargins left="0.7" right="0.45" top="0.25" bottom="0.25" header="0.3" footer="0.3"/>
  <pageSetup horizontalDpi="600" verticalDpi="600" orientation="landscape" scale="65" r:id="rId1"/>
  <rowBreaks count="4" manualBreakCount="4">
    <brk id="47" max="255" man="1"/>
    <brk id="86" max="255" man="1"/>
    <brk id="125" max="255" man="1"/>
    <brk id="16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86"/>
  <sheetViews>
    <sheetView showOutlineSymbols="0" zoomScalePageLayoutView="0" workbookViewId="0" topLeftCell="A6">
      <selection activeCell="A6" sqref="A6"/>
    </sheetView>
  </sheetViews>
  <sheetFormatPr defaultColWidth="9.6640625" defaultRowHeight="15"/>
  <cols>
    <col min="1" max="1" width="27.6640625" style="152" customWidth="1"/>
    <col min="2" max="2" width="9.6640625" style="152" customWidth="1"/>
    <col min="3" max="3" width="18.3359375" style="233" customWidth="1"/>
    <col min="4" max="4" width="16.44531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796875" style="152" customWidth="1"/>
    <col min="10" max="16384" width="9.6640625" style="152" customWidth="1"/>
  </cols>
  <sheetData>
    <row r="1" spans="1:9" ht="18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>
      <c r="A2" s="153" t="s">
        <v>41</v>
      </c>
      <c r="B2" s="150"/>
      <c r="C2" s="222"/>
      <c r="D2" s="222"/>
      <c r="E2" s="222"/>
      <c r="F2" s="150"/>
      <c r="G2" s="234"/>
      <c r="H2" s="234"/>
      <c r="I2" s="151"/>
    </row>
    <row r="3" spans="1:9" ht="18">
      <c r="A3" s="149" t="s">
        <v>42</v>
      </c>
      <c r="B3" s="150"/>
      <c r="C3" s="222"/>
      <c r="D3" s="222"/>
      <c r="E3" s="222"/>
      <c r="F3" s="150"/>
      <c r="G3" s="234"/>
      <c r="H3" s="234"/>
      <c r="I3" s="151"/>
    </row>
    <row r="4" spans="1:9" ht="18">
      <c r="A4" s="285" t="s">
        <v>77</v>
      </c>
      <c r="B4" s="150"/>
      <c r="C4" s="222"/>
      <c r="D4" s="222"/>
      <c r="E4" s="222"/>
      <c r="F4" s="150"/>
      <c r="G4" s="234"/>
      <c r="H4" s="234"/>
      <c r="I4" s="151"/>
    </row>
    <row r="5" spans="1:9" ht="15">
      <c r="A5" s="286" t="s">
        <v>72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>
      <c r="A6" s="150"/>
      <c r="B6" s="150"/>
      <c r="C6" s="222"/>
      <c r="D6" s="222"/>
      <c r="E6" s="222"/>
      <c r="F6" s="150"/>
      <c r="G6" s="235" t="s">
        <v>43</v>
      </c>
      <c r="H6" s="235"/>
      <c r="I6" s="151"/>
    </row>
    <row r="7" spans="1:9" ht="16.5" thickTop="1">
      <c r="A7" s="154"/>
      <c r="B7" s="155" t="s">
        <v>2</v>
      </c>
      <c r="C7" s="223" t="s">
        <v>44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  <c r="I7" s="157"/>
    </row>
    <row r="8" spans="1:9" ht="16.5" thickBot="1">
      <c r="A8" s="158" t="s">
        <v>5</v>
      </c>
      <c r="B8" s="159" t="s">
        <v>6</v>
      </c>
      <c r="C8" s="224" t="s">
        <v>45</v>
      </c>
      <c r="D8" s="224" t="s">
        <v>46</v>
      </c>
      <c r="E8" s="224" t="s">
        <v>46</v>
      </c>
      <c r="F8" s="160" t="s">
        <v>8</v>
      </c>
      <c r="G8" s="238" t="s">
        <v>35</v>
      </c>
      <c r="H8" s="254" t="s">
        <v>47</v>
      </c>
      <c r="I8" s="157"/>
    </row>
    <row r="9" spans="1:9" ht="15.75" customHeight="1" thickTop="1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>
      <c r="A10" s="164" t="s">
        <v>36</v>
      </c>
      <c r="B10" s="165">
        <f>DATE(20,7,1)</f>
        <v>7488</v>
      </c>
      <c r="C10" s="226">
        <v>117848324.83</v>
      </c>
      <c r="D10" s="226">
        <v>11655862.98</v>
      </c>
      <c r="E10" s="226">
        <v>12400602.17</v>
      </c>
      <c r="F10" s="166">
        <f aca="true" t="shared" si="0" ref="F10:F18">(+D10-E10)/E10</f>
        <v>-0.06005669561770963</v>
      </c>
      <c r="G10" s="241">
        <f aca="true" t="shared" si="1" ref="G10:G19">D10/C10</f>
        <v>0.09890563142763342</v>
      </c>
      <c r="H10" s="242">
        <f aca="true" t="shared" si="2" ref="H10:H19">1-G10</f>
        <v>0.9010943685723666</v>
      </c>
      <c r="I10" s="157"/>
    </row>
    <row r="11" spans="1:9" ht="15.75">
      <c r="A11" s="164"/>
      <c r="B11" s="165">
        <f>DATE(20,8,1)</f>
        <v>7519</v>
      </c>
      <c r="C11" s="226">
        <v>114424791.59</v>
      </c>
      <c r="D11" s="226">
        <v>11056944.54</v>
      </c>
      <c r="E11" s="226">
        <v>12656746.98</v>
      </c>
      <c r="F11" s="166">
        <f t="shared" si="0"/>
        <v>-0.12639918002058387</v>
      </c>
      <c r="G11" s="241">
        <f t="shared" si="1"/>
        <v>0.09663067230761123</v>
      </c>
      <c r="H11" s="242">
        <f t="shared" si="2"/>
        <v>0.9033693276923888</v>
      </c>
      <c r="I11" s="157"/>
    </row>
    <row r="12" spans="1:9" ht="15.75">
      <c r="A12" s="164"/>
      <c r="B12" s="165">
        <f>DATE(20,9,1)</f>
        <v>7550</v>
      </c>
      <c r="C12" s="226">
        <v>114212855.16</v>
      </c>
      <c r="D12" s="226">
        <v>11050997.59</v>
      </c>
      <c r="E12" s="226">
        <v>11070519.38</v>
      </c>
      <c r="F12" s="166">
        <f t="shared" si="0"/>
        <v>-0.001763403263199108</v>
      </c>
      <c r="G12" s="241">
        <f t="shared" si="1"/>
        <v>0.09675791376127262</v>
      </c>
      <c r="H12" s="242">
        <f t="shared" si="2"/>
        <v>0.9032420862387274</v>
      </c>
      <c r="I12" s="157"/>
    </row>
    <row r="13" spans="1:9" ht="15.75">
      <c r="A13" s="164"/>
      <c r="B13" s="165">
        <f>DATE(20,10,1)</f>
        <v>7580</v>
      </c>
      <c r="C13" s="226">
        <v>116152341.93</v>
      </c>
      <c r="D13" s="226">
        <v>11431719.14</v>
      </c>
      <c r="E13" s="226">
        <v>11529928.41</v>
      </c>
      <c r="F13" s="166">
        <f t="shared" si="0"/>
        <v>-0.008517769279020142</v>
      </c>
      <c r="G13" s="241">
        <f t="shared" si="1"/>
        <v>0.09842004861933308</v>
      </c>
      <c r="H13" s="242">
        <f t="shared" si="2"/>
        <v>0.9015799513806669</v>
      </c>
      <c r="I13" s="157"/>
    </row>
    <row r="14" spans="1:9" ht="15.75">
      <c r="A14" s="164"/>
      <c r="B14" s="165">
        <f>DATE(20,11,1)</f>
        <v>7611</v>
      </c>
      <c r="C14" s="226">
        <v>102308816.99</v>
      </c>
      <c r="D14" s="226">
        <v>9830852.82</v>
      </c>
      <c r="E14" s="226">
        <v>12272643.01</v>
      </c>
      <c r="F14" s="166">
        <f t="shared" si="0"/>
        <v>-0.19896204819209515</v>
      </c>
      <c r="G14" s="241">
        <f t="shared" si="1"/>
        <v>0.09608998627128003</v>
      </c>
      <c r="H14" s="242">
        <f t="shared" si="2"/>
        <v>0.9039100137287199</v>
      </c>
      <c r="I14" s="157"/>
    </row>
    <row r="15" spans="1:9" ht="15.75">
      <c r="A15" s="164"/>
      <c r="B15" s="165">
        <f>DATE(20,12,1)</f>
        <v>7641</v>
      </c>
      <c r="C15" s="226">
        <v>105823491.84</v>
      </c>
      <c r="D15" s="226">
        <v>10848180.11</v>
      </c>
      <c r="E15" s="226">
        <v>12792439.39</v>
      </c>
      <c r="F15" s="166">
        <f t="shared" si="0"/>
        <v>-0.15198502965117439</v>
      </c>
      <c r="G15" s="241">
        <f t="shared" si="1"/>
        <v>0.1025120218713055</v>
      </c>
      <c r="H15" s="242">
        <f t="shared" si="2"/>
        <v>0.8974879781286945</v>
      </c>
      <c r="I15" s="157"/>
    </row>
    <row r="16" spans="1:9" ht="15.75">
      <c r="A16" s="164"/>
      <c r="B16" s="165">
        <f>DATE(21,1,1)</f>
        <v>7672</v>
      </c>
      <c r="C16" s="226">
        <v>115733589.67</v>
      </c>
      <c r="D16" s="226">
        <v>11373635.94</v>
      </c>
      <c r="E16" s="226">
        <v>10714900.53</v>
      </c>
      <c r="F16" s="166">
        <f t="shared" si="0"/>
        <v>0.06147844379475543</v>
      </c>
      <c r="G16" s="241">
        <f t="shared" si="1"/>
        <v>0.09827428642307315</v>
      </c>
      <c r="H16" s="242">
        <f t="shared" si="2"/>
        <v>0.9017257135769269</v>
      </c>
      <c r="I16" s="157"/>
    </row>
    <row r="17" spans="1:9" ht="15.75">
      <c r="A17" s="164"/>
      <c r="B17" s="165">
        <f>DATE(21,2,1)</f>
        <v>7703</v>
      </c>
      <c r="C17" s="226">
        <v>100899847.07</v>
      </c>
      <c r="D17" s="226">
        <v>9994364.92</v>
      </c>
      <c r="E17" s="226">
        <v>11908211.5</v>
      </c>
      <c r="F17" s="166">
        <f t="shared" si="0"/>
        <v>-0.16071654253033715</v>
      </c>
      <c r="G17" s="241">
        <f t="shared" si="1"/>
        <v>0.09905232971330806</v>
      </c>
      <c r="H17" s="242">
        <f t="shared" si="2"/>
        <v>0.900947670286692</v>
      </c>
      <c r="I17" s="157"/>
    </row>
    <row r="18" spans="1:9" ht="15.75">
      <c r="A18" s="164"/>
      <c r="B18" s="165">
        <f>DATE(21,3,1)</f>
        <v>7731</v>
      </c>
      <c r="C18" s="226">
        <v>144743304.49</v>
      </c>
      <c r="D18" s="226">
        <v>14258928.63</v>
      </c>
      <c r="E18" s="226">
        <v>5911698.16</v>
      </c>
      <c r="F18" s="166">
        <f t="shared" si="0"/>
        <v>1.4119852272701285</v>
      </c>
      <c r="G18" s="241">
        <f t="shared" si="1"/>
        <v>0.09851183569589651</v>
      </c>
      <c r="H18" s="242">
        <f t="shared" si="2"/>
        <v>0.9014881643041035</v>
      </c>
      <c r="I18" s="157"/>
    </row>
    <row r="19" spans="1:9" ht="15.75">
      <c r="A19" s="164"/>
      <c r="B19" s="165">
        <f>DATE(21,4,1)</f>
        <v>7762</v>
      </c>
      <c r="C19" s="226">
        <v>137879533.27</v>
      </c>
      <c r="D19" s="226">
        <v>13130706.04</v>
      </c>
      <c r="E19" s="226">
        <v>0</v>
      </c>
      <c r="F19" s="166">
        <v>1</v>
      </c>
      <c r="G19" s="241">
        <f t="shared" si="1"/>
        <v>0.09523317731491765</v>
      </c>
      <c r="H19" s="242">
        <f t="shared" si="2"/>
        <v>0.9047668226850824</v>
      </c>
      <c r="I19" s="157"/>
    </row>
    <row r="20" spans="1:9" ht="15.75" thickBot="1">
      <c r="A20" s="167"/>
      <c r="B20" s="168"/>
      <c r="C20" s="226"/>
      <c r="D20" s="226"/>
      <c r="E20" s="226"/>
      <c r="F20" s="166"/>
      <c r="G20" s="241"/>
      <c r="H20" s="242"/>
      <c r="I20" s="157"/>
    </row>
    <row r="21" spans="1:9" ht="17.25" thickBot="1" thickTop="1">
      <c r="A21" s="169" t="s">
        <v>14</v>
      </c>
      <c r="B21" s="155"/>
      <c r="C21" s="223">
        <f>SUM(C10:C20)</f>
        <v>1170026896.84</v>
      </c>
      <c r="D21" s="223">
        <f>SUM(D10:D20)</f>
        <v>114632192.71000001</v>
      </c>
      <c r="E21" s="223">
        <f>SUM(E10:E20)</f>
        <v>101257689.53</v>
      </c>
      <c r="F21" s="170">
        <f>(+D21-E21)/E21</f>
        <v>0.13208382733281201</v>
      </c>
      <c r="G21" s="236">
        <f>D21/C21</f>
        <v>0.09797398078590996</v>
      </c>
      <c r="H21" s="237">
        <f>1-G21</f>
        <v>0.9020260192140901</v>
      </c>
      <c r="I21" s="157"/>
    </row>
    <row r="22" spans="1:9" ht="15.75" thickTop="1">
      <c r="A22" s="171"/>
      <c r="B22" s="172"/>
      <c r="C22" s="227"/>
      <c r="D22" s="227"/>
      <c r="E22" s="227"/>
      <c r="F22" s="173"/>
      <c r="G22" s="243"/>
      <c r="H22" s="244"/>
      <c r="I22" s="157"/>
    </row>
    <row r="23" spans="1:9" ht="15.75">
      <c r="A23" s="19" t="s">
        <v>48</v>
      </c>
      <c r="B23" s="165">
        <f>DATE(20,7,1)</f>
        <v>7488</v>
      </c>
      <c r="C23" s="226">
        <v>50404182.52</v>
      </c>
      <c r="D23" s="226">
        <v>5066109.03</v>
      </c>
      <c r="E23" s="226">
        <v>6237251.83</v>
      </c>
      <c r="F23" s="166">
        <f aca="true" t="shared" si="3" ref="F23:F31">(+D23-E23)/E23</f>
        <v>-0.1877658353262289</v>
      </c>
      <c r="G23" s="241">
        <f aca="true" t="shared" si="4" ref="G23:G32">D23/C23</f>
        <v>0.10050969536089205</v>
      </c>
      <c r="H23" s="242">
        <f aca="true" t="shared" si="5" ref="H23:H32">1-G23</f>
        <v>0.899490304639108</v>
      </c>
      <c r="I23" s="157"/>
    </row>
    <row r="24" spans="1:9" ht="15.75">
      <c r="A24" s="19"/>
      <c r="B24" s="165">
        <f>DATE(20,8,1)</f>
        <v>7519</v>
      </c>
      <c r="C24" s="226">
        <v>55094697.78</v>
      </c>
      <c r="D24" s="226">
        <v>5468550.73</v>
      </c>
      <c r="E24" s="226">
        <v>6248302.35</v>
      </c>
      <c r="F24" s="166">
        <f t="shared" si="3"/>
        <v>-0.12479415628790742</v>
      </c>
      <c r="G24" s="241">
        <f t="shared" si="4"/>
        <v>0.09925729608022546</v>
      </c>
      <c r="H24" s="242">
        <f t="shared" si="5"/>
        <v>0.9007427039197745</v>
      </c>
      <c r="I24" s="157"/>
    </row>
    <row r="25" spans="1:9" ht="15.75">
      <c r="A25" s="19"/>
      <c r="B25" s="165">
        <f>DATE(20,9,1)</f>
        <v>7550</v>
      </c>
      <c r="C25" s="226">
        <v>55214801.95</v>
      </c>
      <c r="D25" s="226">
        <v>5506925.16</v>
      </c>
      <c r="E25" s="226">
        <v>5841517.6</v>
      </c>
      <c r="F25" s="166">
        <f t="shared" si="3"/>
        <v>-0.05727834150495404</v>
      </c>
      <c r="G25" s="241">
        <f t="shared" si="4"/>
        <v>0.09973639251639116</v>
      </c>
      <c r="H25" s="242">
        <f t="shared" si="5"/>
        <v>0.9002636074836088</v>
      </c>
      <c r="I25" s="157"/>
    </row>
    <row r="26" spans="1:9" ht="15.75">
      <c r="A26" s="19"/>
      <c r="B26" s="165">
        <f>DATE(20,10,1)</f>
        <v>7580</v>
      </c>
      <c r="C26" s="226">
        <v>53988473.47</v>
      </c>
      <c r="D26" s="226">
        <v>5104255.39</v>
      </c>
      <c r="E26" s="226">
        <v>5457854.24</v>
      </c>
      <c r="F26" s="166">
        <f t="shared" si="3"/>
        <v>-0.06478715525389343</v>
      </c>
      <c r="G26" s="241">
        <f t="shared" si="4"/>
        <v>0.09454342866049552</v>
      </c>
      <c r="H26" s="242">
        <f t="shared" si="5"/>
        <v>0.9054565713395045</v>
      </c>
      <c r="I26" s="157"/>
    </row>
    <row r="27" spans="1:9" ht="15.75">
      <c r="A27" s="19"/>
      <c r="B27" s="165">
        <f>DATE(20,11,1)</f>
        <v>7611</v>
      </c>
      <c r="C27" s="226">
        <v>49119685.87</v>
      </c>
      <c r="D27" s="226">
        <v>4814628.37</v>
      </c>
      <c r="E27" s="226">
        <v>5836194.67</v>
      </c>
      <c r="F27" s="166">
        <f t="shared" si="3"/>
        <v>-0.17503979181009735</v>
      </c>
      <c r="G27" s="241">
        <f t="shared" si="4"/>
        <v>0.09801830538457391</v>
      </c>
      <c r="H27" s="242">
        <f t="shared" si="5"/>
        <v>0.9019816946154261</v>
      </c>
      <c r="I27" s="157"/>
    </row>
    <row r="28" spans="1:9" ht="15.75">
      <c r="A28" s="19"/>
      <c r="B28" s="165">
        <f>DATE(20,12,1)</f>
        <v>7641</v>
      </c>
      <c r="C28" s="226">
        <v>52195306.52</v>
      </c>
      <c r="D28" s="226">
        <v>5255704.49</v>
      </c>
      <c r="E28" s="226">
        <v>5543658.99</v>
      </c>
      <c r="F28" s="166">
        <f t="shared" si="3"/>
        <v>-0.05194303988023621</v>
      </c>
      <c r="G28" s="241">
        <f t="shared" si="4"/>
        <v>0.10069304771658232</v>
      </c>
      <c r="H28" s="242">
        <f t="shared" si="5"/>
        <v>0.8993069522834177</v>
      </c>
      <c r="I28" s="157"/>
    </row>
    <row r="29" spans="1:9" ht="15.75">
      <c r="A29" s="19"/>
      <c r="B29" s="165">
        <f>DATE(21,1,1)</f>
        <v>7672</v>
      </c>
      <c r="C29" s="226">
        <v>63984289.19</v>
      </c>
      <c r="D29" s="226">
        <v>6374309.3</v>
      </c>
      <c r="E29" s="226">
        <v>5017454.9</v>
      </c>
      <c r="F29" s="166">
        <f t="shared" si="3"/>
        <v>0.27042682536120044</v>
      </c>
      <c r="G29" s="241">
        <f t="shared" si="4"/>
        <v>0.09962303841606528</v>
      </c>
      <c r="H29" s="242">
        <f t="shared" si="5"/>
        <v>0.9003769615839348</v>
      </c>
      <c r="I29" s="157"/>
    </row>
    <row r="30" spans="1:9" ht="15.75">
      <c r="A30" s="19"/>
      <c r="B30" s="165">
        <f>DATE(21,2,1)</f>
        <v>7703</v>
      </c>
      <c r="C30" s="226">
        <v>52614630.2</v>
      </c>
      <c r="D30" s="226">
        <v>5505403.35</v>
      </c>
      <c r="E30" s="226">
        <v>6113250.57</v>
      </c>
      <c r="F30" s="166">
        <f t="shared" si="3"/>
        <v>-0.0994310985685641</v>
      </c>
      <c r="G30" s="241">
        <f t="shared" si="4"/>
        <v>0.10463635929916693</v>
      </c>
      <c r="H30" s="242">
        <f t="shared" si="5"/>
        <v>0.8953636407008331</v>
      </c>
      <c r="I30" s="157"/>
    </row>
    <row r="31" spans="1:9" ht="15.75">
      <c r="A31" s="19"/>
      <c r="B31" s="165">
        <f>DATE(21,3,1)</f>
        <v>7731</v>
      </c>
      <c r="C31" s="226">
        <v>79747979.61</v>
      </c>
      <c r="D31" s="226">
        <v>7970520.96</v>
      </c>
      <c r="E31" s="226">
        <v>3135575.4</v>
      </c>
      <c r="F31" s="166">
        <f t="shared" si="3"/>
        <v>1.5419643743856393</v>
      </c>
      <c r="G31" s="241">
        <f t="shared" si="4"/>
        <v>0.09994636853471503</v>
      </c>
      <c r="H31" s="242">
        <f t="shared" si="5"/>
        <v>0.9000536314652849</v>
      </c>
      <c r="I31" s="157"/>
    </row>
    <row r="32" spans="1:9" ht="15.75">
      <c r="A32" s="19"/>
      <c r="B32" s="165">
        <f>DATE(21,4,1)</f>
        <v>7762</v>
      </c>
      <c r="C32" s="226">
        <v>73272554.65</v>
      </c>
      <c r="D32" s="226">
        <v>7582503.62</v>
      </c>
      <c r="E32" s="226">
        <v>0</v>
      </c>
      <c r="F32" s="166">
        <v>1</v>
      </c>
      <c r="G32" s="241">
        <f t="shared" si="4"/>
        <v>0.10348354382100146</v>
      </c>
      <c r="H32" s="242">
        <f t="shared" si="5"/>
        <v>0.8965164561789986</v>
      </c>
      <c r="I32" s="157"/>
    </row>
    <row r="33" spans="1:9" ht="15.75" thickBot="1">
      <c r="A33" s="167"/>
      <c r="B33" s="165"/>
      <c r="C33" s="226"/>
      <c r="D33" s="226"/>
      <c r="E33" s="226"/>
      <c r="F33" s="166"/>
      <c r="G33" s="241"/>
      <c r="H33" s="242"/>
      <c r="I33" s="157"/>
    </row>
    <row r="34" spans="1:9" ht="17.25" thickBot="1" thickTop="1">
      <c r="A34" s="169" t="s">
        <v>14</v>
      </c>
      <c r="B34" s="155"/>
      <c r="C34" s="223">
        <f>SUM(C23:C33)</f>
        <v>585636601.76</v>
      </c>
      <c r="D34" s="223">
        <f>SUM(D23:D33)</f>
        <v>58648910.4</v>
      </c>
      <c r="E34" s="223">
        <f>SUM(E23:E33)</f>
        <v>49431060.550000004</v>
      </c>
      <c r="F34" s="170">
        <f>(+D34-E34)/E34</f>
        <v>0.18647890106820686</v>
      </c>
      <c r="G34" s="236">
        <f>D34/C34</f>
        <v>0.10014556846983914</v>
      </c>
      <c r="H34" s="237">
        <f>1-G34</f>
        <v>0.8998544315301609</v>
      </c>
      <c r="I34" s="157"/>
    </row>
    <row r="35" spans="1:9" ht="15.75" thickTop="1">
      <c r="A35" s="171"/>
      <c r="B35" s="172"/>
      <c r="C35" s="227"/>
      <c r="D35" s="227"/>
      <c r="E35" s="227"/>
      <c r="F35" s="173"/>
      <c r="G35" s="243"/>
      <c r="H35" s="244"/>
      <c r="I35" s="157"/>
    </row>
    <row r="36" spans="1:9" ht="15.75">
      <c r="A36" s="19" t="s">
        <v>65</v>
      </c>
      <c r="B36" s="165">
        <f>DATE(20,7,1)</f>
        <v>7488</v>
      </c>
      <c r="C36" s="226">
        <v>28855708.97</v>
      </c>
      <c r="D36" s="226">
        <v>3105687.6</v>
      </c>
      <c r="E36" s="226">
        <v>2967073.27</v>
      </c>
      <c r="F36" s="166">
        <f aca="true" t="shared" si="6" ref="F36:F44">(+D36-E36)/E36</f>
        <v>0.04671752848220027</v>
      </c>
      <c r="G36" s="241">
        <f aca="true" t="shared" si="7" ref="G36:G45">D36/C36</f>
        <v>0.10762818557772556</v>
      </c>
      <c r="H36" s="242">
        <f aca="true" t="shared" si="8" ref="H36:H45">1-G36</f>
        <v>0.8923718144222744</v>
      </c>
      <c r="I36" s="157"/>
    </row>
    <row r="37" spans="1:9" ht="15.75">
      <c r="A37" s="19"/>
      <c r="B37" s="165">
        <f>DATE(20,8,1)</f>
        <v>7519</v>
      </c>
      <c r="C37" s="226">
        <v>29064729.83</v>
      </c>
      <c r="D37" s="226">
        <v>3031801</v>
      </c>
      <c r="E37" s="226">
        <v>2916117.84</v>
      </c>
      <c r="F37" s="166">
        <f t="shared" si="6"/>
        <v>0.03967026243356481</v>
      </c>
      <c r="G37" s="241">
        <f t="shared" si="7"/>
        <v>0.10431203103325046</v>
      </c>
      <c r="H37" s="242">
        <f t="shared" si="8"/>
        <v>0.8956879689667495</v>
      </c>
      <c r="I37" s="157"/>
    </row>
    <row r="38" spans="1:9" ht="15.75">
      <c r="A38" s="19"/>
      <c r="B38" s="165">
        <f>DATE(20,9,1)</f>
        <v>7550</v>
      </c>
      <c r="C38" s="226">
        <v>27838192.81</v>
      </c>
      <c r="D38" s="226">
        <v>2818231.18</v>
      </c>
      <c r="E38" s="226">
        <v>2810959.49</v>
      </c>
      <c r="F38" s="166">
        <f t="shared" si="6"/>
        <v>0.0025869067220175212</v>
      </c>
      <c r="G38" s="241">
        <f t="shared" si="7"/>
        <v>0.10123613983259858</v>
      </c>
      <c r="H38" s="242">
        <f t="shared" si="8"/>
        <v>0.8987638601674014</v>
      </c>
      <c r="I38" s="157"/>
    </row>
    <row r="39" spans="1:9" ht="15.75">
      <c r="A39" s="19"/>
      <c r="B39" s="165">
        <f>DATE(20,10,1)</f>
        <v>7580</v>
      </c>
      <c r="C39" s="226">
        <v>28682754.15</v>
      </c>
      <c r="D39" s="226">
        <v>2969140.93</v>
      </c>
      <c r="E39" s="226">
        <v>2793135.18</v>
      </c>
      <c r="F39" s="166">
        <f t="shared" si="6"/>
        <v>0.06301368843881018</v>
      </c>
      <c r="G39" s="241">
        <f t="shared" si="7"/>
        <v>0.10351659099654488</v>
      </c>
      <c r="H39" s="242">
        <f t="shared" si="8"/>
        <v>0.8964834090034551</v>
      </c>
      <c r="I39" s="157"/>
    </row>
    <row r="40" spans="1:9" ht="15.75">
      <c r="A40" s="19"/>
      <c r="B40" s="165">
        <f>DATE(20,11,1)</f>
        <v>7611</v>
      </c>
      <c r="C40" s="226">
        <v>25814394.19</v>
      </c>
      <c r="D40" s="226">
        <v>2745164.62</v>
      </c>
      <c r="E40" s="226">
        <v>2801393.45</v>
      </c>
      <c r="F40" s="166">
        <f t="shared" si="6"/>
        <v>-0.02007173608548277</v>
      </c>
      <c r="G40" s="241">
        <f t="shared" si="7"/>
        <v>0.10634239950761362</v>
      </c>
      <c r="H40" s="242">
        <f t="shared" si="8"/>
        <v>0.8936576004923864</v>
      </c>
      <c r="I40" s="157"/>
    </row>
    <row r="41" spans="1:9" ht="15.75">
      <c r="A41" s="19"/>
      <c r="B41" s="165">
        <f>DATE(20,12,1)</f>
        <v>7641</v>
      </c>
      <c r="C41" s="226">
        <v>28285885.03</v>
      </c>
      <c r="D41" s="226">
        <v>2957388.53</v>
      </c>
      <c r="E41" s="226">
        <v>3071223.19</v>
      </c>
      <c r="F41" s="166">
        <f t="shared" si="6"/>
        <v>-0.03706492591311807</v>
      </c>
      <c r="G41" s="241">
        <f t="shared" si="7"/>
        <v>0.10455350882121575</v>
      </c>
      <c r="H41" s="242">
        <f t="shared" si="8"/>
        <v>0.8954464911787843</v>
      </c>
      <c r="I41" s="157"/>
    </row>
    <row r="42" spans="1:9" ht="15.75">
      <c r="A42" s="19"/>
      <c r="B42" s="165">
        <f>DATE(21,1,1)</f>
        <v>7672</v>
      </c>
      <c r="C42" s="226">
        <v>35752441.08</v>
      </c>
      <c r="D42" s="226">
        <v>3739186.99</v>
      </c>
      <c r="E42" s="226">
        <v>2879669.48</v>
      </c>
      <c r="F42" s="166">
        <f t="shared" si="6"/>
        <v>0.29847783433812697</v>
      </c>
      <c r="G42" s="241">
        <f t="shared" si="7"/>
        <v>0.10458550177407916</v>
      </c>
      <c r="H42" s="242">
        <f t="shared" si="8"/>
        <v>0.8954144982259209</v>
      </c>
      <c r="I42" s="157"/>
    </row>
    <row r="43" spans="1:9" ht="15.75">
      <c r="A43" s="19"/>
      <c r="B43" s="165">
        <f>DATE(21,2,1)</f>
        <v>7703</v>
      </c>
      <c r="C43" s="226">
        <v>24947536.66</v>
      </c>
      <c r="D43" s="226">
        <v>2745767.52</v>
      </c>
      <c r="E43" s="226">
        <v>3109782.22</v>
      </c>
      <c r="F43" s="166">
        <f t="shared" si="6"/>
        <v>-0.11705472417293587</v>
      </c>
      <c r="G43" s="241">
        <f t="shared" si="7"/>
        <v>0.1100616689102803</v>
      </c>
      <c r="H43" s="242">
        <f t="shared" si="8"/>
        <v>0.8899383310897198</v>
      </c>
      <c r="I43" s="157"/>
    </row>
    <row r="44" spans="1:9" ht="15.75">
      <c r="A44" s="19"/>
      <c r="B44" s="165">
        <f>DATE(21,3,1)</f>
        <v>7731</v>
      </c>
      <c r="C44" s="226">
        <v>46926675.24</v>
      </c>
      <c r="D44" s="226">
        <v>4916550.05</v>
      </c>
      <c r="E44" s="226">
        <v>1626583.08</v>
      </c>
      <c r="F44" s="166">
        <f t="shared" si="6"/>
        <v>2.022624611341709</v>
      </c>
      <c r="G44" s="241">
        <f t="shared" si="7"/>
        <v>0.10477090108887926</v>
      </c>
      <c r="H44" s="242">
        <f t="shared" si="8"/>
        <v>0.8952290989111207</v>
      </c>
      <c r="I44" s="157"/>
    </row>
    <row r="45" spans="1:9" ht="15.75">
      <c r="A45" s="19"/>
      <c r="B45" s="165">
        <f>DATE(21,4,1)</f>
        <v>7762</v>
      </c>
      <c r="C45" s="226">
        <v>45825821.18</v>
      </c>
      <c r="D45" s="226">
        <v>5056717.64</v>
      </c>
      <c r="E45" s="226">
        <v>0</v>
      </c>
      <c r="F45" s="166">
        <v>1</v>
      </c>
      <c r="G45" s="241">
        <f t="shared" si="7"/>
        <v>0.1103464708278251</v>
      </c>
      <c r="H45" s="242">
        <f t="shared" si="8"/>
        <v>0.8896535291721749</v>
      </c>
      <c r="I45" s="157"/>
    </row>
    <row r="46" spans="1:9" ht="15.75" thickBot="1">
      <c r="A46" s="167"/>
      <c r="B46" s="165"/>
      <c r="C46" s="226"/>
      <c r="D46" s="226"/>
      <c r="E46" s="226"/>
      <c r="F46" s="166"/>
      <c r="G46" s="241"/>
      <c r="H46" s="242"/>
      <c r="I46" s="157"/>
    </row>
    <row r="47" spans="1:9" ht="17.25" thickBot="1" thickTop="1">
      <c r="A47" s="174" t="s">
        <v>14</v>
      </c>
      <c r="B47" s="175"/>
      <c r="C47" s="228">
        <f>SUM(C36:C46)</f>
        <v>321994139.14</v>
      </c>
      <c r="D47" s="228">
        <f>SUM(D36:D46)</f>
        <v>34085636.06</v>
      </c>
      <c r="E47" s="228">
        <f>SUM(E36:E46)</f>
        <v>24975937.200000003</v>
      </c>
      <c r="F47" s="176">
        <f>(+D47-E47)/E47</f>
        <v>0.36473902008369874</v>
      </c>
      <c r="G47" s="245">
        <f>D47/C47</f>
        <v>0.10585793937441791</v>
      </c>
      <c r="H47" s="246">
        <f>1-G47</f>
        <v>0.8941420606255821</v>
      </c>
      <c r="I47" s="157"/>
    </row>
    <row r="48" spans="1:9" ht="15.75" thickTop="1">
      <c r="A48" s="167"/>
      <c r="B48" s="168"/>
      <c r="C48" s="226"/>
      <c r="D48" s="226"/>
      <c r="E48" s="226"/>
      <c r="F48" s="166"/>
      <c r="G48" s="241"/>
      <c r="H48" s="242"/>
      <c r="I48" s="157"/>
    </row>
    <row r="49" spans="1:9" ht="15.75">
      <c r="A49" s="177" t="s">
        <v>59</v>
      </c>
      <c r="B49" s="165">
        <f>DATE(20,7,1)</f>
        <v>7488</v>
      </c>
      <c r="C49" s="226">
        <v>143439230.22</v>
      </c>
      <c r="D49" s="226">
        <v>12870761.89</v>
      </c>
      <c r="E49" s="226">
        <v>17279710.35</v>
      </c>
      <c r="F49" s="166">
        <f aca="true" t="shared" si="9" ref="F49:F57">(+D49-E49)/E49</f>
        <v>-0.2551517572168101</v>
      </c>
      <c r="G49" s="241">
        <f aca="true" t="shared" si="10" ref="G49:G58">D49/C49</f>
        <v>0.08972971947952776</v>
      </c>
      <c r="H49" s="242">
        <f aca="true" t="shared" si="11" ref="H49:H58">1-G49</f>
        <v>0.9102702805204722</v>
      </c>
      <c r="I49" s="157"/>
    </row>
    <row r="50" spans="1:9" ht="15.75">
      <c r="A50" s="177"/>
      <c r="B50" s="165">
        <f>DATE(20,8,1)</f>
        <v>7519</v>
      </c>
      <c r="C50" s="226">
        <v>144700809.45</v>
      </c>
      <c r="D50" s="226">
        <v>13070251.67</v>
      </c>
      <c r="E50" s="226">
        <v>17467037.46</v>
      </c>
      <c r="F50" s="166">
        <f t="shared" si="9"/>
        <v>-0.2517190336408657</v>
      </c>
      <c r="G50" s="241">
        <f t="shared" si="10"/>
        <v>0.09032604392248617</v>
      </c>
      <c r="H50" s="242">
        <f t="shared" si="11"/>
        <v>0.9096739560775138</v>
      </c>
      <c r="I50" s="157"/>
    </row>
    <row r="51" spans="1:9" ht="15.75">
      <c r="A51" s="177"/>
      <c r="B51" s="165">
        <f>DATE(20,9,1)</f>
        <v>7550</v>
      </c>
      <c r="C51" s="226">
        <v>139818303.37</v>
      </c>
      <c r="D51" s="226">
        <v>12783360.18</v>
      </c>
      <c r="E51" s="226">
        <v>16156127.95</v>
      </c>
      <c r="F51" s="166">
        <f t="shared" si="9"/>
        <v>-0.20876089744015675</v>
      </c>
      <c r="G51" s="241">
        <f t="shared" si="10"/>
        <v>0.09142837433931308</v>
      </c>
      <c r="H51" s="242">
        <f t="shared" si="11"/>
        <v>0.9085716256606869</v>
      </c>
      <c r="I51" s="157"/>
    </row>
    <row r="52" spans="1:9" ht="15.75">
      <c r="A52" s="177"/>
      <c r="B52" s="165">
        <f>DATE(20,10,1)</f>
        <v>7580</v>
      </c>
      <c r="C52" s="226">
        <v>145940508.44</v>
      </c>
      <c r="D52" s="226">
        <v>13822122.46</v>
      </c>
      <c r="E52" s="226">
        <v>15798088.05</v>
      </c>
      <c r="F52" s="166">
        <f t="shared" si="9"/>
        <v>-0.12507624870466524</v>
      </c>
      <c r="G52" s="241">
        <f t="shared" si="10"/>
        <v>0.0947106640078799</v>
      </c>
      <c r="H52" s="242">
        <f t="shared" si="11"/>
        <v>0.9052893359921201</v>
      </c>
      <c r="I52" s="157"/>
    </row>
    <row r="53" spans="1:9" ht="15.75">
      <c r="A53" s="177"/>
      <c r="B53" s="165">
        <f>DATE(20,11,1)</f>
        <v>7611</v>
      </c>
      <c r="C53" s="226">
        <v>125885717.19</v>
      </c>
      <c r="D53" s="226">
        <v>11508836.74</v>
      </c>
      <c r="E53" s="226">
        <v>16997575.63</v>
      </c>
      <c r="F53" s="166">
        <f t="shared" si="9"/>
        <v>-0.3229130441586392</v>
      </c>
      <c r="G53" s="241">
        <f t="shared" si="10"/>
        <v>0.09142289528072235</v>
      </c>
      <c r="H53" s="242">
        <f t="shared" si="11"/>
        <v>0.9085771047192777</v>
      </c>
      <c r="I53" s="157"/>
    </row>
    <row r="54" spans="1:9" ht="15.75">
      <c r="A54" s="177"/>
      <c r="B54" s="165">
        <f>DATE(20,12,1)</f>
        <v>7641</v>
      </c>
      <c r="C54" s="226">
        <v>127434010.31</v>
      </c>
      <c r="D54" s="226">
        <v>12101151.11</v>
      </c>
      <c r="E54" s="226">
        <v>16683119.9</v>
      </c>
      <c r="F54" s="166">
        <f t="shared" si="9"/>
        <v>-0.2746469975319185</v>
      </c>
      <c r="G54" s="241">
        <f t="shared" si="10"/>
        <v>0.09496013725505739</v>
      </c>
      <c r="H54" s="242">
        <f t="shared" si="11"/>
        <v>0.9050398627449426</v>
      </c>
      <c r="I54" s="157"/>
    </row>
    <row r="55" spans="1:9" ht="15.75">
      <c r="A55" s="177"/>
      <c r="B55" s="165">
        <f>DATE(21,1,1)</f>
        <v>7672</v>
      </c>
      <c r="C55" s="226">
        <v>130447012.61</v>
      </c>
      <c r="D55" s="226">
        <v>12204646.31</v>
      </c>
      <c r="E55" s="226">
        <v>16201519.72</v>
      </c>
      <c r="F55" s="166">
        <f t="shared" si="9"/>
        <v>-0.2466974382079757</v>
      </c>
      <c r="G55" s="241">
        <f t="shared" si="10"/>
        <v>0.09356018252781666</v>
      </c>
      <c r="H55" s="242">
        <f t="shared" si="11"/>
        <v>0.9064398174721834</v>
      </c>
      <c r="I55" s="157"/>
    </row>
    <row r="56" spans="1:9" ht="15.75">
      <c r="A56" s="177"/>
      <c r="B56" s="165">
        <f>DATE(21,2,1)</f>
        <v>7703</v>
      </c>
      <c r="C56" s="226">
        <v>107999880.94</v>
      </c>
      <c r="D56" s="226">
        <v>10252818.6</v>
      </c>
      <c r="E56" s="226">
        <v>17277967.89</v>
      </c>
      <c r="F56" s="166">
        <f t="shared" si="9"/>
        <v>-0.40659580656275895</v>
      </c>
      <c r="G56" s="241">
        <f t="shared" si="10"/>
        <v>0.09493361021107066</v>
      </c>
      <c r="H56" s="242">
        <f t="shared" si="11"/>
        <v>0.9050663897889293</v>
      </c>
      <c r="I56" s="157"/>
    </row>
    <row r="57" spans="1:9" ht="15.75">
      <c r="A57" s="177"/>
      <c r="B57" s="165">
        <f>DATE(21,3,1)</f>
        <v>7731</v>
      </c>
      <c r="C57" s="226">
        <v>158129137.2</v>
      </c>
      <c r="D57" s="226">
        <v>14669876.65</v>
      </c>
      <c r="E57" s="226">
        <v>8020184.34</v>
      </c>
      <c r="F57" s="166">
        <f t="shared" si="9"/>
        <v>0.8291196346741327</v>
      </c>
      <c r="G57" s="241">
        <f t="shared" si="10"/>
        <v>0.09277149619456725</v>
      </c>
      <c r="H57" s="242">
        <f t="shared" si="11"/>
        <v>0.9072285038054327</v>
      </c>
      <c r="I57" s="157"/>
    </row>
    <row r="58" spans="1:9" ht="15.75">
      <c r="A58" s="177"/>
      <c r="B58" s="165">
        <f>DATE(21,4,1)</f>
        <v>7762</v>
      </c>
      <c r="C58" s="226">
        <v>164755479.81</v>
      </c>
      <c r="D58" s="226">
        <v>15179487.01</v>
      </c>
      <c r="E58" s="226">
        <v>0</v>
      </c>
      <c r="F58" s="166">
        <v>1</v>
      </c>
      <c r="G58" s="241">
        <f t="shared" si="10"/>
        <v>0.09213342723110242</v>
      </c>
      <c r="H58" s="242">
        <f t="shared" si="11"/>
        <v>0.9078665727688976</v>
      </c>
      <c r="I58" s="157"/>
    </row>
    <row r="59" spans="1:9" ht="15.75" thickBot="1">
      <c r="A59" s="167"/>
      <c r="B59" s="168"/>
      <c r="C59" s="226"/>
      <c r="D59" s="226"/>
      <c r="E59" s="226"/>
      <c r="F59" s="166"/>
      <c r="G59" s="241"/>
      <c r="H59" s="242"/>
      <c r="I59" s="157"/>
    </row>
    <row r="60" spans="1:9" ht="17.25" thickBot="1" thickTop="1">
      <c r="A60" s="174" t="s">
        <v>14</v>
      </c>
      <c r="B60" s="178"/>
      <c r="C60" s="228">
        <f>SUM(C49:C59)</f>
        <v>1388550089.54</v>
      </c>
      <c r="D60" s="228">
        <f>SUM(D49:D59)</f>
        <v>128463312.62000002</v>
      </c>
      <c r="E60" s="228">
        <f>SUM(E49:E59)</f>
        <v>141881331.29</v>
      </c>
      <c r="F60" s="176">
        <f>(+D60-E60)/E60</f>
        <v>-0.09457212268874231</v>
      </c>
      <c r="G60" s="245">
        <f>D60/C60</f>
        <v>0.0925161530633421</v>
      </c>
      <c r="H60" s="246">
        <f>1-G60</f>
        <v>0.907483846936658</v>
      </c>
      <c r="I60" s="157"/>
    </row>
    <row r="61" spans="1:9" ht="15.75" thickTop="1">
      <c r="A61" s="167"/>
      <c r="B61" s="168"/>
      <c r="C61" s="226"/>
      <c r="D61" s="226"/>
      <c r="E61" s="226"/>
      <c r="F61" s="166"/>
      <c r="G61" s="241"/>
      <c r="H61" s="242"/>
      <c r="I61" s="157"/>
    </row>
    <row r="62" spans="1:9" ht="15.75">
      <c r="A62" s="164" t="s">
        <v>63</v>
      </c>
      <c r="B62" s="165">
        <f>DATE(20,7,1)</f>
        <v>7488</v>
      </c>
      <c r="C62" s="226">
        <v>129097611.85</v>
      </c>
      <c r="D62" s="226">
        <v>13388447.99</v>
      </c>
      <c r="E62" s="226">
        <v>11411946.24</v>
      </c>
      <c r="F62" s="166">
        <f aca="true" t="shared" si="12" ref="F62:F70">(+D62-E62)/E62</f>
        <v>0.17319585182343095</v>
      </c>
      <c r="G62" s="241">
        <f aca="true" t="shared" si="13" ref="G62:G71">D62/C62</f>
        <v>0.10370794469502807</v>
      </c>
      <c r="H62" s="242">
        <f aca="true" t="shared" si="14" ref="H62:H71">1-G62</f>
        <v>0.8962920553049719</v>
      </c>
      <c r="I62" s="157"/>
    </row>
    <row r="63" spans="1:9" ht="15.75">
      <c r="A63" s="164"/>
      <c r="B63" s="165">
        <f>DATE(20,8,1)</f>
        <v>7519</v>
      </c>
      <c r="C63" s="226">
        <v>126740821.35</v>
      </c>
      <c r="D63" s="226">
        <v>12503132.88</v>
      </c>
      <c r="E63" s="226">
        <v>12220877.76</v>
      </c>
      <c r="F63" s="166">
        <f t="shared" si="12"/>
        <v>0.023096141336414206</v>
      </c>
      <c r="G63" s="241">
        <f t="shared" si="13"/>
        <v>0.0986511902544176</v>
      </c>
      <c r="H63" s="242">
        <f t="shared" si="14"/>
        <v>0.9013488097455824</v>
      </c>
      <c r="I63" s="157"/>
    </row>
    <row r="64" spans="1:9" ht="15.75">
      <c r="A64" s="164"/>
      <c r="B64" s="165">
        <f>DATE(20,9,1)</f>
        <v>7550</v>
      </c>
      <c r="C64" s="226">
        <v>113747305.23</v>
      </c>
      <c r="D64" s="226">
        <v>11218535.91</v>
      </c>
      <c r="E64" s="226">
        <v>11441376.58</v>
      </c>
      <c r="F64" s="166">
        <f t="shared" si="12"/>
        <v>-0.019476735901651436</v>
      </c>
      <c r="G64" s="241">
        <f t="shared" si="13"/>
        <v>0.09862682801421827</v>
      </c>
      <c r="H64" s="242">
        <f t="shared" si="14"/>
        <v>0.9013731719857817</v>
      </c>
      <c r="I64" s="157"/>
    </row>
    <row r="65" spans="1:9" ht="15.75">
      <c r="A65" s="164"/>
      <c r="B65" s="165">
        <f>DATE(20,10,1)</f>
        <v>7580</v>
      </c>
      <c r="C65" s="226">
        <v>112893213.81</v>
      </c>
      <c r="D65" s="226">
        <v>11439504.38</v>
      </c>
      <c r="E65" s="226">
        <v>11451574.32</v>
      </c>
      <c r="F65" s="166">
        <f t="shared" si="12"/>
        <v>-0.0010539983117360127</v>
      </c>
      <c r="G65" s="241">
        <f t="shared" si="13"/>
        <v>0.10133031024568721</v>
      </c>
      <c r="H65" s="242">
        <f t="shared" si="14"/>
        <v>0.8986696897543128</v>
      </c>
      <c r="I65" s="157"/>
    </row>
    <row r="66" spans="1:9" ht="15.75">
      <c r="A66" s="164"/>
      <c r="B66" s="165">
        <f>DATE(20,11,1)</f>
        <v>7611</v>
      </c>
      <c r="C66" s="226">
        <v>102860879.99</v>
      </c>
      <c r="D66" s="226">
        <v>10067796.14</v>
      </c>
      <c r="E66" s="226">
        <v>11824386.49</v>
      </c>
      <c r="F66" s="166">
        <f t="shared" si="12"/>
        <v>-0.14855657428700977</v>
      </c>
      <c r="G66" s="241">
        <f t="shared" si="13"/>
        <v>0.09787779514407012</v>
      </c>
      <c r="H66" s="242">
        <f t="shared" si="14"/>
        <v>0.9021222048559299</v>
      </c>
      <c r="I66" s="157"/>
    </row>
    <row r="67" spans="1:9" ht="15.75">
      <c r="A67" s="164"/>
      <c r="B67" s="165">
        <f>DATE(20,12,1)</f>
        <v>7641</v>
      </c>
      <c r="C67" s="226">
        <v>108722235.14</v>
      </c>
      <c r="D67" s="226">
        <v>10607281.23</v>
      </c>
      <c r="E67" s="226">
        <v>12045926.43</v>
      </c>
      <c r="F67" s="166">
        <f t="shared" si="12"/>
        <v>-0.11943001713982736</v>
      </c>
      <c r="G67" s="241">
        <f t="shared" si="13"/>
        <v>0.09756312695688386</v>
      </c>
      <c r="H67" s="242">
        <f t="shared" si="14"/>
        <v>0.9024368730431162</v>
      </c>
      <c r="I67" s="157"/>
    </row>
    <row r="68" spans="1:9" ht="15.75">
      <c r="A68" s="164"/>
      <c r="B68" s="165">
        <f>DATE(21,1,1)</f>
        <v>7672</v>
      </c>
      <c r="C68" s="226">
        <v>120263557.15</v>
      </c>
      <c r="D68" s="226">
        <v>11913560.08</v>
      </c>
      <c r="E68" s="226">
        <v>10728742.13</v>
      </c>
      <c r="F68" s="166">
        <f t="shared" si="12"/>
        <v>0.11043400387888708</v>
      </c>
      <c r="G68" s="241">
        <f t="shared" si="13"/>
        <v>0.09906209630188043</v>
      </c>
      <c r="H68" s="242">
        <f t="shared" si="14"/>
        <v>0.9009379036981195</v>
      </c>
      <c r="I68" s="157"/>
    </row>
    <row r="69" spans="1:9" ht="15.75">
      <c r="A69" s="164"/>
      <c r="B69" s="165">
        <f>DATE(21,2,1)</f>
        <v>7703</v>
      </c>
      <c r="C69" s="226">
        <v>104791451.8</v>
      </c>
      <c r="D69" s="226">
        <v>10274207.17</v>
      </c>
      <c r="E69" s="226">
        <v>12303150.61</v>
      </c>
      <c r="F69" s="166">
        <f t="shared" si="12"/>
        <v>-0.16491250934950552</v>
      </c>
      <c r="G69" s="241">
        <f t="shared" si="13"/>
        <v>0.09804432511927466</v>
      </c>
      <c r="H69" s="242">
        <f t="shared" si="14"/>
        <v>0.9019556748807254</v>
      </c>
      <c r="I69" s="157"/>
    </row>
    <row r="70" spans="1:9" ht="15.75">
      <c r="A70" s="164"/>
      <c r="B70" s="165">
        <f>DATE(21,3,1)</f>
        <v>7731</v>
      </c>
      <c r="C70" s="226">
        <v>144941908.11</v>
      </c>
      <c r="D70" s="226">
        <v>14770804.86</v>
      </c>
      <c r="E70" s="226">
        <v>6157582.87</v>
      </c>
      <c r="F70" s="166">
        <f t="shared" si="12"/>
        <v>1.3987991995956683</v>
      </c>
      <c r="G70" s="241">
        <f t="shared" si="13"/>
        <v>0.1019084476850551</v>
      </c>
      <c r="H70" s="242">
        <f t="shared" si="14"/>
        <v>0.8980915523149449</v>
      </c>
      <c r="I70" s="157"/>
    </row>
    <row r="71" spans="1:9" ht="15.75">
      <c r="A71" s="164"/>
      <c r="B71" s="165">
        <f>DATE(21,4,1)</f>
        <v>7762</v>
      </c>
      <c r="C71" s="226">
        <v>142415393.68</v>
      </c>
      <c r="D71" s="226">
        <v>13856992.35</v>
      </c>
      <c r="E71" s="226">
        <v>0</v>
      </c>
      <c r="F71" s="166">
        <v>1</v>
      </c>
      <c r="G71" s="241">
        <f t="shared" si="13"/>
        <v>0.09729982126184998</v>
      </c>
      <c r="H71" s="242">
        <f t="shared" si="14"/>
        <v>0.90270017873815</v>
      </c>
      <c r="I71" s="157"/>
    </row>
    <row r="72" spans="1:9" ht="15.75" thickBot="1">
      <c r="A72" s="167"/>
      <c r="B72" s="165"/>
      <c r="C72" s="226"/>
      <c r="D72" s="226"/>
      <c r="E72" s="226"/>
      <c r="F72" s="166"/>
      <c r="G72" s="241"/>
      <c r="H72" s="242"/>
      <c r="I72" s="157"/>
    </row>
    <row r="73" spans="1:9" ht="17.25" thickBot="1" thickTop="1">
      <c r="A73" s="174" t="s">
        <v>14</v>
      </c>
      <c r="B73" s="175"/>
      <c r="C73" s="228">
        <f>SUM(C62:C72)</f>
        <v>1206474378.11</v>
      </c>
      <c r="D73" s="230">
        <f>SUM(D62:D72)</f>
        <v>120040262.99</v>
      </c>
      <c r="E73" s="271">
        <f>SUM(E62:E72)</f>
        <v>99585563.42999999</v>
      </c>
      <c r="F73" s="272">
        <f>(+D73-E73)/E73</f>
        <v>0.20539824102494414</v>
      </c>
      <c r="G73" s="249">
        <f>D73/C73</f>
        <v>0.0994967362490108</v>
      </c>
      <c r="H73" s="270">
        <f>1-G73</f>
        <v>0.9005032637509892</v>
      </c>
      <c r="I73" s="157"/>
    </row>
    <row r="74" spans="1:9" ht="15.75" thickTop="1">
      <c r="A74" s="167"/>
      <c r="B74" s="168"/>
      <c r="C74" s="226"/>
      <c r="D74" s="226"/>
      <c r="E74" s="226"/>
      <c r="F74" s="166"/>
      <c r="G74" s="241"/>
      <c r="H74" s="242"/>
      <c r="I74" s="157"/>
    </row>
    <row r="75" spans="1:9" ht="15.75">
      <c r="A75" s="164" t="s">
        <v>68</v>
      </c>
      <c r="B75" s="165">
        <f>DATE(20,7,1)</f>
        <v>7488</v>
      </c>
      <c r="C75" s="226">
        <v>42751040.83</v>
      </c>
      <c r="D75" s="226">
        <v>4434379.57</v>
      </c>
      <c r="E75" s="226">
        <v>3906046.69</v>
      </c>
      <c r="F75" s="166">
        <f aca="true" t="shared" si="15" ref="F75:F83">(+D75-E75)/E75</f>
        <v>0.13526025721930127</v>
      </c>
      <c r="G75" s="241">
        <f aca="true" t="shared" si="16" ref="G75:G84">D75/C75</f>
        <v>0.10372565167789391</v>
      </c>
      <c r="H75" s="242">
        <f aca="true" t="shared" si="17" ref="H75:H84">1-G75</f>
        <v>0.8962743483221061</v>
      </c>
      <c r="I75" s="157"/>
    </row>
    <row r="76" spans="1:9" ht="15.75">
      <c r="A76" s="164"/>
      <c r="B76" s="165">
        <f>DATE(20,8,1)</f>
        <v>7519</v>
      </c>
      <c r="C76" s="226">
        <v>42673866.38</v>
      </c>
      <c r="D76" s="226">
        <v>4333573.3</v>
      </c>
      <c r="E76" s="226">
        <v>4670857.45</v>
      </c>
      <c r="F76" s="166">
        <f t="shared" si="15"/>
        <v>-0.07221032831991059</v>
      </c>
      <c r="G76" s="241">
        <f t="shared" si="16"/>
        <v>0.1015509881717917</v>
      </c>
      <c r="H76" s="242">
        <f t="shared" si="17"/>
        <v>0.8984490118282082</v>
      </c>
      <c r="I76" s="157"/>
    </row>
    <row r="77" spans="1:9" ht="15.75">
      <c r="A77" s="164"/>
      <c r="B77" s="165">
        <f>DATE(20,9,1)</f>
        <v>7550</v>
      </c>
      <c r="C77" s="226">
        <v>41605422.85</v>
      </c>
      <c r="D77" s="226">
        <v>4417017.56</v>
      </c>
      <c r="E77" s="226">
        <v>4421418.32</v>
      </c>
      <c r="F77" s="166">
        <f t="shared" si="15"/>
        <v>-0.000995327671234851</v>
      </c>
      <c r="G77" s="241">
        <f t="shared" si="16"/>
        <v>0.10616446745234796</v>
      </c>
      <c r="H77" s="242">
        <f t="shared" si="17"/>
        <v>0.893835532547652</v>
      </c>
      <c r="I77" s="157"/>
    </row>
    <row r="78" spans="1:9" ht="15.75">
      <c r="A78" s="164"/>
      <c r="B78" s="165">
        <f>DATE(20,10,1)</f>
        <v>7580</v>
      </c>
      <c r="C78" s="226">
        <v>43714895.32</v>
      </c>
      <c r="D78" s="226">
        <v>4440838.89</v>
      </c>
      <c r="E78" s="226">
        <v>4469558.96</v>
      </c>
      <c r="F78" s="166">
        <f t="shared" si="15"/>
        <v>-0.006425705591318634</v>
      </c>
      <c r="G78" s="241">
        <f t="shared" si="16"/>
        <v>0.10158640109949597</v>
      </c>
      <c r="H78" s="242">
        <f t="shared" si="17"/>
        <v>0.898413598900504</v>
      </c>
      <c r="I78" s="157"/>
    </row>
    <row r="79" spans="1:9" ht="15.75">
      <c r="A79" s="164"/>
      <c r="B79" s="165">
        <f>DATE(20,11,1)</f>
        <v>7611</v>
      </c>
      <c r="C79" s="226">
        <v>40694510.39</v>
      </c>
      <c r="D79" s="226">
        <v>4093288.05</v>
      </c>
      <c r="E79" s="226">
        <v>4362721.83</v>
      </c>
      <c r="F79" s="166">
        <f t="shared" si="15"/>
        <v>-0.061758184568920876</v>
      </c>
      <c r="G79" s="241">
        <f t="shared" si="16"/>
        <v>0.10058575495248757</v>
      </c>
      <c r="H79" s="242">
        <f t="shared" si="17"/>
        <v>0.8994142450475124</v>
      </c>
      <c r="I79" s="157"/>
    </row>
    <row r="80" spans="1:9" ht="15.75">
      <c r="A80" s="164"/>
      <c r="B80" s="165">
        <f>DATE(20,12,1)</f>
        <v>7641</v>
      </c>
      <c r="C80" s="226">
        <v>52442183.47</v>
      </c>
      <c r="D80" s="226">
        <v>5522096.13</v>
      </c>
      <c r="E80" s="226">
        <v>4542091.81</v>
      </c>
      <c r="F80" s="166">
        <f t="shared" si="15"/>
        <v>0.21576057045839422</v>
      </c>
      <c r="G80" s="241">
        <f t="shared" si="16"/>
        <v>0.105298745487189</v>
      </c>
      <c r="H80" s="242">
        <f t="shared" si="17"/>
        <v>0.894701254512811</v>
      </c>
      <c r="I80" s="157"/>
    </row>
    <row r="81" spans="1:9" ht="15.75">
      <c r="A81" s="164"/>
      <c r="B81" s="165">
        <f>DATE(21,1,1)</f>
        <v>7672</v>
      </c>
      <c r="C81" s="226">
        <v>59978368.89</v>
      </c>
      <c r="D81" s="226">
        <v>6125834.93</v>
      </c>
      <c r="E81" s="226">
        <v>4236468.11</v>
      </c>
      <c r="F81" s="166">
        <f t="shared" si="15"/>
        <v>0.44597687765906474</v>
      </c>
      <c r="G81" s="241">
        <f t="shared" si="16"/>
        <v>0.10213407005506847</v>
      </c>
      <c r="H81" s="242">
        <f t="shared" si="17"/>
        <v>0.8978659299449315</v>
      </c>
      <c r="I81" s="157"/>
    </row>
    <row r="82" spans="1:9" ht="15.75">
      <c r="A82" s="164"/>
      <c r="B82" s="165">
        <f>DATE(21,2,1)</f>
        <v>7703</v>
      </c>
      <c r="C82" s="226">
        <v>42746282.32</v>
      </c>
      <c r="D82" s="226">
        <v>4347455.36</v>
      </c>
      <c r="E82" s="226">
        <v>5084258.8</v>
      </c>
      <c r="F82" s="166">
        <f t="shared" si="15"/>
        <v>-0.14491855528676068</v>
      </c>
      <c r="G82" s="241">
        <f t="shared" si="16"/>
        <v>0.10170370670962246</v>
      </c>
      <c r="H82" s="242">
        <f t="shared" si="17"/>
        <v>0.8982962932903775</v>
      </c>
      <c r="I82" s="157"/>
    </row>
    <row r="83" spans="1:9" ht="15.75">
      <c r="A83" s="164"/>
      <c r="B83" s="165">
        <f>DATE(21,3,1)</f>
        <v>7731</v>
      </c>
      <c r="C83" s="226">
        <v>67210766.42</v>
      </c>
      <c r="D83" s="226">
        <v>7136950.12</v>
      </c>
      <c r="E83" s="226">
        <v>2617038.55</v>
      </c>
      <c r="F83" s="166">
        <f t="shared" si="15"/>
        <v>1.727109281596177</v>
      </c>
      <c r="G83" s="241">
        <f t="shared" si="16"/>
        <v>0.1061876020785302</v>
      </c>
      <c r="H83" s="242">
        <f t="shared" si="17"/>
        <v>0.8938123979214698</v>
      </c>
      <c r="I83" s="157"/>
    </row>
    <row r="84" spans="1:9" ht="15.75">
      <c r="A84" s="164"/>
      <c r="B84" s="165">
        <f>DATE(21,4,1)</f>
        <v>7762</v>
      </c>
      <c r="C84" s="226">
        <v>63206931.42</v>
      </c>
      <c r="D84" s="226">
        <v>6511908.58</v>
      </c>
      <c r="E84" s="226">
        <v>0</v>
      </c>
      <c r="F84" s="166">
        <v>1</v>
      </c>
      <c r="G84" s="241">
        <f t="shared" si="16"/>
        <v>0.10302522893777905</v>
      </c>
      <c r="H84" s="242">
        <f t="shared" si="17"/>
        <v>0.8969747710622209</v>
      </c>
      <c r="I84" s="157"/>
    </row>
    <row r="85" spans="1:9" ht="15.75" thickBot="1">
      <c r="A85" s="167"/>
      <c r="B85" s="165"/>
      <c r="C85" s="226"/>
      <c r="D85" s="226"/>
      <c r="E85" s="226"/>
      <c r="F85" s="166"/>
      <c r="G85" s="241"/>
      <c r="H85" s="242"/>
      <c r="I85" s="157"/>
    </row>
    <row r="86" spans="1:9" ht="17.25" thickBot="1" thickTop="1">
      <c r="A86" s="174" t="s">
        <v>14</v>
      </c>
      <c r="B86" s="175"/>
      <c r="C86" s="228">
        <f>SUM(C75:C85)</f>
        <v>497024268.29</v>
      </c>
      <c r="D86" s="230">
        <f>SUM(D75:D85)</f>
        <v>51363342.489999995</v>
      </c>
      <c r="E86" s="271">
        <f>SUM(E75:E85)</f>
        <v>38310460.519999996</v>
      </c>
      <c r="F86" s="272">
        <f>(+D86-E86)/E86</f>
        <v>0.34071326193496776</v>
      </c>
      <c r="G86" s="249">
        <f>D86/C86</f>
        <v>0.10334171944302505</v>
      </c>
      <c r="H86" s="270">
        <f>1-G86</f>
        <v>0.8966582805569749</v>
      </c>
      <c r="I86" s="157"/>
    </row>
    <row r="87" spans="1:9" ht="15.75" thickTop="1">
      <c r="A87" s="167"/>
      <c r="B87" s="168"/>
      <c r="C87" s="226"/>
      <c r="D87" s="226"/>
      <c r="E87" s="226"/>
      <c r="F87" s="166"/>
      <c r="G87" s="241"/>
      <c r="H87" s="242"/>
      <c r="I87" s="157"/>
    </row>
    <row r="88" spans="1:9" ht="15.75">
      <c r="A88" s="164" t="s">
        <v>66</v>
      </c>
      <c r="B88" s="165">
        <f>DATE(20,7,1)</f>
        <v>7488</v>
      </c>
      <c r="C88" s="226">
        <v>39014288.03</v>
      </c>
      <c r="D88" s="226">
        <v>4303428.05</v>
      </c>
      <c r="E88" s="226">
        <v>4987956.2</v>
      </c>
      <c r="F88" s="166">
        <f aca="true" t="shared" si="18" ref="F88:F96">(+D88-E88)/E88</f>
        <v>-0.13723619906686438</v>
      </c>
      <c r="G88" s="241">
        <f aca="true" t="shared" si="19" ref="G88:G97">D88/C88</f>
        <v>0.11030389806654636</v>
      </c>
      <c r="H88" s="242">
        <f aca="true" t="shared" si="20" ref="H88:H97">1-G88</f>
        <v>0.8896961019334536</v>
      </c>
      <c r="I88" s="157"/>
    </row>
    <row r="89" spans="1:9" ht="15.75">
      <c r="A89" s="164"/>
      <c r="B89" s="165">
        <f>DATE(20,8,1)</f>
        <v>7519</v>
      </c>
      <c r="C89" s="226">
        <v>37294361.38</v>
      </c>
      <c r="D89" s="226">
        <v>4134795.6</v>
      </c>
      <c r="E89" s="226">
        <v>5297182</v>
      </c>
      <c r="F89" s="166">
        <f t="shared" si="18"/>
        <v>-0.21943486178122631</v>
      </c>
      <c r="G89" s="241">
        <f t="shared" si="19"/>
        <v>0.11086918898730315</v>
      </c>
      <c r="H89" s="242">
        <f t="shared" si="20"/>
        <v>0.8891308110126969</v>
      </c>
      <c r="I89" s="157"/>
    </row>
    <row r="90" spans="1:9" ht="15.75">
      <c r="A90" s="164"/>
      <c r="B90" s="165">
        <f>DATE(20,9,1)</f>
        <v>7550</v>
      </c>
      <c r="C90" s="226">
        <v>46478172.09</v>
      </c>
      <c r="D90" s="226">
        <v>5078159.95</v>
      </c>
      <c r="E90" s="226">
        <v>4757922.75</v>
      </c>
      <c r="F90" s="166">
        <f t="shared" si="18"/>
        <v>0.06730609487091824</v>
      </c>
      <c r="G90" s="241">
        <f t="shared" si="19"/>
        <v>0.10925902895162674</v>
      </c>
      <c r="H90" s="242">
        <f t="shared" si="20"/>
        <v>0.8907409710483732</v>
      </c>
      <c r="I90" s="157"/>
    </row>
    <row r="91" spans="1:9" ht="15.75">
      <c r="A91" s="164"/>
      <c r="B91" s="165">
        <f>DATE(20,10,1)</f>
        <v>7580</v>
      </c>
      <c r="C91" s="226">
        <v>52985429.62</v>
      </c>
      <c r="D91" s="226">
        <v>5823943.82</v>
      </c>
      <c r="E91" s="226">
        <v>5100767.21</v>
      </c>
      <c r="F91" s="166">
        <f t="shared" si="18"/>
        <v>0.14177800715590788</v>
      </c>
      <c r="G91" s="241">
        <f t="shared" si="19"/>
        <v>0.10991594975766096</v>
      </c>
      <c r="H91" s="242">
        <f t="shared" si="20"/>
        <v>0.890084050242339</v>
      </c>
      <c r="I91" s="157"/>
    </row>
    <row r="92" spans="1:9" ht="15.75">
      <c r="A92" s="164"/>
      <c r="B92" s="165">
        <f>DATE(20,11,1)</f>
        <v>7611</v>
      </c>
      <c r="C92" s="226">
        <v>49334744.45</v>
      </c>
      <c r="D92" s="226">
        <v>5498815.81</v>
      </c>
      <c r="E92" s="226">
        <v>5049815.86</v>
      </c>
      <c r="F92" s="166">
        <f t="shared" si="18"/>
        <v>0.08891412329636891</v>
      </c>
      <c r="G92" s="241">
        <f t="shared" si="19"/>
        <v>0.11145929448510601</v>
      </c>
      <c r="H92" s="242">
        <f t="shared" si="20"/>
        <v>0.888540705514894</v>
      </c>
      <c r="I92" s="157"/>
    </row>
    <row r="93" spans="1:9" ht="15.75">
      <c r="A93" s="164"/>
      <c r="B93" s="165">
        <f>DATE(20,12,1)</f>
        <v>7641</v>
      </c>
      <c r="C93" s="226">
        <v>53542414.66</v>
      </c>
      <c r="D93" s="226">
        <v>6073396.25</v>
      </c>
      <c r="E93" s="226">
        <v>5055651.33</v>
      </c>
      <c r="F93" s="166">
        <f t="shared" si="18"/>
        <v>0.20130836831265417</v>
      </c>
      <c r="G93" s="241">
        <f t="shared" si="19"/>
        <v>0.11343149703962194</v>
      </c>
      <c r="H93" s="242">
        <f t="shared" si="20"/>
        <v>0.886568502960378</v>
      </c>
      <c r="I93" s="157"/>
    </row>
    <row r="94" spans="1:9" ht="15.75">
      <c r="A94" s="164"/>
      <c r="B94" s="165">
        <f>DATE(21,1,1)</f>
        <v>7672</v>
      </c>
      <c r="C94" s="226">
        <v>59260434.83</v>
      </c>
      <c r="D94" s="226">
        <v>6544399.04</v>
      </c>
      <c r="E94" s="226">
        <v>4906027.53</v>
      </c>
      <c r="F94" s="166">
        <f t="shared" si="18"/>
        <v>0.333950737125195</v>
      </c>
      <c r="G94" s="241">
        <f t="shared" si="19"/>
        <v>0.11043454302645386</v>
      </c>
      <c r="H94" s="242">
        <f t="shared" si="20"/>
        <v>0.8895654569735462</v>
      </c>
      <c r="I94" s="157"/>
    </row>
    <row r="95" spans="1:9" ht="15.75">
      <c r="A95" s="164"/>
      <c r="B95" s="165">
        <f>DATE(21,2,1)</f>
        <v>7703</v>
      </c>
      <c r="C95" s="226">
        <v>52435422.13</v>
      </c>
      <c r="D95" s="226">
        <v>5959695.79</v>
      </c>
      <c r="E95" s="226">
        <v>5504597.85</v>
      </c>
      <c r="F95" s="166">
        <f t="shared" si="18"/>
        <v>0.08267596514793546</v>
      </c>
      <c r="G95" s="241">
        <f t="shared" si="19"/>
        <v>0.1136578203799806</v>
      </c>
      <c r="H95" s="242">
        <f t="shared" si="20"/>
        <v>0.8863421796200194</v>
      </c>
      <c r="I95" s="157"/>
    </row>
    <row r="96" spans="1:9" ht="15.75">
      <c r="A96" s="164"/>
      <c r="B96" s="165">
        <f>DATE(21,3,1)</f>
        <v>7731</v>
      </c>
      <c r="C96" s="226">
        <v>84343190.43</v>
      </c>
      <c r="D96" s="226">
        <v>9308574.85</v>
      </c>
      <c r="E96" s="226">
        <v>3138283.15</v>
      </c>
      <c r="F96" s="166">
        <f t="shared" si="18"/>
        <v>1.9661360702905344</v>
      </c>
      <c r="G96" s="241">
        <f t="shared" si="19"/>
        <v>0.11036545810684718</v>
      </c>
      <c r="H96" s="242">
        <f t="shared" si="20"/>
        <v>0.8896345418931528</v>
      </c>
      <c r="I96" s="157"/>
    </row>
    <row r="97" spans="1:9" ht="15.75">
      <c r="A97" s="164"/>
      <c r="B97" s="165">
        <f>DATE(21,4,1)</f>
        <v>7762</v>
      </c>
      <c r="C97" s="226">
        <v>82297346.79</v>
      </c>
      <c r="D97" s="226">
        <v>9080911.86</v>
      </c>
      <c r="E97" s="226">
        <v>0</v>
      </c>
      <c r="F97" s="166">
        <v>1</v>
      </c>
      <c r="G97" s="241">
        <f t="shared" si="19"/>
        <v>0.11034270501055116</v>
      </c>
      <c r="H97" s="242">
        <f t="shared" si="20"/>
        <v>0.8896572949894488</v>
      </c>
      <c r="I97" s="157"/>
    </row>
    <row r="98" spans="1:9" ht="15.75" thickBot="1">
      <c r="A98" s="167"/>
      <c r="B98" s="165"/>
      <c r="C98" s="226"/>
      <c r="D98" s="226"/>
      <c r="E98" s="226"/>
      <c r="F98" s="166"/>
      <c r="G98" s="241"/>
      <c r="H98" s="242"/>
      <c r="I98" s="157"/>
    </row>
    <row r="99" spans="1:9" ht="17.25" thickBot="1" thickTop="1">
      <c r="A99" s="174" t="s">
        <v>14</v>
      </c>
      <c r="B99" s="175"/>
      <c r="C99" s="228">
        <f>SUM(C88:C98)</f>
        <v>556985804.41</v>
      </c>
      <c r="D99" s="230">
        <f>SUM(D88:D98)</f>
        <v>61806121.02</v>
      </c>
      <c r="E99" s="271">
        <f>SUM(E88:E98)</f>
        <v>43798203.88</v>
      </c>
      <c r="F99" s="272">
        <f>(+D99-E99)/E99</f>
        <v>0.4111565211518441</v>
      </c>
      <c r="G99" s="249">
        <f>D99/C99</f>
        <v>0.11096534333665749</v>
      </c>
      <c r="H99" s="270">
        <f>1-G99</f>
        <v>0.8890346566633425</v>
      </c>
      <c r="I99" s="157"/>
    </row>
    <row r="100" spans="1:9" ht="15.75" thickTop="1">
      <c r="A100" s="167"/>
      <c r="B100" s="168"/>
      <c r="C100" s="226"/>
      <c r="D100" s="226"/>
      <c r="E100" s="226"/>
      <c r="F100" s="166"/>
      <c r="G100" s="241"/>
      <c r="H100" s="242"/>
      <c r="I100" s="157"/>
    </row>
    <row r="101" spans="1:9" ht="15.75">
      <c r="A101" s="164" t="s">
        <v>60</v>
      </c>
      <c r="B101" s="165">
        <f>DATE(20,7,1)</f>
        <v>7488</v>
      </c>
      <c r="C101" s="226">
        <v>111521100.17</v>
      </c>
      <c r="D101" s="226">
        <v>10751795.77</v>
      </c>
      <c r="E101" s="226">
        <v>10859844.9</v>
      </c>
      <c r="F101" s="166">
        <f aca="true" t="shared" si="21" ref="F101:F109">(+D101-E101)/E101</f>
        <v>-0.009949417417554538</v>
      </c>
      <c r="G101" s="241">
        <f aca="true" t="shared" si="22" ref="G101:G110">D101/C101</f>
        <v>0.09641041698485962</v>
      </c>
      <c r="H101" s="242">
        <f aca="true" t="shared" si="23" ref="H101:H110">1-G101</f>
        <v>0.9035895830151404</v>
      </c>
      <c r="I101" s="157"/>
    </row>
    <row r="102" spans="1:9" ht="15.75">
      <c r="A102" s="164"/>
      <c r="B102" s="165">
        <f>DATE(20,8,1)</f>
        <v>7519</v>
      </c>
      <c r="C102" s="226">
        <v>112369794.01</v>
      </c>
      <c r="D102" s="226">
        <v>11312353.68</v>
      </c>
      <c r="E102" s="226">
        <v>10606265.73</v>
      </c>
      <c r="F102" s="166">
        <f t="shared" si="21"/>
        <v>0.06657271918077799</v>
      </c>
      <c r="G102" s="241">
        <f t="shared" si="22"/>
        <v>0.10067076993122628</v>
      </c>
      <c r="H102" s="242">
        <f t="shared" si="23"/>
        <v>0.8993292300687737</v>
      </c>
      <c r="I102" s="157"/>
    </row>
    <row r="103" spans="1:9" ht="15.75">
      <c r="A103" s="164"/>
      <c r="B103" s="165">
        <f>DATE(20,9,1)</f>
        <v>7550</v>
      </c>
      <c r="C103" s="226">
        <v>112239380.63</v>
      </c>
      <c r="D103" s="226">
        <v>10956999.04</v>
      </c>
      <c r="E103" s="226">
        <v>10294221.54</v>
      </c>
      <c r="F103" s="166">
        <f t="shared" si="21"/>
        <v>0.06438345021278802</v>
      </c>
      <c r="G103" s="241">
        <f t="shared" si="22"/>
        <v>0.09762169907298426</v>
      </c>
      <c r="H103" s="242">
        <f t="shared" si="23"/>
        <v>0.9023783009270158</v>
      </c>
      <c r="I103" s="157"/>
    </row>
    <row r="104" spans="1:9" ht="15.75">
      <c r="A104" s="164"/>
      <c r="B104" s="165">
        <f>DATE(20,10,1)</f>
        <v>7580</v>
      </c>
      <c r="C104" s="226">
        <v>107780626.91</v>
      </c>
      <c r="D104" s="226">
        <v>10410650.7</v>
      </c>
      <c r="E104" s="226">
        <v>9880729.37</v>
      </c>
      <c r="F104" s="166">
        <f t="shared" si="21"/>
        <v>0.05363180289189523</v>
      </c>
      <c r="G104" s="241">
        <f t="shared" si="22"/>
        <v>0.09659111287869201</v>
      </c>
      <c r="H104" s="242">
        <f t="shared" si="23"/>
        <v>0.903408887121308</v>
      </c>
      <c r="I104" s="157"/>
    </row>
    <row r="105" spans="1:9" ht="15.75">
      <c r="A105" s="164"/>
      <c r="B105" s="165">
        <f>DATE(20,11,1)</f>
        <v>7611</v>
      </c>
      <c r="C105" s="226">
        <v>99400505.13</v>
      </c>
      <c r="D105" s="226">
        <v>9890840.52</v>
      </c>
      <c r="E105" s="226">
        <v>10205648.99</v>
      </c>
      <c r="F105" s="166">
        <f t="shared" si="21"/>
        <v>-0.030846492007364314</v>
      </c>
      <c r="G105" s="241">
        <f t="shared" si="22"/>
        <v>0.09950493216371847</v>
      </c>
      <c r="H105" s="242">
        <f t="shared" si="23"/>
        <v>0.9004950678362815</v>
      </c>
      <c r="I105" s="157"/>
    </row>
    <row r="106" spans="1:9" ht="15.75">
      <c r="A106" s="164"/>
      <c r="B106" s="165">
        <f>DATE(20,12,1)</f>
        <v>7641</v>
      </c>
      <c r="C106" s="226">
        <v>128044113.2</v>
      </c>
      <c r="D106" s="226">
        <v>12890871.2</v>
      </c>
      <c r="E106" s="226">
        <v>10750579.37</v>
      </c>
      <c r="F106" s="166">
        <f t="shared" si="21"/>
        <v>0.19908618469183026</v>
      </c>
      <c r="G106" s="241">
        <f t="shared" si="22"/>
        <v>0.1006752351032722</v>
      </c>
      <c r="H106" s="242">
        <f t="shared" si="23"/>
        <v>0.8993247648967277</v>
      </c>
      <c r="I106" s="157"/>
    </row>
    <row r="107" spans="1:9" ht="15.75">
      <c r="A107" s="164"/>
      <c r="B107" s="165">
        <f>DATE(21,1,1)</f>
        <v>7672</v>
      </c>
      <c r="C107" s="226">
        <v>144402324.74</v>
      </c>
      <c r="D107" s="226">
        <v>14761434.99</v>
      </c>
      <c r="E107" s="226">
        <v>10353140.8</v>
      </c>
      <c r="F107" s="166">
        <f t="shared" si="21"/>
        <v>0.42579293329034984</v>
      </c>
      <c r="G107" s="241">
        <f t="shared" si="22"/>
        <v>0.10222435834449571</v>
      </c>
      <c r="H107" s="242">
        <f t="shared" si="23"/>
        <v>0.8977756416555043</v>
      </c>
      <c r="I107" s="157"/>
    </row>
    <row r="108" spans="1:9" ht="15.75">
      <c r="A108" s="164"/>
      <c r="B108" s="165">
        <f>DATE(21,2,1)</f>
        <v>7703</v>
      </c>
      <c r="C108" s="226">
        <v>101917238.25</v>
      </c>
      <c r="D108" s="226">
        <v>10549814.82</v>
      </c>
      <c r="E108" s="226">
        <v>11744098.83</v>
      </c>
      <c r="F108" s="166">
        <f t="shared" si="21"/>
        <v>-0.1016922649653826</v>
      </c>
      <c r="G108" s="241">
        <f t="shared" si="22"/>
        <v>0.10351354688518555</v>
      </c>
      <c r="H108" s="242">
        <f t="shared" si="23"/>
        <v>0.8964864531148145</v>
      </c>
      <c r="I108" s="157"/>
    </row>
    <row r="109" spans="1:9" ht="15.75">
      <c r="A109" s="164"/>
      <c r="B109" s="165">
        <f>DATE(21,3,1)</f>
        <v>7731</v>
      </c>
      <c r="C109" s="226">
        <v>151662191.7</v>
      </c>
      <c r="D109" s="226">
        <v>15700425.04</v>
      </c>
      <c r="E109" s="226">
        <v>6268299.54</v>
      </c>
      <c r="F109" s="166">
        <f t="shared" si="21"/>
        <v>1.5047343286342056</v>
      </c>
      <c r="G109" s="241">
        <f t="shared" si="22"/>
        <v>0.10352234043311666</v>
      </c>
      <c r="H109" s="242">
        <f t="shared" si="23"/>
        <v>0.8964776595668833</v>
      </c>
      <c r="I109" s="157"/>
    </row>
    <row r="110" spans="1:9" ht="15.75">
      <c r="A110" s="164"/>
      <c r="B110" s="165">
        <f>DATE(21,4,1)</f>
        <v>7762</v>
      </c>
      <c r="C110" s="226">
        <v>148486383.85</v>
      </c>
      <c r="D110" s="226">
        <v>15196693.13</v>
      </c>
      <c r="E110" s="226">
        <v>0</v>
      </c>
      <c r="F110" s="166">
        <v>1</v>
      </c>
      <c r="G110" s="241">
        <f t="shared" si="22"/>
        <v>0.10234401792255649</v>
      </c>
      <c r="H110" s="242">
        <f t="shared" si="23"/>
        <v>0.8976559820774435</v>
      </c>
      <c r="I110" s="157"/>
    </row>
    <row r="111" spans="1:9" ht="15.75" thickBot="1">
      <c r="A111" s="167"/>
      <c r="B111" s="165"/>
      <c r="C111" s="226"/>
      <c r="D111" s="226"/>
      <c r="E111" s="226"/>
      <c r="F111" s="166"/>
      <c r="G111" s="241"/>
      <c r="H111" s="242"/>
      <c r="I111" s="157"/>
    </row>
    <row r="112" spans="1:9" ht="17.25" thickBot="1" thickTop="1">
      <c r="A112" s="174" t="s">
        <v>14</v>
      </c>
      <c r="B112" s="175"/>
      <c r="C112" s="228">
        <f>SUM(C101:C111)</f>
        <v>1217823658.59</v>
      </c>
      <c r="D112" s="230">
        <f>SUM(D101:D111)</f>
        <v>122421878.88999999</v>
      </c>
      <c r="E112" s="271">
        <f>SUM(E101:E111)</f>
        <v>90962829.07000001</v>
      </c>
      <c r="F112" s="176">
        <f>(+D112-E112)/E112</f>
        <v>0.34584511213685776</v>
      </c>
      <c r="G112" s="249">
        <f>D112/C112</f>
        <v>0.10052512777731747</v>
      </c>
      <c r="H112" s="270">
        <f>1-G112</f>
        <v>0.8994748722226825</v>
      </c>
      <c r="I112" s="157"/>
    </row>
    <row r="113" spans="1:9" ht="15.75" thickTop="1">
      <c r="A113" s="167"/>
      <c r="B113" s="179"/>
      <c r="C113" s="229"/>
      <c r="D113" s="229"/>
      <c r="E113" s="229"/>
      <c r="F113" s="180"/>
      <c r="G113" s="247"/>
      <c r="H113" s="248"/>
      <c r="I113" s="157"/>
    </row>
    <row r="114" spans="1:9" ht="15.75">
      <c r="A114" s="164" t="s">
        <v>16</v>
      </c>
      <c r="B114" s="165">
        <f>DATE(20,7,1)</f>
        <v>7488</v>
      </c>
      <c r="C114" s="226">
        <v>122917916.14</v>
      </c>
      <c r="D114" s="226">
        <v>12124639.11</v>
      </c>
      <c r="E114" s="226">
        <v>13562944.54</v>
      </c>
      <c r="F114" s="166">
        <f aca="true" t="shared" si="24" ref="F114:F122">(+D114-E114)/E114</f>
        <v>-0.10604669404627676</v>
      </c>
      <c r="G114" s="241">
        <f aca="true" t="shared" si="25" ref="G114:G123">D114/C114</f>
        <v>0.09864012904506436</v>
      </c>
      <c r="H114" s="242">
        <f aca="true" t="shared" si="26" ref="H114:H123">1-G114</f>
        <v>0.9013598709549356</v>
      </c>
      <c r="I114" s="157"/>
    </row>
    <row r="115" spans="1:9" ht="15.75">
      <c r="A115" s="164"/>
      <c r="B115" s="165">
        <f>DATE(20,8,1)</f>
        <v>7519</v>
      </c>
      <c r="C115" s="226">
        <v>129077535.78</v>
      </c>
      <c r="D115" s="226">
        <v>12772714.18</v>
      </c>
      <c r="E115" s="226">
        <v>13870661.28</v>
      </c>
      <c r="F115" s="166">
        <f t="shared" si="24"/>
        <v>-0.07915607466985883</v>
      </c>
      <c r="G115" s="241">
        <f t="shared" si="25"/>
        <v>0.09895381177534902</v>
      </c>
      <c r="H115" s="242">
        <f t="shared" si="26"/>
        <v>0.901046188224651</v>
      </c>
      <c r="I115" s="157"/>
    </row>
    <row r="116" spans="1:9" ht="15.75">
      <c r="A116" s="164"/>
      <c r="B116" s="165">
        <f>DATE(20,9,1)</f>
        <v>7550</v>
      </c>
      <c r="C116" s="226">
        <v>120244266.26</v>
      </c>
      <c r="D116" s="226">
        <v>12144964.72</v>
      </c>
      <c r="E116" s="226">
        <v>12786419.43</v>
      </c>
      <c r="F116" s="166">
        <f t="shared" si="24"/>
        <v>-0.05016687537208366</v>
      </c>
      <c r="G116" s="241">
        <f t="shared" si="25"/>
        <v>0.10100244359044418</v>
      </c>
      <c r="H116" s="242">
        <f t="shared" si="26"/>
        <v>0.8989975564095558</v>
      </c>
      <c r="I116" s="157"/>
    </row>
    <row r="117" spans="1:9" ht="15.75">
      <c r="A117" s="164"/>
      <c r="B117" s="165">
        <f>DATE(20,10,1)</f>
        <v>7580</v>
      </c>
      <c r="C117" s="226">
        <v>126651805.83</v>
      </c>
      <c r="D117" s="226">
        <v>12789406.33</v>
      </c>
      <c r="E117" s="226">
        <v>13251508.66</v>
      </c>
      <c r="F117" s="166">
        <f t="shared" si="24"/>
        <v>-0.03487167701854711</v>
      </c>
      <c r="G117" s="241">
        <f t="shared" si="25"/>
        <v>0.10098084465662292</v>
      </c>
      <c r="H117" s="242">
        <f t="shared" si="26"/>
        <v>0.8990191553433771</v>
      </c>
      <c r="I117" s="157"/>
    </row>
    <row r="118" spans="1:9" ht="15.75">
      <c r="A118" s="164"/>
      <c r="B118" s="165">
        <f>DATE(20,11,1)</f>
        <v>7611</v>
      </c>
      <c r="C118" s="226">
        <v>115007879.84</v>
      </c>
      <c r="D118" s="226">
        <v>11020143.83</v>
      </c>
      <c r="E118" s="226">
        <v>13769145.8</v>
      </c>
      <c r="F118" s="166">
        <f t="shared" si="24"/>
        <v>-0.19964941979189446</v>
      </c>
      <c r="G118" s="241">
        <f t="shared" si="25"/>
        <v>0.09582077197954891</v>
      </c>
      <c r="H118" s="242">
        <f t="shared" si="26"/>
        <v>0.904179228020451</v>
      </c>
      <c r="I118" s="157"/>
    </row>
    <row r="119" spans="1:9" ht="15.75">
      <c r="A119" s="164"/>
      <c r="B119" s="165">
        <f>DATE(20,12,1)</f>
        <v>7641</v>
      </c>
      <c r="C119" s="226">
        <v>128013467.42</v>
      </c>
      <c r="D119" s="226">
        <v>12188714.87</v>
      </c>
      <c r="E119" s="226">
        <v>13980639.65</v>
      </c>
      <c r="F119" s="166">
        <f t="shared" si="24"/>
        <v>-0.1281718737382664</v>
      </c>
      <c r="G119" s="241">
        <f t="shared" si="25"/>
        <v>0.09521431702189571</v>
      </c>
      <c r="H119" s="242">
        <f t="shared" si="26"/>
        <v>0.9047856829781042</v>
      </c>
      <c r="I119" s="157"/>
    </row>
    <row r="120" spans="1:9" ht="15.75">
      <c r="A120" s="164"/>
      <c r="B120" s="165">
        <f>DATE(21,1,1)</f>
        <v>7672</v>
      </c>
      <c r="C120" s="226">
        <v>143529356.01</v>
      </c>
      <c r="D120" s="226">
        <v>13712800.54</v>
      </c>
      <c r="E120" s="226">
        <v>12433682.39</v>
      </c>
      <c r="F120" s="166">
        <f t="shared" si="24"/>
        <v>0.10287524724201987</v>
      </c>
      <c r="G120" s="241">
        <f t="shared" si="25"/>
        <v>0.09554004087529383</v>
      </c>
      <c r="H120" s="242">
        <f t="shared" si="26"/>
        <v>0.9044599591247062</v>
      </c>
      <c r="I120" s="157"/>
    </row>
    <row r="121" spans="1:9" ht="15.75">
      <c r="A121" s="164"/>
      <c r="B121" s="165">
        <f>DATE(21,2,1)</f>
        <v>7703</v>
      </c>
      <c r="C121" s="226">
        <v>124003301.5</v>
      </c>
      <c r="D121" s="226">
        <v>11801663.46</v>
      </c>
      <c r="E121" s="226">
        <v>14388741.64</v>
      </c>
      <c r="F121" s="166">
        <f t="shared" si="24"/>
        <v>-0.179798779123815</v>
      </c>
      <c r="G121" s="241">
        <f t="shared" si="25"/>
        <v>0.0951721713635181</v>
      </c>
      <c r="H121" s="242">
        <f t="shared" si="26"/>
        <v>0.9048278286364819</v>
      </c>
      <c r="I121" s="157"/>
    </row>
    <row r="122" spans="1:9" ht="15.75">
      <c r="A122" s="164"/>
      <c r="B122" s="165">
        <f>DATE(21,3,1)</f>
        <v>7731</v>
      </c>
      <c r="C122" s="226">
        <v>183210464.84</v>
      </c>
      <c r="D122" s="226">
        <v>17750671.77</v>
      </c>
      <c r="E122" s="226">
        <v>7191924.87</v>
      </c>
      <c r="F122" s="166">
        <f t="shared" si="24"/>
        <v>1.468139210414193</v>
      </c>
      <c r="G122" s="241">
        <f t="shared" si="25"/>
        <v>0.09688677874106091</v>
      </c>
      <c r="H122" s="242">
        <f t="shared" si="26"/>
        <v>0.9031132212589391</v>
      </c>
      <c r="I122" s="157"/>
    </row>
    <row r="123" spans="1:9" ht="15.75">
      <c r="A123" s="164"/>
      <c r="B123" s="165">
        <f>DATE(21,4,1)</f>
        <v>7762</v>
      </c>
      <c r="C123" s="226">
        <v>172907249.41</v>
      </c>
      <c r="D123" s="226">
        <v>17175205.83</v>
      </c>
      <c r="E123" s="226">
        <v>0</v>
      </c>
      <c r="F123" s="166">
        <v>1</v>
      </c>
      <c r="G123" s="241">
        <f t="shared" si="25"/>
        <v>0.09933190128583862</v>
      </c>
      <c r="H123" s="242">
        <f t="shared" si="26"/>
        <v>0.9006680987141614</v>
      </c>
      <c r="I123" s="157"/>
    </row>
    <row r="124" spans="1:9" ht="15.75" customHeight="1" thickBot="1">
      <c r="A124" s="164"/>
      <c r="B124" s="165"/>
      <c r="C124" s="226"/>
      <c r="D124" s="226"/>
      <c r="E124" s="226"/>
      <c r="F124" s="166"/>
      <c r="G124" s="241"/>
      <c r="H124" s="242"/>
      <c r="I124" s="157"/>
    </row>
    <row r="125" spans="1:9" ht="17.25" thickBot="1" thickTop="1">
      <c r="A125" s="174" t="s">
        <v>14</v>
      </c>
      <c r="B125" s="181"/>
      <c r="C125" s="228">
        <f>SUM(C114:C124)</f>
        <v>1365563243.03</v>
      </c>
      <c r="D125" s="228">
        <f>SUM(D114:D124)</f>
        <v>133480924.63999999</v>
      </c>
      <c r="E125" s="228">
        <f>SUM(E114:E124)</f>
        <v>115235668.26</v>
      </c>
      <c r="F125" s="176">
        <f>(+D125-E125)/E125</f>
        <v>0.1583299394666085</v>
      </c>
      <c r="G125" s="245">
        <f>D125/C125</f>
        <v>0.09774788924738768</v>
      </c>
      <c r="H125" s="246">
        <f>1-G125</f>
        <v>0.9022521107526124</v>
      </c>
      <c r="I125" s="157"/>
    </row>
    <row r="126" spans="1:9" ht="15.75" thickTop="1">
      <c r="A126" s="171"/>
      <c r="B126" s="172"/>
      <c r="C126" s="227"/>
      <c r="D126" s="227"/>
      <c r="E126" s="227"/>
      <c r="F126" s="173"/>
      <c r="G126" s="243"/>
      <c r="H126" s="244"/>
      <c r="I126" s="157"/>
    </row>
    <row r="127" spans="1:9" ht="15.75">
      <c r="A127" s="164" t="s">
        <v>54</v>
      </c>
      <c r="B127" s="165">
        <f>DATE(20,7,1)</f>
        <v>7488</v>
      </c>
      <c r="C127" s="226">
        <v>139778413.29</v>
      </c>
      <c r="D127" s="226">
        <v>13113665.15</v>
      </c>
      <c r="E127" s="226">
        <v>16247033.9</v>
      </c>
      <c r="F127" s="166">
        <f aca="true" t="shared" si="27" ref="F127:F135">(+D127-E127)/E127</f>
        <v>-0.19285789451082513</v>
      </c>
      <c r="G127" s="241">
        <f aca="true" t="shared" si="28" ref="G127:G136">D127/C127</f>
        <v>0.09381752762347444</v>
      </c>
      <c r="H127" s="242">
        <f aca="true" t="shared" si="29" ref="H127:H136">1-G127</f>
        <v>0.9061824723765256</v>
      </c>
      <c r="I127" s="157"/>
    </row>
    <row r="128" spans="1:9" ht="15.75">
      <c r="A128" s="164"/>
      <c r="B128" s="165">
        <f>DATE(20,8,1)</f>
        <v>7519</v>
      </c>
      <c r="C128" s="226">
        <v>139190485.06</v>
      </c>
      <c r="D128" s="226">
        <v>13163225.94</v>
      </c>
      <c r="E128" s="226">
        <v>16871517.8</v>
      </c>
      <c r="F128" s="166">
        <f t="shared" si="27"/>
        <v>-0.21979598421192437</v>
      </c>
      <c r="G128" s="241">
        <f t="shared" si="28"/>
        <v>0.09456986901314272</v>
      </c>
      <c r="H128" s="242">
        <f t="shared" si="29"/>
        <v>0.9054301309868573</v>
      </c>
      <c r="I128" s="157"/>
    </row>
    <row r="129" spans="1:9" ht="15.75">
      <c r="A129" s="164"/>
      <c r="B129" s="165">
        <f>DATE(20,9,1)</f>
        <v>7550</v>
      </c>
      <c r="C129" s="226">
        <v>144179628.53</v>
      </c>
      <c r="D129" s="226">
        <v>13632742.51</v>
      </c>
      <c r="E129" s="226">
        <v>15944541.3</v>
      </c>
      <c r="F129" s="166">
        <f t="shared" si="27"/>
        <v>-0.1449899841270442</v>
      </c>
      <c r="G129" s="241">
        <f t="shared" si="28"/>
        <v>0.09455387455907742</v>
      </c>
      <c r="H129" s="242">
        <f t="shared" si="29"/>
        <v>0.9054461254409226</v>
      </c>
      <c r="I129" s="157"/>
    </row>
    <row r="130" spans="1:9" ht="15.75">
      <c r="A130" s="164"/>
      <c r="B130" s="165">
        <f>DATE(20,10,1)</f>
        <v>7580</v>
      </c>
      <c r="C130" s="226">
        <v>153697637.43</v>
      </c>
      <c r="D130" s="226">
        <v>14284849.61</v>
      </c>
      <c r="E130" s="226">
        <v>16080736.01</v>
      </c>
      <c r="F130" s="166">
        <f t="shared" si="27"/>
        <v>-0.11167936585012071</v>
      </c>
      <c r="G130" s="241">
        <f t="shared" si="28"/>
        <v>0.09294124391798726</v>
      </c>
      <c r="H130" s="242">
        <f t="shared" si="29"/>
        <v>0.9070587560820127</v>
      </c>
      <c r="I130" s="157"/>
    </row>
    <row r="131" spans="1:9" ht="15.75">
      <c r="A131" s="164"/>
      <c r="B131" s="165">
        <f>DATE(20,11,1)</f>
        <v>7611</v>
      </c>
      <c r="C131" s="226">
        <v>132944210.07</v>
      </c>
      <c r="D131" s="226">
        <v>12348288.83</v>
      </c>
      <c r="E131" s="226">
        <v>17058182.91</v>
      </c>
      <c r="F131" s="166">
        <f t="shared" si="27"/>
        <v>-0.276107607993752</v>
      </c>
      <c r="G131" s="241">
        <f t="shared" si="28"/>
        <v>0.09288323894284808</v>
      </c>
      <c r="H131" s="242">
        <f t="shared" si="29"/>
        <v>0.9071167610571519</v>
      </c>
      <c r="I131" s="157"/>
    </row>
    <row r="132" spans="1:9" ht="15.75">
      <c r="A132" s="164"/>
      <c r="B132" s="165">
        <f>DATE(20,12,1)</f>
        <v>7641</v>
      </c>
      <c r="C132" s="226">
        <v>134457499.73</v>
      </c>
      <c r="D132" s="226">
        <v>12123166.43</v>
      </c>
      <c r="E132" s="226">
        <v>16970606.43</v>
      </c>
      <c r="F132" s="166">
        <f t="shared" si="27"/>
        <v>-0.28563740606410376</v>
      </c>
      <c r="G132" s="241">
        <f t="shared" si="28"/>
        <v>0.09016355691831368</v>
      </c>
      <c r="H132" s="242">
        <f t="shared" si="29"/>
        <v>0.9098364430816863</v>
      </c>
      <c r="I132" s="157"/>
    </row>
    <row r="133" spans="1:9" ht="15.75">
      <c r="A133" s="164"/>
      <c r="B133" s="165">
        <f>DATE(21,1,1)</f>
        <v>7672</v>
      </c>
      <c r="C133" s="226">
        <v>139802539.07</v>
      </c>
      <c r="D133" s="226">
        <v>13355551.67</v>
      </c>
      <c r="E133" s="226">
        <v>16027792.04</v>
      </c>
      <c r="F133" s="166">
        <f t="shared" si="27"/>
        <v>-0.166725420652513</v>
      </c>
      <c r="G133" s="241">
        <f t="shared" si="28"/>
        <v>0.09553153868909915</v>
      </c>
      <c r="H133" s="242">
        <f t="shared" si="29"/>
        <v>0.9044684613109009</v>
      </c>
      <c r="I133" s="157"/>
    </row>
    <row r="134" spans="1:9" ht="15.75">
      <c r="A134" s="164"/>
      <c r="B134" s="165">
        <f>DATE(21,2,1)</f>
        <v>7703</v>
      </c>
      <c r="C134" s="226">
        <v>124137446.71</v>
      </c>
      <c r="D134" s="226">
        <v>11342744.4</v>
      </c>
      <c r="E134" s="226">
        <v>16606333.47</v>
      </c>
      <c r="F134" s="166">
        <f t="shared" si="27"/>
        <v>-0.3169627467441192</v>
      </c>
      <c r="G134" s="241">
        <f t="shared" si="28"/>
        <v>0.0913724641565894</v>
      </c>
      <c r="H134" s="242">
        <f t="shared" si="29"/>
        <v>0.9086275358434106</v>
      </c>
      <c r="I134" s="157"/>
    </row>
    <row r="135" spans="1:9" ht="15.75">
      <c r="A135" s="164"/>
      <c r="B135" s="165">
        <f>DATE(21,3,1)</f>
        <v>7731</v>
      </c>
      <c r="C135" s="226">
        <v>179319021.91</v>
      </c>
      <c r="D135" s="226">
        <v>16919608</v>
      </c>
      <c r="E135" s="226">
        <v>8278891.34</v>
      </c>
      <c r="F135" s="166">
        <f t="shared" si="27"/>
        <v>1.043704562016875</v>
      </c>
      <c r="G135" s="241">
        <f t="shared" si="28"/>
        <v>0.09435478634548838</v>
      </c>
      <c r="H135" s="242">
        <f t="shared" si="29"/>
        <v>0.9056452136545117</v>
      </c>
      <c r="I135" s="157"/>
    </row>
    <row r="136" spans="1:9" ht="15.75">
      <c r="A136" s="164"/>
      <c r="B136" s="165">
        <f>DATE(21,4,1)</f>
        <v>7762</v>
      </c>
      <c r="C136" s="226">
        <v>185287925.95</v>
      </c>
      <c r="D136" s="226">
        <v>16896033.17</v>
      </c>
      <c r="E136" s="226">
        <v>0</v>
      </c>
      <c r="F136" s="166">
        <v>1</v>
      </c>
      <c r="G136" s="241">
        <f t="shared" si="28"/>
        <v>0.0911879880103974</v>
      </c>
      <c r="H136" s="242">
        <f t="shared" si="29"/>
        <v>0.9088120119896026</v>
      </c>
      <c r="I136" s="157"/>
    </row>
    <row r="137" spans="1:9" ht="15.75" thickBot="1">
      <c r="A137" s="167"/>
      <c r="B137" s="168"/>
      <c r="C137" s="226"/>
      <c r="D137" s="226"/>
      <c r="E137" s="226"/>
      <c r="F137" s="166"/>
      <c r="G137" s="241"/>
      <c r="H137" s="242"/>
      <c r="I137" s="157"/>
    </row>
    <row r="138" spans="1:9" ht="17.25" thickBot="1" thickTop="1">
      <c r="A138" s="174" t="s">
        <v>14</v>
      </c>
      <c r="B138" s="175"/>
      <c r="C138" s="228">
        <f>SUM(C127:C137)</f>
        <v>1472794807.75</v>
      </c>
      <c r="D138" s="228">
        <f>SUM(D127:D137)</f>
        <v>137179875.71</v>
      </c>
      <c r="E138" s="228">
        <f>SUM(E127:E137)</f>
        <v>140085635.2</v>
      </c>
      <c r="F138" s="176">
        <f>(+D138-E138)/E138</f>
        <v>-0.020742737011196277</v>
      </c>
      <c r="G138" s="249">
        <f>D138/C138</f>
        <v>0.09314255793688651</v>
      </c>
      <c r="H138" s="270">
        <f>1-G138</f>
        <v>0.9068574420631135</v>
      </c>
      <c r="I138" s="157"/>
    </row>
    <row r="139" spans="1:9" ht="15.75" thickTop="1">
      <c r="A139" s="167"/>
      <c r="B139" s="168"/>
      <c r="C139" s="226"/>
      <c r="D139" s="226"/>
      <c r="E139" s="226"/>
      <c r="F139" s="166"/>
      <c r="G139" s="241"/>
      <c r="H139" s="242"/>
      <c r="I139" s="157"/>
    </row>
    <row r="140" spans="1:9" ht="15.75">
      <c r="A140" s="164" t="s">
        <v>55</v>
      </c>
      <c r="B140" s="165">
        <f>DATE(20,7,1)</f>
        <v>7488</v>
      </c>
      <c r="C140" s="226">
        <v>25124152.59</v>
      </c>
      <c r="D140" s="226">
        <v>2784731.95</v>
      </c>
      <c r="E140" s="226">
        <v>2612988.94</v>
      </c>
      <c r="F140" s="166">
        <f aca="true" t="shared" si="30" ref="F140:F148">(+D140-E140)/E140</f>
        <v>0.06572665018628064</v>
      </c>
      <c r="G140" s="241">
        <f aca="true" t="shared" si="31" ref="G140:G149">D140/C140</f>
        <v>0.11083884083351685</v>
      </c>
      <c r="H140" s="242">
        <f aca="true" t="shared" si="32" ref="H140:H149">1-G140</f>
        <v>0.8891611591664832</v>
      </c>
      <c r="I140" s="157"/>
    </row>
    <row r="141" spans="1:9" ht="15.75">
      <c r="A141" s="164"/>
      <c r="B141" s="165">
        <f>DATE(20,8,1)</f>
        <v>7519</v>
      </c>
      <c r="C141" s="226">
        <v>26128366.46</v>
      </c>
      <c r="D141" s="226">
        <v>2961173.82</v>
      </c>
      <c r="E141" s="226">
        <v>2826240.12</v>
      </c>
      <c r="F141" s="166">
        <f t="shared" si="30"/>
        <v>0.04774318326498023</v>
      </c>
      <c r="G141" s="241">
        <f t="shared" si="31"/>
        <v>0.1133317624174198</v>
      </c>
      <c r="H141" s="242">
        <f t="shared" si="32"/>
        <v>0.8866682375825802</v>
      </c>
      <c r="I141" s="157"/>
    </row>
    <row r="142" spans="1:9" ht="15.75">
      <c r="A142" s="164"/>
      <c r="B142" s="165">
        <f>DATE(20,9,1)</f>
        <v>7550</v>
      </c>
      <c r="C142" s="226">
        <v>25242024.67</v>
      </c>
      <c r="D142" s="226">
        <v>2707604.99</v>
      </c>
      <c r="E142" s="226">
        <v>2549839.52</v>
      </c>
      <c r="F142" s="166">
        <f t="shared" si="30"/>
        <v>0.061872705620313</v>
      </c>
      <c r="G142" s="241">
        <f t="shared" si="31"/>
        <v>0.10726576118190602</v>
      </c>
      <c r="H142" s="242">
        <f t="shared" si="32"/>
        <v>0.892734238818094</v>
      </c>
      <c r="I142" s="157"/>
    </row>
    <row r="143" spans="1:9" ht="15.75">
      <c r="A143" s="164"/>
      <c r="B143" s="165">
        <f>DATE(20,10,1)</f>
        <v>7580</v>
      </c>
      <c r="C143" s="226">
        <v>24651178.56</v>
      </c>
      <c r="D143" s="226">
        <v>2777127.87</v>
      </c>
      <c r="E143" s="226">
        <v>2654170.68</v>
      </c>
      <c r="F143" s="166">
        <f t="shared" si="30"/>
        <v>0.04632602979398444</v>
      </c>
      <c r="G143" s="241">
        <f t="shared" si="31"/>
        <v>0.11265700190522657</v>
      </c>
      <c r="H143" s="242">
        <f t="shared" si="32"/>
        <v>0.8873429980947735</v>
      </c>
      <c r="I143" s="157"/>
    </row>
    <row r="144" spans="1:9" ht="15.75">
      <c r="A144" s="164"/>
      <c r="B144" s="165">
        <f>DATE(20,11,1)</f>
        <v>7611</v>
      </c>
      <c r="C144" s="226">
        <v>22778053.7</v>
      </c>
      <c r="D144" s="226">
        <v>2545068.3</v>
      </c>
      <c r="E144" s="226">
        <v>2750246.46</v>
      </c>
      <c r="F144" s="166">
        <f t="shared" si="30"/>
        <v>-0.07460355389385727</v>
      </c>
      <c r="G144" s="241">
        <f t="shared" si="31"/>
        <v>0.11173335235398096</v>
      </c>
      <c r="H144" s="242">
        <f t="shared" si="32"/>
        <v>0.888266647646019</v>
      </c>
      <c r="I144" s="157"/>
    </row>
    <row r="145" spans="1:9" ht="15.75">
      <c r="A145" s="164"/>
      <c r="B145" s="165">
        <f>DATE(20,12,1)</f>
        <v>7641</v>
      </c>
      <c r="C145" s="226">
        <v>28927212.96</v>
      </c>
      <c r="D145" s="226">
        <v>3275319.33</v>
      </c>
      <c r="E145" s="226">
        <v>2678793.62</v>
      </c>
      <c r="F145" s="166">
        <f t="shared" si="30"/>
        <v>0.22268445973079476</v>
      </c>
      <c r="G145" s="241">
        <f t="shared" si="31"/>
        <v>0.11322623214787575</v>
      </c>
      <c r="H145" s="242">
        <f t="shared" si="32"/>
        <v>0.8867737678521243</v>
      </c>
      <c r="I145" s="157"/>
    </row>
    <row r="146" spans="1:9" ht="15.75">
      <c r="A146" s="164"/>
      <c r="B146" s="165">
        <f>DATE(21,1,1)</f>
        <v>7672</v>
      </c>
      <c r="C146" s="226">
        <v>30658477.87</v>
      </c>
      <c r="D146" s="226">
        <v>3376789.13</v>
      </c>
      <c r="E146" s="226">
        <v>2358042.3</v>
      </c>
      <c r="F146" s="166">
        <f t="shared" si="30"/>
        <v>0.4320307697618487</v>
      </c>
      <c r="G146" s="241">
        <f t="shared" si="31"/>
        <v>0.11014209982369225</v>
      </c>
      <c r="H146" s="242">
        <f t="shared" si="32"/>
        <v>0.8898579001763077</v>
      </c>
      <c r="I146" s="157"/>
    </row>
    <row r="147" spans="1:9" ht="15.75">
      <c r="A147" s="164"/>
      <c r="B147" s="165">
        <f>DATE(21,2,1)</f>
        <v>7703</v>
      </c>
      <c r="C147" s="226">
        <v>23705081.33</v>
      </c>
      <c r="D147" s="226">
        <v>2596549.7</v>
      </c>
      <c r="E147" s="226">
        <v>2851642.94</v>
      </c>
      <c r="F147" s="166">
        <f t="shared" si="30"/>
        <v>-0.08945483195732765</v>
      </c>
      <c r="G147" s="241">
        <f t="shared" si="31"/>
        <v>0.10953557441348802</v>
      </c>
      <c r="H147" s="242">
        <f t="shared" si="32"/>
        <v>0.890464425586512</v>
      </c>
      <c r="I147" s="157"/>
    </row>
    <row r="148" spans="1:9" ht="15.75">
      <c r="A148" s="164"/>
      <c r="B148" s="165">
        <f>DATE(21,3,1)</f>
        <v>7731</v>
      </c>
      <c r="C148" s="226">
        <v>37711291.66</v>
      </c>
      <c r="D148" s="226">
        <v>4129956.27</v>
      </c>
      <c r="E148" s="226">
        <v>1714094.06</v>
      </c>
      <c r="F148" s="166">
        <f t="shared" si="30"/>
        <v>1.4094105255810756</v>
      </c>
      <c r="G148" s="241">
        <f t="shared" si="31"/>
        <v>0.1095151104140144</v>
      </c>
      <c r="H148" s="242">
        <f t="shared" si="32"/>
        <v>0.8904848895859856</v>
      </c>
      <c r="I148" s="157"/>
    </row>
    <row r="149" spans="1:9" ht="15.75">
      <c r="A149" s="164"/>
      <c r="B149" s="165">
        <f>DATE(21,4,1)</f>
        <v>7762</v>
      </c>
      <c r="C149" s="226">
        <v>35429812.8</v>
      </c>
      <c r="D149" s="226">
        <v>3809202.94</v>
      </c>
      <c r="E149" s="226">
        <v>0</v>
      </c>
      <c r="F149" s="166">
        <v>1</v>
      </c>
      <c r="G149" s="241">
        <f t="shared" si="31"/>
        <v>0.10751405776549856</v>
      </c>
      <c r="H149" s="242">
        <f t="shared" si="32"/>
        <v>0.8924859422345014</v>
      </c>
      <c r="I149" s="157"/>
    </row>
    <row r="150" spans="1:9" ht="15.75" thickBot="1">
      <c r="A150" s="167"/>
      <c r="B150" s="168"/>
      <c r="C150" s="226"/>
      <c r="D150" s="226"/>
      <c r="E150" s="226"/>
      <c r="F150" s="166"/>
      <c r="G150" s="241"/>
      <c r="H150" s="242"/>
      <c r="I150" s="157"/>
    </row>
    <row r="151" spans="1:9" ht="17.25" thickBot="1" thickTop="1">
      <c r="A151" s="182" t="s">
        <v>14</v>
      </c>
      <c r="B151" s="183"/>
      <c r="C151" s="230">
        <f>SUM(C140:C150)</f>
        <v>280355652.59999996</v>
      </c>
      <c r="D151" s="230">
        <f>SUM(D140:D150)</f>
        <v>30963524.299999997</v>
      </c>
      <c r="E151" s="230">
        <f>SUM(E140:E150)</f>
        <v>22996058.64</v>
      </c>
      <c r="F151" s="176">
        <f>(+D151-E151)/E151</f>
        <v>0.34647092289724635</v>
      </c>
      <c r="G151" s="249">
        <f>D151/C151</f>
        <v>0.11044373107103887</v>
      </c>
      <c r="H151" s="246">
        <f>1-G151</f>
        <v>0.8895562689289611</v>
      </c>
      <c r="I151" s="157"/>
    </row>
    <row r="152" spans="1:9" ht="15.75" thickTop="1">
      <c r="A152" s="167"/>
      <c r="B152" s="168"/>
      <c r="C152" s="226"/>
      <c r="D152" s="226"/>
      <c r="E152" s="226"/>
      <c r="F152" s="166"/>
      <c r="G152" s="241"/>
      <c r="H152" s="242"/>
      <c r="I152" s="157"/>
    </row>
    <row r="153" spans="1:9" ht="15.75">
      <c r="A153" s="164" t="s">
        <v>37</v>
      </c>
      <c r="B153" s="165">
        <f>DATE(20,7,1)</f>
        <v>7488</v>
      </c>
      <c r="C153" s="226">
        <v>193788423.05</v>
      </c>
      <c r="D153" s="226">
        <v>17781520.26</v>
      </c>
      <c r="E153" s="226">
        <v>19119192.24</v>
      </c>
      <c r="F153" s="166">
        <f aca="true" t="shared" si="33" ref="F153:F161">(+D153-E153)/E153</f>
        <v>-0.06996487943676834</v>
      </c>
      <c r="G153" s="241">
        <f aca="true" t="shared" si="34" ref="G153:G162">D153/C153</f>
        <v>0.09175739179946849</v>
      </c>
      <c r="H153" s="242">
        <f aca="true" t="shared" si="35" ref="H153:H162">1-G153</f>
        <v>0.9082426082005315</v>
      </c>
      <c r="I153" s="157"/>
    </row>
    <row r="154" spans="1:9" ht="15.75">
      <c r="A154" s="164"/>
      <c r="B154" s="165">
        <f>DATE(20,8,1)</f>
        <v>7519</v>
      </c>
      <c r="C154" s="226">
        <v>187407837.13</v>
      </c>
      <c r="D154" s="226">
        <v>17286123.99</v>
      </c>
      <c r="E154" s="226">
        <v>19394509.94</v>
      </c>
      <c r="F154" s="166">
        <f t="shared" si="33"/>
        <v>-0.10871045241785587</v>
      </c>
      <c r="G154" s="241">
        <f t="shared" si="34"/>
        <v>0.09223799951337712</v>
      </c>
      <c r="H154" s="242">
        <f t="shared" si="35"/>
        <v>0.9077620004866229</v>
      </c>
      <c r="I154" s="157"/>
    </row>
    <row r="155" spans="1:9" ht="15.75">
      <c r="A155" s="164"/>
      <c r="B155" s="165">
        <f>DATE(20,9,1)</f>
        <v>7550</v>
      </c>
      <c r="C155" s="226">
        <v>182127854.37</v>
      </c>
      <c r="D155" s="226">
        <v>16702603.76</v>
      </c>
      <c r="E155" s="226">
        <v>17543226.64</v>
      </c>
      <c r="F155" s="166">
        <f t="shared" si="33"/>
        <v>-0.047917233086604005</v>
      </c>
      <c r="G155" s="241">
        <f t="shared" si="34"/>
        <v>0.0917081234925658</v>
      </c>
      <c r="H155" s="242">
        <f t="shared" si="35"/>
        <v>0.9082918765074341</v>
      </c>
      <c r="I155" s="157"/>
    </row>
    <row r="156" spans="1:9" ht="15.75">
      <c r="A156" s="164"/>
      <c r="B156" s="165">
        <f>DATE(20,10,1)</f>
        <v>7580</v>
      </c>
      <c r="C156" s="226">
        <v>186473597.18</v>
      </c>
      <c r="D156" s="226">
        <v>17754592.84</v>
      </c>
      <c r="E156" s="226">
        <v>18312994.41</v>
      </c>
      <c r="F156" s="166">
        <f t="shared" si="33"/>
        <v>-0.030492095257511755</v>
      </c>
      <c r="G156" s="241">
        <f t="shared" si="34"/>
        <v>0.09521236844517872</v>
      </c>
      <c r="H156" s="242">
        <f t="shared" si="35"/>
        <v>0.9047876315548213</v>
      </c>
      <c r="I156" s="157"/>
    </row>
    <row r="157" spans="1:9" ht="15.75">
      <c r="A157" s="164"/>
      <c r="B157" s="165">
        <f>DATE(20,11,1)</f>
        <v>7611</v>
      </c>
      <c r="C157" s="226">
        <v>166737487.81</v>
      </c>
      <c r="D157" s="226">
        <v>15307588.33</v>
      </c>
      <c r="E157" s="226">
        <v>17726569.68</v>
      </c>
      <c r="F157" s="166">
        <f t="shared" si="33"/>
        <v>-0.1364607701133071</v>
      </c>
      <c r="G157" s="241">
        <f t="shared" si="34"/>
        <v>0.09180651892418601</v>
      </c>
      <c r="H157" s="242">
        <f t="shared" si="35"/>
        <v>0.908193481075814</v>
      </c>
      <c r="I157" s="157"/>
    </row>
    <row r="158" spans="1:9" ht="15.75">
      <c r="A158" s="164"/>
      <c r="B158" s="165">
        <f>DATE(20,12,1)</f>
        <v>7641</v>
      </c>
      <c r="C158" s="226">
        <v>206068326.33</v>
      </c>
      <c r="D158" s="226">
        <v>19390114.29</v>
      </c>
      <c r="E158" s="226">
        <v>17987460.18</v>
      </c>
      <c r="F158" s="166">
        <f t="shared" si="33"/>
        <v>0.07797955330900971</v>
      </c>
      <c r="G158" s="241">
        <f t="shared" si="34"/>
        <v>0.09409555866896528</v>
      </c>
      <c r="H158" s="242">
        <f t="shared" si="35"/>
        <v>0.9059044413310348</v>
      </c>
      <c r="I158" s="157"/>
    </row>
    <row r="159" spans="1:9" ht="15.75">
      <c r="A159" s="164"/>
      <c r="B159" s="165">
        <f>DATE(21,1,1)</f>
        <v>7672</v>
      </c>
      <c r="C159" s="226">
        <v>233360885</v>
      </c>
      <c r="D159" s="226">
        <v>21258676.82</v>
      </c>
      <c r="E159" s="226">
        <v>17177529.2</v>
      </c>
      <c r="F159" s="166">
        <f t="shared" si="33"/>
        <v>0.2375864172595906</v>
      </c>
      <c r="G159" s="241">
        <f t="shared" si="34"/>
        <v>0.0910978582378962</v>
      </c>
      <c r="H159" s="242">
        <f t="shared" si="35"/>
        <v>0.9089021417621038</v>
      </c>
      <c r="I159" s="157"/>
    </row>
    <row r="160" spans="1:9" ht="15.75">
      <c r="A160" s="164"/>
      <c r="B160" s="165">
        <f>DATE(21,2,1)</f>
        <v>7703</v>
      </c>
      <c r="C160" s="226">
        <v>191556686</v>
      </c>
      <c r="D160" s="226">
        <v>17430596</v>
      </c>
      <c r="E160" s="226">
        <v>17791352.7</v>
      </c>
      <c r="F160" s="166">
        <f t="shared" si="33"/>
        <v>-0.020277081011383653</v>
      </c>
      <c r="G160" s="241">
        <f t="shared" si="34"/>
        <v>0.09099445372530615</v>
      </c>
      <c r="H160" s="242">
        <f t="shared" si="35"/>
        <v>0.9090055462746939</v>
      </c>
      <c r="I160" s="157"/>
    </row>
    <row r="161" spans="1:9" ht="15.75">
      <c r="A161" s="164"/>
      <c r="B161" s="165">
        <f>DATE(21,3,1)</f>
        <v>7731</v>
      </c>
      <c r="C161" s="226">
        <v>247490909.48</v>
      </c>
      <c r="D161" s="226">
        <v>23210435.77</v>
      </c>
      <c r="E161" s="226">
        <v>9097301.58</v>
      </c>
      <c r="F161" s="166">
        <f t="shared" si="33"/>
        <v>1.5513538894903822</v>
      </c>
      <c r="G161" s="241">
        <f t="shared" si="34"/>
        <v>0.0937829830548813</v>
      </c>
      <c r="H161" s="242">
        <f t="shared" si="35"/>
        <v>0.9062170169451187</v>
      </c>
      <c r="I161" s="157"/>
    </row>
    <row r="162" spans="1:9" ht="15.75">
      <c r="A162" s="164"/>
      <c r="B162" s="165">
        <f>DATE(21,4,1)</f>
        <v>7762</v>
      </c>
      <c r="C162" s="226">
        <v>246895612.84</v>
      </c>
      <c r="D162" s="226">
        <v>22680246.17</v>
      </c>
      <c r="E162" s="226">
        <v>0</v>
      </c>
      <c r="F162" s="166">
        <v>1</v>
      </c>
      <c r="G162" s="241">
        <f t="shared" si="34"/>
        <v>0.09186168157916144</v>
      </c>
      <c r="H162" s="242">
        <f t="shared" si="35"/>
        <v>0.9081383184208386</v>
      </c>
      <c r="I162" s="157"/>
    </row>
    <row r="163" spans="1:9" ht="15.75" thickBot="1">
      <c r="A163" s="167"/>
      <c r="B163" s="168"/>
      <c r="C163" s="226"/>
      <c r="D163" s="226"/>
      <c r="E163" s="226"/>
      <c r="F163" s="166"/>
      <c r="G163" s="241"/>
      <c r="H163" s="242"/>
      <c r="I163" s="157"/>
    </row>
    <row r="164" spans="1:9" ht="17.25" thickBot="1" thickTop="1">
      <c r="A164" s="174" t="s">
        <v>14</v>
      </c>
      <c r="B164" s="175"/>
      <c r="C164" s="228">
        <f>SUM(C153:C163)</f>
        <v>2041907619.1899998</v>
      </c>
      <c r="D164" s="228">
        <f>SUM(D153:D163)</f>
        <v>188802498.23000002</v>
      </c>
      <c r="E164" s="228">
        <f>SUM(E153:E163)</f>
        <v>154150136.57000002</v>
      </c>
      <c r="F164" s="176">
        <f>(+D164-E164)/E164</f>
        <v>0.22479617878420924</v>
      </c>
      <c r="G164" s="245">
        <f>D164/C164</f>
        <v>0.09246378066060389</v>
      </c>
      <c r="H164" s="246">
        <f>1-G164</f>
        <v>0.9075362193393961</v>
      </c>
      <c r="I164" s="157"/>
    </row>
    <row r="165" spans="1:9" ht="15.75" thickTop="1">
      <c r="A165" s="167"/>
      <c r="B165" s="168"/>
      <c r="C165" s="226"/>
      <c r="D165" s="226"/>
      <c r="E165" s="226"/>
      <c r="F165" s="166"/>
      <c r="G165" s="241"/>
      <c r="H165" s="242"/>
      <c r="I165" s="157"/>
    </row>
    <row r="166" spans="1:9" ht="15.75">
      <c r="A166" s="164" t="s">
        <v>58</v>
      </c>
      <c r="B166" s="165">
        <f>DATE(20,7,1)</f>
        <v>7488</v>
      </c>
      <c r="C166" s="226">
        <v>30630065.86</v>
      </c>
      <c r="D166" s="226">
        <v>3357321.79</v>
      </c>
      <c r="E166" s="226">
        <v>3293709.88</v>
      </c>
      <c r="F166" s="166">
        <f aca="true" t="shared" si="36" ref="F166:F174">(+D166-E166)/E166</f>
        <v>0.019313149098608574</v>
      </c>
      <c r="G166" s="241">
        <f aca="true" t="shared" si="37" ref="G166:G175">D166/C166</f>
        <v>0.10960870294387282</v>
      </c>
      <c r="H166" s="242">
        <f aca="true" t="shared" si="38" ref="H166:H175">1-G166</f>
        <v>0.8903912970561272</v>
      </c>
      <c r="I166" s="157"/>
    </row>
    <row r="167" spans="1:9" ht="15.75">
      <c r="A167" s="164"/>
      <c r="B167" s="165">
        <f>DATE(20,8,1)</f>
        <v>7519</v>
      </c>
      <c r="C167" s="226">
        <v>29521795.92</v>
      </c>
      <c r="D167" s="226">
        <v>3360444.04</v>
      </c>
      <c r="E167" s="226">
        <v>3283356.99</v>
      </c>
      <c r="F167" s="166">
        <f t="shared" si="36"/>
        <v>0.023478120178457906</v>
      </c>
      <c r="G167" s="241">
        <f t="shared" si="37"/>
        <v>0.11382925514106053</v>
      </c>
      <c r="H167" s="242">
        <f t="shared" si="38"/>
        <v>0.8861707448589394</v>
      </c>
      <c r="I167" s="157"/>
    </row>
    <row r="168" spans="1:9" ht="15.75">
      <c r="A168" s="164"/>
      <c r="B168" s="165">
        <f>DATE(20,9,1)</f>
        <v>7550</v>
      </c>
      <c r="C168" s="226">
        <v>27722632.81</v>
      </c>
      <c r="D168" s="226">
        <v>3031984.28</v>
      </c>
      <c r="E168" s="226">
        <v>3164787.25</v>
      </c>
      <c r="F168" s="166">
        <f t="shared" si="36"/>
        <v>-0.041962684853460594</v>
      </c>
      <c r="G168" s="241">
        <f t="shared" si="37"/>
        <v>0.10936855459508574</v>
      </c>
      <c r="H168" s="242">
        <f t="shared" si="38"/>
        <v>0.8906314454049142</v>
      </c>
      <c r="I168" s="157"/>
    </row>
    <row r="169" spans="1:9" ht="15.75">
      <c r="A169" s="164"/>
      <c r="B169" s="165">
        <f>DATE(20,10,1)</f>
        <v>7580</v>
      </c>
      <c r="C169" s="226">
        <v>24051972.26</v>
      </c>
      <c r="D169" s="226">
        <v>2770053.12</v>
      </c>
      <c r="E169" s="226">
        <v>3114034.79</v>
      </c>
      <c r="F169" s="166">
        <f t="shared" si="36"/>
        <v>-0.11046172994104536</v>
      </c>
      <c r="G169" s="241">
        <f t="shared" si="37"/>
        <v>0.11516947924502553</v>
      </c>
      <c r="H169" s="242">
        <f t="shared" si="38"/>
        <v>0.8848305207549745</v>
      </c>
      <c r="I169" s="157"/>
    </row>
    <row r="170" spans="1:9" ht="15.75">
      <c r="A170" s="164"/>
      <c r="B170" s="165">
        <f>DATE(20,11,1)</f>
        <v>7611</v>
      </c>
      <c r="C170" s="226">
        <v>21330939.3</v>
      </c>
      <c r="D170" s="226">
        <v>2396488.16</v>
      </c>
      <c r="E170" s="226">
        <v>3192066.7</v>
      </c>
      <c r="F170" s="166">
        <f t="shared" si="36"/>
        <v>-0.24923618920619672</v>
      </c>
      <c r="G170" s="241">
        <f t="shared" si="37"/>
        <v>0.11234799022657198</v>
      </c>
      <c r="H170" s="242">
        <f t="shared" si="38"/>
        <v>0.8876520097734281</v>
      </c>
      <c r="I170" s="157"/>
    </row>
    <row r="171" spans="1:9" ht="15.75">
      <c r="A171" s="164"/>
      <c r="B171" s="165">
        <f>DATE(20,12,1)</f>
        <v>7641</v>
      </c>
      <c r="C171" s="226">
        <v>23281170.02</v>
      </c>
      <c r="D171" s="226">
        <v>2648752.51</v>
      </c>
      <c r="E171" s="226">
        <v>3336598.49</v>
      </c>
      <c r="F171" s="166">
        <f t="shared" si="36"/>
        <v>-0.20615185856539797</v>
      </c>
      <c r="G171" s="241">
        <f t="shared" si="37"/>
        <v>0.11377231074402848</v>
      </c>
      <c r="H171" s="242">
        <f t="shared" si="38"/>
        <v>0.8862276892559715</v>
      </c>
      <c r="I171" s="157"/>
    </row>
    <row r="172" spans="1:9" ht="15.75">
      <c r="A172" s="164"/>
      <c r="B172" s="165">
        <f>DATE(21,1,1)</f>
        <v>7672</v>
      </c>
      <c r="C172" s="226">
        <v>26242266.29</v>
      </c>
      <c r="D172" s="226">
        <v>3041407.25</v>
      </c>
      <c r="E172" s="226">
        <v>3179496.92</v>
      </c>
      <c r="F172" s="166">
        <f t="shared" si="36"/>
        <v>-0.0434312954138669</v>
      </c>
      <c r="G172" s="241">
        <f t="shared" si="37"/>
        <v>0.11589727870260096</v>
      </c>
      <c r="H172" s="242">
        <f t="shared" si="38"/>
        <v>0.8841027212973991</v>
      </c>
      <c r="I172" s="157"/>
    </row>
    <row r="173" spans="1:9" ht="15.75">
      <c r="A173" s="164"/>
      <c r="B173" s="165">
        <f>DATE(21,2,1)</f>
        <v>7703</v>
      </c>
      <c r="C173" s="226">
        <v>24357738.46</v>
      </c>
      <c r="D173" s="226">
        <v>2699820.17</v>
      </c>
      <c r="E173" s="226">
        <v>3678191.22</v>
      </c>
      <c r="F173" s="166">
        <f t="shared" si="36"/>
        <v>-0.2659924379896704</v>
      </c>
      <c r="G173" s="241">
        <f t="shared" si="37"/>
        <v>0.11084034646457895</v>
      </c>
      <c r="H173" s="242">
        <f t="shared" si="38"/>
        <v>0.889159653535421</v>
      </c>
      <c r="I173" s="157"/>
    </row>
    <row r="174" spans="1:9" ht="15.75">
      <c r="A174" s="164"/>
      <c r="B174" s="165">
        <f>DATE(21,3,1)</f>
        <v>7731</v>
      </c>
      <c r="C174" s="226">
        <v>38827661.76</v>
      </c>
      <c r="D174" s="226">
        <v>4317336.44</v>
      </c>
      <c r="E174" s="226">
        <v>1985714.01</v>
      </c>
      <c r="F174" s="166">
        <f t="shared" si="36"/>
        <v>1.1741985090793616</v>
      </c>
      <c r="G174" s="241">
        <f t="shared" si="37"/>
        <v>0.11119228519827305</v>
      </c>
      <c r="H174" s="242">
        <f t="shared" si="38"/>
        <v>0.8888077148017269</v>
      </c>
      <c r="I174" s="157"/>
    </row>
    <row r="175" spans="1:9" ht="15.75">
      <c r="A175" s="164"/>
      <c r="B175" s="165">
        <f>DATE(21,4,1)</f>
        <v>7762</v>
      </c>
      <c r="C175" s="226">
        <v>39465765.13</v>
      </c>
      <c r="D175" s="226">
        <v>4384922.79</v>
      </c>
      <c r="E175" s="226">
        <v>0</v>
      </c>
      <c r="F175" s="166">
        <v>1</v>
      </c>
      <c r="G175" s="241">
        <f t="shared" si="37"/>
        <v>0.11110700060054808</v>
      </c>
      <c r="H175" s="242">
        <f t="shared" si="38"/>
        <v>0.8888929993994519</v>
      </c>
      <c r="I175" s="157"/>
    </row>
    <row r="176" spans="1:9" ht="15.75" thickBot="1">
      <c r="A176" s="167"/>
      <c r="B176" s="168"/>
      <c r="C176" s="226"/>
      <c r="D176" s="226"/>
      <c r="E176" s="226"/>
      <c r="F176" s="166"/>
      <c r="G176" s="241"/>
      <c r="H176" s="242"/>
      <c r="I176" s="157"/>
    </row>
    <row r="177" spans="1:9" ht="17.25" thickBot="1" thickTop="1">
      <c r="A177" s="169" t="s">
        <v>14</v>
      </c>
      <c r="B177" s="155"/>
      <c r="C177" s="223">
        <f>SUM(C166:C176)</f>
        <v>285432007.81</v>
      </c>
      <c r="D177" s="223">
        <f>SUM(D166:D176)</f>
        <v>32008530.55</v>
      </c>
      <c r="E177" s="223">
        <f>SUM(E166:E176)</f>
        <v>28227956.250000004</v>
      </c>
      <c r="F177" s="176">
        <f>(+D177-E177)/E177</f>
        <v>0.1339301459346706</v>
      </c>
      <c r="G177" s="245">
        <f>D177/C177</f>
        <v>0.1121406488206702</v>
      </c>
      <c r="H177" s="246">
        <f>1-G177</f>
        <v>0.8878593511793298</v>
      </c>
      <c r="I177" s="157"/>
    </row>
    <row r="178" spans="1:9" ht="16.5" thickBot="1" thickTop="1">
      <c r="A178" s="171"/>
      <c r="B178" s="172"/>
      <c r="C178" s="227"/>
      <c r="D178" s="227"/>
      <c r="E178" s="227"/>
      <c r="F178" s="173"/>
      <c r="G178" s="243"/>
      <c r="H178" s="244"/>
      <c r="I178" s="157"/>
    </row>
    <row r="179" spans="1:9" ht="17.25" thickBot="1" thickTop="1">
      <c r="A179" s="184" t="s">
        <v>38</v>
      </c>
      <c r="B179" s="155"/>
      <c r="C179" s="223">
        <f>C177+C164+C125+C99+C73+C47+C21+C60+C151+C34+C112+C138+C86</f>
        <v>12390569167.060001</v>
      </c>
      <c r="D179" s="223">
        <f>D177+D164+D125+D99+D73+D47+D21+D60+D151+D34+D112+D138+D86</f>
        <v>1213897010.61</v>
      </c>
      <c r="E179" s="223">
        <f>E177+E164+E125+E99+E73+E47+E21+E60+E151+E34+E112+E138+E86</f>
        <v>1050898530.3899999</v>
      </c>
      <c r="F179" s="170">
        <f>(+D179-E179)/E179</f>
        <v>0.1551039187004187</v>
      </c>
      <c r="G179" s="236">
        <f>D179/C179</f>
        <v>0.09796943096343894</v>
      </c>
      <c r="H179" s="237">
        <f>1-G179</f>
        <v>0.9020305690365611</v>
      </c>
      <c r="I179" s="157"/>
    </row>
    <row r="180" spans="1:9" ht="17.25" thickBot="1" thickTop="1">
      <c r="A180" s="184"/>
      <c r="B180" s="155"/>
      <c r="C180" s="223"/>
      <c r="D180" s="223"/>
      <c r="E180" s="223"/>
      <c r="F180" s="170"/>
      <c r="G180" s="236"/>
      <c r="H180" s="237"/>
      <c r="I180" s="157"/>
    </row>
    <row r="181" spans="1:9" ht="17.25" thickBot="1" thickTop="1">
      <c r="A181" s="184" t="s">
        <v>39</v>
      </c>
      <c r="B181" s="155"/>
      <c r="C181" s="223">
        <f>SUM(C19+C32+C45+C58+C71+C84+C97+C110+C123+C136+C149+C162+C175)</f>
        <v>1538125810.78</v>
      </c>
      <c r="D181" s="223">
        <f>SUM(D19+D32+D45+D58+D71+D84+D97+D110+D123+D136+D149+D162+D175)</f>
        <v>150541531.12999997</v>
      </c>
      <c r="E181" s="223">
        <f>SUM(E19+E32+E45+E58+E71+E84+E97+E110+E123+E136+E149+E162+E175)</f>
        <v>0</v>
      </c>
      <c r="F181" s="170">
        <v>1</v>
      </c>
      <c r="G181" s="236">
        <f>D181/C181</f>
        <v>0.09787335345062492</v>
      </c>
      <c r="H181" s="246">
        <f>1-G181</f>
        <v>0.9021266465493751</v>
      </c>
      <c r="I181" s="157"/>
    </row>
    <row r="182" spans="1:9" ht="16.5" thickTop="1">
      <c r="A182" s="185"/>
      <c r="B182" s="186"/>
      <c r="C182" s="231"/>
      <c r="D182" s="231"/>
      <c r="E182" s="231"/>
      <c r="F182" s="187"/>
      <c r="G182" s="250"/>
      <c r="H182" s="250"/>
      <c r="I182" s="151"/>
    </row>
    <row r="183" spans="1:9" ht="15.75">
      <c r="A183" s="289" t="s">
        <v>76</v>
      </c>
      <c r="B183" s="258"/>
      <c r="C183" s="259"/>
      <c r="D183" s="259"/>
      <c r="E183" s="259"/>
      <c r="F183" s="260"/>
      <c r="G183" s="257"/>
      <c r="H183" s="257"/>
      <c r="I183" s="151"/>
    </row>
    <row r="184" spans="1:9" ht="16.5" customHeight="1">
      <c r="A184" s="188" t="s">
        <v>49</v>
      </c>
      <c r="B184" s="189"/>
      <c r="C184" s="232"/>
      <c r="D184" s="232"/>
      <c r="E184" s="232"/>
      <c r="F184" s="190"/>
      <c r="G184" s="251"/>
      <c r="H184" s="251"/>
      <c r="I184" s="151"/>
    </row>
    <row r="185" spans="1:9" ht="15.75">
      <c r="A185" s="191"/>
      <c r="B185" s="189"/>
      <c r="C185" s="232"/>
      <c r="D185" s="232"/>
      <c r="E185" s="232"/>
      <c r="F185" s="190"/>
      <c r="G185" s="257"/>
      <c r="H185" s="257"/>
      <c r="I185" s="151"/>
    </row>
    <row r="186" spans="1:9" ht="15.75">
      <c r="A186" s="72"/>
      <c r="I186" s="151"/>
    </row>
  </sheetData>
  <sheetProtection/>
  <printOptions horizontalCentered="1"/>
  <pageMargins left="0.75" right="0.25" top="0.3194" bottom="0.2" header="0.5" footer="0.5"/>
  <pageSetup horizontalDpi="600" verticalDpi="600" orientation="landscape" scale="65" r:id="rId1"/>
  <rowBreaks count="4" manualBreakCount="4">
    <brk id="47" max="8" man="1"/>
    <brk id="86" max="8" man="1"/>
    <brk id="125" max="8" man="1"/>
    <brk id="16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webteam-prod</cp:lastModifiedBy>
  <cp:lastPrinted>2021-05-10T13:16:59Z</cp:lastPrinted>
  <dcterms:created xsi:type="dcterms:W3CDTF">2003-09-09T14:41:43Z</dcterms:created>
  <dcterms:modified xsi:type="dcterms:W3CDTF">2021-05-10T13:24:48Z</dcterms:modified>
  <cp:category/>
  <cp:version/>
  <cp:contentType/>
  <cp:contentStatus/>
</cp:coreProperties>
</file>