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STATS'!$A$1:$M$143</definedName>
    <definedName name="_xlnm.Print_Area" localSheetId="4">'SLOT STATS'!$A$1:$I$144</definedName>
    <definedName name="_xlnm.Print_Area" localSheetId="2">'TABLE STATS'!$A$1:$H$143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calcMode="autoNoTable" iterate="1" iterateCount="1" iterateDelta="0"/>
</workbook>
</file>

<file path=xl/calcChain.xml><?xml version="1.0" encoding="utf-8"?>
<calcChain xmlns="http://schemas.openxmlformats.org/spreadsheetml/2006/main">
  <c r="E142" i="4" l="1"/>
  <c r="D142" i="4"/>
  <c r="C142" i="4"/>
  <c r="F136" i="4"/>
  <c r="G136" i="4"/>
  <c r="H136" i="4" s="1"/>
  <c r="F126" i="4"/>
  <c r="G126" i="4"/>
  <c r="H126" i="4"/>
  <c r="F116" i="4"/>
  <c r="G116" i="4"/>
  <c r="H116" i="4"/>
  <c r="F106" i="4"/>
  <c r="G106" i="4"/>
  <c r="H106" i="4" s="1"/>
  <c r="F96" i="4"/>
  <c r="G96" i="4"/>
  <c r="H96" i="4" s="1"/>
  <c r="F86" i="4"/>
  <c r="G86" i="4"/>
  <c r="H86" i="4"/>
  <c r="F76" i="4"/>
  <c r="G76" i="4"/>
  <c r="H76" i="4"/>
  <c r="F66" i="4"/>
  <c r="G66" i="4"/>
  <c r="H66" i="4" s="1"/>
  <c r="F56" i="4"/>
  <c r="G56" i="4"/>
  <c r="H56" i="4" s="1"/>
  <c r="F46" i="4"/>
  <c r="G46" i="4"/>
  <c r="H46" i="4"/>
  <c r="F36" i="4"/>
  <c r="G36" i="4"/>
  <c r="H36" i="4"/>
  <c r="F26" i="4"/>
  <c r="G26" i="4"/>
  <c r="H26" i="4" s="1"/>
  <c r="F16" i="4"/>
  <c r="G16" i="4"/>
  <c r="H16" i="4" s="1"/>
  <c r="B136" i="4"/>
  <c r="B126" i="4"/>
  <c r="B116" i="4"/>
  <c r="B106" i="4"/>
  <c r="B96" i="4"/>
  <c r="B86" i="4"/>
  <c r="B76" i="4"/>
  <c r="B66" i="4"/>
  <c r="B56" i="4"/>
  <c r="B46" i="4"/>
  <c r="B36" i="4"/>
  <c r="B26" i="4"/>
  <c r="B16" i="4"/>
  <c r="D142" i="5"/>
  <c r="C142" i="5"/>
  <c r="G86" i="5"/>
  <c r="H86" i="5"/>
  <c r="G126" i="5"/>
  <c r="H126" i="5" s="1"/>
  <c r="B136" i="5"/>
  <c r="B126" i="5"/>
  <c r="B116" i="5"/>
  <c r="B106" i="5"/>
  <c r="B96" i="5"/>
  <c r="B86" i="5"/>
  <c r="B76" i="5"/>
  <c r="B66" i="5"/>
  <c r="B56" i="5"/>
  <c r="B46" i="5"/>
  <c r="B36" i="5"/>
  <c r="B26" i="5"/>
  <c r="B16" i="5"/>
  <c r="E141" i="3"/>
  <c r="D141" i="3"/>
  <c r="G141" i="3" s="1"/>
  <c r="C141" i="3"/>
  <c r="F135" i="3"/>
  <c r="G135" i="3"/>
  <c r="F125" i="3"/>
  <c r="G125" i="3"/>
  <c r="F115" i="3"/>
  <c r="G115" i="3"/>
  <c r="F105" i="3"/>
  <c r="G105" i="3"/>
  <c r="F95" i="3"/>
  <c r="G95" i="3"/>
  <c r="F85" i="3"/>
  <c r="G85" i="3"/>
  <c r="F75" i="3"/>
  <c r="G75" i="3"/>
  <c r="F65" i="3"/>
  <c r="G65" i="3"/>
  <c r="F55" i="3"/>
  <c r="G55" i="3"/>
  <c r="F45" i="3"/>
  <c r="G45" i="3"/>
  <c r="F35" i="3"/>
  <c r="G35" i="3"/>
  <c r="F25" i="3"/>
  <c r="G25" i="3"/>
  <c r="F15" i="3"/>
  <c r="G15" i="3"/>
  <c r="B135" i="3"/>
  <c r="B125" i="3"/>
  <c r="B115" i="3"/>
  <c r="B105" i="3"/>
  <c r="B95" i="3"/>
  <c r="B85" i="3"/>
  <c r="B75" i="3"/>
  <c r="B65" i="3"/>
  <c r="B55" i="3"/>
  <c r="B45" i="3"/>
  <c r="B35" i="3"/>
  <c r="B25" i="3"/>
  <c r="B15" i="3"/>
  <c r="N37" i="2"/>
  <c r="M37" i="2"/>
  <c r="L37" i="2"/>
  <c r="K37" i="2"/>
  <c r="J37" i="2"/>
  <c r="I37" i="2"/>
  <c r="H37" i="2"/>
  <c r="G37" i="2"/>
  <c r="F37" i="2"/>
  <c r="E37" i="2"/>
  <c r="O37" i="2" s="1"/>
  <c r="D37" i="2"/>
  <c r="C37" i="2"/>
  <c r="B37" i="2"/>
  <c r="N16" i="2"/>
  <c r="M16" i="2"/>
  <c r="L16" i="2"/>
  <c r="K16" i="2"/>
  <c r="J16" i="2"/>
  <c r="I16" i="2"/>
  <c r="H16" i="2"/>
  <c r="G16" i="2"/>
  <c r="F16" i="2"/>
  <c r="O16" i="2" s="1"/>
  <c r="E16" i="2"/>
  <c r="D16" i="2"/>
  <c r="C16" i="2"/>
  <c r="B16" i="2"/>
  <c r="A37" i="2"/>
  <c r="A16" i="2"/>
  <c r="F24" i="1"/>
  <c r="J24" i="1" s="1"/>
  <c r="F84" i="1"/>
  <c r="G83" i="1"/>
  <c r="L141" i="1"/>
  <c r="K141" i="1"/>
  <c r="D141" i="1"/>
  <c r="C141" i="1"/>
  <c r="E141" i="1" s="1"/>
  <c r="M135" i="1"/>
  <c r="I135" i="1"/>
  <c r="G135" i="1"/>
  <c r="F135" i="1"/>
  <c r="H135" i="1" s="1"/>
  <c r="E135" i="1"/>
  <c r="M125" i="1"/>
  <c r="I125" i="1"/>
  <c r="G125" i="1"/>
  <c r="F125" i="1"/>
  <c r="H125" i="1" s="1"/>
  <c r="E125" i="1"/>
  <c r="M115" i="1"/>
  <c r="I115" i="1"/>
  <c r="J115" i="1"/>
  <c r="G115" i="1"/>
  <c r="H115" i="1" s="1"/>
  <c r="F115" i="1"/>
  <c r="E115" i="1"/>
  <c r="M105" i="1"/>
  <c r="I105" i="1"/>
  <c r="G105" i="1"/>
  <c r="F105" i="1"/>
  <c r="J105" i="1" s="1"/>
  <c r="E105" i="1"/>
  <c r="H95" i="1"/>
  <c r="M95" i="1"/>
  <c r="I95" i="1"/>
  <c r="G95" i="1"/>
  <c r="F95" i="1"/>
  <c r="J95" i="1" s="1"/>
  <c r="E95" i="1"/>
  <c r="M85" i="1"/>
  <c r="I85" i="1"/>
  <c r="J85" i="1"/>
  <c r="G85" i="1"/>
  <c r="F85" i="1"/>
  <c r="H85" i="1" s="1"/>
  <c r="E85" i="1"/>
  <c r="H75" i="1"/>
  <c r="M75" i="1"/>
  <c r="I75" i="1"/>
  <c r="G75" i="1"/>
  <c r="F75" i="1"/>
  <c r="J75" i="1" s="1"/>
  <c r="E75" i="1"/>
  <c r="M65" i="1"/>
  <c r="I65" i="1"/>
  <c r="G65" i="1"/>
  <c r="F65" i="1"/>
  <c r="H65" i="1" s="1"/>
  <c r="E65" i="1"/>
  <c r="M55" i="1"/>
  <c r="I55" i="1"/>
  <c r="G55" i="1"/>
  <c r="F55" i="1"/>
  <c r="H55" i="1" s="1"/>
  <c r="E55" i="1"/>
  <c r="M45" i="1"/>
  <c r="I45" i="1"/>
  <c r="J45" i="1"/>
  <c r="G45" i="1"/>
  <c r="F45" i="1"/>
  <c r="H45" i="1" s="1"/>
  <c r="E45" i="1"/>
  <c r="M35" i="1"/>
  <c r="I35" i="1"/>
  <c r="J35" i="1"/>
  <c r="G35" i="1"/>
  <c r="H35" i="1" s="1"/>
  <c r="F35" i="1"/>
  <c r="E35" i="1"/>
  <c r="H25" i="1"/>
  <c r="M25" i="1"/>
  <c r="I25" i="1"/>
  <c r="J25" i="1"/>
  <c r="G25" i="1"/>
  <c r="F25" i="1"/>
  <c r="E25" i="1"/>
  <c r="M15" i="1"/>
  <c r="I15" i="1"/>
  <c r="G15" i="1"/>
  <c r="G141" i="1" s="1"/>
  <c r="F15" i="1"/>
  <c r="H15" i="1" s="1"/>
  <c r="E15" i="1"/>
  <c r="B135" i="1"/>
  <c r="B125" i="1"/>
  <c r="B115" i="1"/>
  <c r="B105" i="1"/>
  <c r="B95" i="1"/>
  <c r="B85" i="1"/>
  <c r="B75" i="1"/>
  <c r="B65" i="1"/>
  <c r="B55" i="1"/>
  <c r="B45" i="1"/>
  <c r="B35" i="1"/>
  <c r="B25" i="1"/>
  <c r="B15" i="1"/>
  <c r="F135" i="4"/>
  <c r="G135" i="4"/>
  <c r="H135" i="4" s="1"/>
  <c r="F125" i="4"/>
  <c r="G125" i="4"/>
  <c r="H125" i="4" s="1"/>
  <c r="F115" i="4"/>
  <c r="G115" i="4"/>
  <c r="H115" i="4"/>
  <c r="F105" i="4"/>
  <c r="G105" i="4"/>
  <c r="H105" i="4" s="1"/>
  <c r="F95" i="4"/>
  <c r="G95" i="4"/>
  <c r="H95" i="4" s="1"/>
  <c r="F85" i="4"/>
  <c r="G85" i="4"/>
  <c r="H85" i="4" s="1"/>
  <c r="F75" i="4"/>
  <c r="G75" i="4"/>
  <c r="H75" i="4"/>
  <c r="F65" i="4"/>
  <c r="G65" i="4"/>
  <c r="H65" i="4" s="1"/>
  <c r="F55" i="4"/>
  <c r="G55" i="4"/>
  <c r="H55" i="4" s="1"/>
  <c r="F45" i="4"/>
  <c r="G45" i="4"/>
  <c r="H45" i="4" s="1"/>
  <c r="F35" i="4"/>
  <c r="G35" i="4"/>
  <c r="H35" i="4"/>
  <c r="F25" i="4"/>
  <c r="G25" i="4"/>
  <c r="H25" i="4" s="1"/>
  <c r="F15" i="4"/>
  <c r="G15" i="4"/>
  <c r="H15" i="4" s="1"/>
  <c r="B135" i="4"/>
  <c r="B125" i="4"/>
  <c r="B115" i="4"/>
  <c r="B105" i="4"/>
  <c r="B95" i="4"/>
  <c r="B85" i="4"/>
  <c r="B75" i="4"/>
  <c r="B65" i="4"/>
  <c r="B55" i="4"/>
  <c r="B45" i="4"/>
  <c r="B35" i="4"/>
  <c r="B25" i="4"/>
  <c r="B15" i="4"/>
  <c r="E142" i="5"/>
  <c r="G85" i="5"/>
  <c r="H85" i="5"/>
  <c r="B135" i="5"/>
  <c r="B125" i="5"/>
  <c r="B115" i="5"/>
  <c r="B105" i="5"/>
  <c r="B95" i="5"/>
  <c r="B85" i="5"/>
  <c r="B75" i="5"/>
  <c r="B65" i="5"/>
  <c r="B55" i="5"/>
  <c r="B45" i="5"/>
  <c r="B35" i="5"/>
  <c r="B25" i="5"/>
  <c r="B15" i="5"/>
  <c r="F134" i="3"/>
  <c r="G134" i="3"/>
  <c r="F124" i="3"/>
  <c r="G124" i="3"/>
  <c r="F114" i="3"/>
  <c r="G114" i="3"/>
  <c r="F104" i="3"/>
  <c r="G104" i="3"/>
  <c r="F94" i="3"/>
  <c r="G94" i="3"/>
  <c r="F84" i="3"/>
  <c r="G84" i="3"/>
  <c r="F74" i="3"/>
  <c r="G74" i="3"/>
  <c r="F64" i="3"/>
  <c r="G64" i="3"/>
  <c r="F54" i="3"/>
  <c r="G54" i="3"/>
  <c r="F44" i="3"/>
  <c r="G44" i="3"/>
  <c r="F34" i="3"/>
  <c r="G34" i="3"/>
  <c r="F24" i="3"/>
  <c r="G24" i="3"/>
  <c r="F14" i="3"/>
  <c r="G14" i="3"/>
  <c r="B134" i="3"/>
  <c r="B124" i="3"/>
  <c r="B114" i="3"/>
  <c r="B104" i="3"/>
  <c r="B94" i="3"/>
  <c r="B84" i="3"/>
  <c r="B74" i="3"/>
  <c r="B64" i="3"/>
  <c r="B54" i="3"/>
  <c r="B44" i="3"/>
  <c r="B34" i="3"/>
  <c r="B24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O36" i="2" s="1"/>
  <c r="B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15" i="2" s="1"/>
  <c r="A36" i="2"/>
  <c r="A15" i="2"/>
  <c r="G32" i="1"/>
  <c r="F81" i="1"/>
  <c r="F123" i="1"/>
  <c r="H123" i="1" s="1"/>
  <c r="M134" i="1"/>
  <c r="I134" i="1"/>
  <c r="J134" i="1"/>
  <c r="G134" i="1"/>
  <c r="F134" i="1"/>
  <c r="H134" i="1" s="1"/>
  <c r="E134" i="1"/>
  <c r="M124" i="1"/>
  <c r="I124" i="1"/>
  <c r="J124" i="1"/>
  <c r="G124" i="1"/>
  <c r="H124" i="1" s="1"/>
  <c r="F124" i="1"/>
  <c r="E124" i="1"/>
  <c r="H114" i="1"/>
  <c r="M114" i="1"/>
  <c r="I114" i="1"/>
  <c r="J114" i="1"/>
  <c r="G114" i="1"/>
  <c r="F114" i="1"/>
  <c r="E114" i="1"/>
  <c r="M104" i="1"/>
  <c r="I104" i="1"/>
  <c r="G104" i="1"/>
  <c r="F104" i="1"/>
  <c r="H104" i="1" s="1"/>
  <c r="E104" i="1"/>
  <c r="M94" i="1"/>
  <c r="I94" i="1"/>
  <c r="G94" i="1"/>
  <c r="F94" i="1"/>
  <c r="H94" i="1" s="1"/>
  <c r="E94" i="1"/>
  <c r="M84" i="1"/>
  <c r="I84" i="1"/>
  <c r="G84" i="1"/>
  <c r="J84" i="1"/>
  <c r="E84" i="1"/>
  <c r="M74" i="1"/>
  <c r="I74" i="1"/>
  <c r="G74" i="1"/>
  <c r="F74" i="1"/>
  <c r="H74" i="1" s="1"/>
  <c r="E74" i="1"/>
  <c r="M64" i="1"/>
  <c r="I64" i="1"/>
  <c r="J64" i="1"/>
  <c r="G64" i="1"/>
  <c r="H64" i="1" s="1"/>
  <c r="F64" i="1"/>
  <c r="E64" i="1"/>
  <c r="M54" i="1"/>
  <c r="I54" i="1"/>
  <c r="G54" i="1"/>
  <c r="F54" i="1"/>
  <c r="J54" i="1" s="1"/>
  <c r="E54" i="1"/>
  <c r="M44" i="1"/>
  <c r="I44" i="1"/>
  <c r="G44" i="1"/>
  <c r="H44" i="1" s="1"/>
  <c r="F44" i="1"/>
  <c r="J44" i="1" s="1"/>
  <c r="E44" i="1"/>
  <c r="M34" i="1"/>
  <c r="I34" i="1"/>
  <c r="J34" i="1"/>
  <c r="G34" i="1"/>
  <c r="F34" i="1"/>
  <c r="H34" i="1" s="1"/>
  <c r="E34" i="1"/>
  <c r="M24" i="1"/>
  <c r="I24" i="1"/>
  <c r="G24" i="1"/>
  <c r="E24" i="1"/>
  <c r="M14" i="1"/>
  <c r="I14" i="1"/>
  <c r="J14" i="1"/>
  <c r="G14" i="1"/>
  <c r="F14" i="1"/>
  <c r="H14" i="1" s="1"/>
  <c r="E14" i="1"/>
  <c r="B134" i="1"/>
  <c r="B124" i="1"/>
  <c r="B114" i="1"/>
  <c r="B104" i="1"/>
  <c r="B94" i="1"/>
  <c r="B84" i="1"/>
  <c r="B74" i="1"/>
  <c r="B64" i="1"/>
  <c r="B54" i="1"/>
  <c r="B44" i="1"/>
  <c r="B34" i="1"/>
  <c r="B24" i="1"/>
  <c r="B14" i="1"/>
  <c r="F134" i="4"/>
  <c r="G134" i="4"/>
  <c r="H134" i="4" s="1"/>
  <c r="F124" i="4"/>
  <c r="G124" i="4"/>
  <c r="H124" i="4"/>
  <c r="F114" i="4"/>
  <c r="G114" i="4"/>
  <c r="H114" i="4" s="1"/>
  <c r="F104" i="4"/>
  <c r="G104" i="4"/>
  <c r="H104" i="4"/>
  <c r="F94" i="4"/>
  <c r="G94" i="4"/>
  <c r="H94" i="4" s="1"/>
  <c r="F84" i="4"/>
  <c r="G84" i="4"/>
  <c r="H84" i="4"/>
  <c r="F74" i="4"/>
  <c r="G74" i="4"/>
  <c r="H74" i="4" s="1"/>
  <c r="F64" i="4"/>
  <c r="G64" i="4"/>
  <c r="H64" i="4"/>
  <c r="F54" i="4"/>
  <c r="G54" i="4"/>
  <c r="H54" i="4" s="1"/>
  <c r="F44" i="4"/>
  <c r="G44" i="4"/>
  <c r="H44" i="4"/>
  <c r="F34" i="4"/>
  <c r="G34" i="4"/>
  <c r="H34" i="4" s="1"/>
  <c r="F24" i="4"/>
  <c r="G24" i="4"/>
  <c r="H24" i="4"/>
  <c r="F14" i="4"/>
  <c r="G14" i="4"/>
  <c r="H14" i="4" s="1"/>
  <c r="B134" i="4"/>
  <c r="B124" i="4"/>
  <c r="B114" i="4"/>
  <c r="B104" i="4"/>
  <c r="B94" i="4"/>
  <c r="B84" i="4"/>
  <c r="B74" i="4"/>
  <c r="B64" i="4"/>
  <c r="B54" i="4"/>
  <c r="B44" i="4"/>
  <c r="B34" i="4"/>
  <c r="B24" i="4"/>
  <c r="B14" i="4"/>
  <c r="G84" i="5"/>
  <c r="H84" i="5"/>
  <c r="B134" i="5"/>
  <c r="B124" i="5"/>
  <c r="B114" i="5"/>
  <c r="B104" i="5"/>
  <c r="B94" i="5"/>
  <c r="B84" i="5"/>
  <c r="B74" i="5"/>
  <c r="B64" i="5"/>
  <c r="B54" i="5"/>
  <c r="B44" i="5"/>
  <c r="B34" i="5"/>
  <c r="B24" i="5"/>
  <c r="B14" i="5"/>
  <c r="F141" i="3"/>
  <c r="F133" i="3"/>
  <c r="G133" i="3"/>
  <c r="F123" i="3"/>
  <c r="G123" i="3"/>
  <c r="F113" i="3"/>
  <c r="G113" i="3"/>
  <c r="F103" i="3"/>
  <c r="G103" i="3"/>
  <c r="F93" i="3"/>
  <c r="G93" i="3"/>
  <c r="F83" i="3"/>
  <c r="G83" i="3"/>
  <c r="F73" i="3"/>
  <c r="G73" i="3"/>
  <c r="F63" i="3"/>
  <c r="G63" i="3"/>
  <c r="F53" i="3"/>
  <c r="G53" i="3"/>
  <c r="F43" i="3"/>
  <c r="G43" i="3"/>
  <c r="F33" i="3"/>
  <c r="G33" i="3"/>
  <c r="F23" i="3"/>
  <c r="G23" i="3"/>
  <c r="F13" i="3"/>
  <c r="G13" i="3"/>
  <c r="B133" i="3"/>
  <c r="B123" i="3"/>
  <c r="B113" i="3"/>
  <c r="B103" i="3"/>
  <c r="B93" i="3"/>
  <c r="B83" i="3"/>
  <c r="B73" i="3"/>
  <c r="B63" i="3"/>
  <c r="B53" i="3"/>
  <c r="B43" i="3"/>
  <c r="B33" i="3"/>
  <c r="B23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O35" i="2" s="1"/>
  <c r="N14" i="2"/>
  <c r="M14" i="2"/>
  <c r="L14" i="2"/>
  <c r="K14" i="2"/>
  <c r="J14" i="2"/>
  <c r="I14" i="2"/>
  <c r="H14" i="2"/>
  <c r="G14" i="2"/>
  <c r="F14" i="2"/>
  <c r="E14" i="2"/>
  <c r="D14" i="2"/>
  <c r="C14" i="2"/>
  <c r="O14" i="2" s="1"/>
  <c r="B14" i="2"/>
  <c r="A35" i="2"/>
  <c r="A14" i="2"/>
  <c r="G70" i="1"/>
  <c r="F62" i="1"/>
  <c r="F71" i="1"/>
  <c r="F132" i="1"/>
  <c r="M133" i="1"/>
  <c r="I133" i="1"/>
  <c r="J133" i="1"/>
  <c r="G133" i="1"/>
  <c r="F133" i="1"/>
  <c r="H133" i="1" s="1"/>
  <c r="E133" i="1"/>
  <c r="M123" i="1"/>
  <c r="I123" i="1"/>
  <c r="G123" i="1"/>
  <c r="E123" i="1"/>
  <c r="M113" i="1"/>
  <c r="I113" i="1"/>
  <c r="J113" i="1"/>
  <c r="G113" i="1"/>
  <c r="F113" i="1"/>
  <c r="H113" i="1" s="1"/>
  <c r="E113" i="1"/>
  <c r="M103" i="1"/>
  <c r="I103" i="1"/>
  <c r="J103" i="1"/>
  <c r="G103" i="1"/>
  <c r="H103" i="1" s="1"/>
  <c r="F103" i="1"/>
  <c r="E103" i="1"/>
  <c r="H93" i="1"/>
  <c r="M93" i="1"/>
  <c r="I93" i="1"/>
  <c r="J93" i="1"/>
  <c r="G93" i="1"/>
  <c r="F93" i="1"/>
  <c r="E93" i="1"/>
  <c r="M83" i="1"/>
  <c r="I83" i="1"/>
  <c r="J83" i="1"/>
  <c r="F83" i="1"/>
  <c r="H83" i="1" s="1"/>
  <c r="E83" i="1"/>
  <c r="H73" i="1"/>
  <c r="M73" i="1"/>
  <c r="I73" i="1"/>
  <c r="G73" i="1"/>
  <c r="F73" i="1"/>
  <c r="J73" i="1" s="1"/>
  <c r="E73" i="1"/>
  <c r="M63" i="1"/>
  <c r="I63" i="1"/>
  <c r="G63" i="1"/>
  <c r="F63" i="1"/>
  <c r="H63" i="1" s="1"/>
  <c r="E63" i="1"/>
  <c r="H53" i="1"/>
  <c r="M53" i="1"/>
  <c r="I53" i="1"/>
  <c r="G53" i="1"/>
  <c r="F53" i="1"/>
  <c r="J53" i="1" s="1"/>
  <c r="E53" i="1"/>
  <c r="M43" i="1"/>
  <c r="I43" i="1"/>
  <c r="J43" i="1"/>
  <c r="G43" i="1"/>
  <c r="F43" i="1"/>
  <c r="H43" i="1" s="1"/>
  <c r="E43" i="1"/>
  <c r="M33" i="1"/>
  <c r="I33" i="1"/>
  <c r="J33" i="1"/>
  <c r="G33" i="1"/>
  <c r="H33" i="1" s="1"/>
  <c r="F33" i="1"/>
  <c r="E33" i="1"/>
  <c r="H23" i="1"/>
  <c r="M23" i="1"/>
  <c r="I23" i="1"/>
  <c r="J23" i="1"/>
  <c r="G23" i="1"/>
  <c r="F23" i="1"/>
  <c r="E23" i="1"/>
  <c r="M13" i="1"/>
  <c r="I13" i="1"/>
  <c r="G13" i="1"/>
  <c r="F13" i="1"/>
  <c r="H13" i="1" s="1"/>
  <c r="E13" i="1"/>
  <c r="B133" i="1"/>
  <c r="B123" i="1"/>
  <c r="B113" i="1"/>
  <c r="B103" i="1"/>
  <c r="B93" i="1"/>
  <c r="B83" i="1"/>
  <c r="B73" i="1"/>
  <c r="B63" i="1"/>
  <c r="B53" i="1"/>
  <c r="B43" i="1"/>
  <c r="B33" i="1"/>
  <c r="B23" i="1"/>
  <c r="B13" i="1"/>
  <c r="F133" i="4"/>
  <c r="G133" i="4"/>
  <c r="H133" i="4"/>
  <c r="F123" i="4"/>
  <c r="G123" i="4"/>
  <c r="H123" i="4" s="1"/>
  <c r="F113" i="4"/>
  <c r="G113" i="4"/>
  <c r="H113" i="4"/>
  <c r="F103" i="4"/>
  <c r="G103" i="4"/>
  <c r="H103" i="4" s="1"/>
  <c r="F93" i="4"/>
  <c r="G93" i="4"/>
  <c r="H93" i="4"/>
  <c r="F83" i="4"/>
  <c r="G83" i="4"/>
  <c r="H83" i="4" s="1"/>
  <c r="F73" i="4"/>
  <c r="G73" i="4"/>
  <c r="H73" i="4"/>
  <c r="F63" i="4"/>
  <c r="G63" i="4"/>
  <c r="H63" i="4" s="1"/>
  <c r="F53" i="4"/>
  <c r="G53" i="4"/>
  <c r="H53" i="4"/>
  <c r="F43" i="4"/>
  <c r="G43" i="4"/>
  <c r="H43" i="4" s="1"/>
  <c r="F33" i="4"/>
  <c r="G33" i="4"/>
  <c r="H33" i="4"/>
  <c r="F23" i="4"/>
  <c r="G23" i="4"/>
  <c r="H23" i="4" s="1"/>
  <c r="G13" i="4"/>
  <c r="H13" i="4" s="1"/>
  <c r="F13" i="4"/>
  <c r="B133" i="4"/>
  <c r="B123" i="4"/>
  <c r="B113" i="4"/>
  <c r="B103" i="4"/>
  <c r="B93" i="4"/>
  <c r="B83" i="4"/>
  <c r="B73" i="4"/>
  <c r="B63" i="4"/>
  <c r="B53" i="4"/>
  <c r="B43" i="4"/>
  <c r="B33" i="4"/>
  <c r="B23" i="4"/>
  <c r="B13" i="4"/>
  <c r="G83" i="5"/>
  <c r="H83" i="5" s="1"/>
  <c r="B133" i="5"/>
  <c r="B123" i="5"/>
  <c r="B113" i="5"/>
  <c r="B103" i="5"/>
  <c r="B93" i="5"/>
  <c r="B83" i="5"/>
  <c r="B73" i="5"/>
  <c r="B63" i="5"/>
  <c r="B53" i="5"/>
  <c r="B43" i="5"/>
  <c r="B33" i="5"/>
  <c r="B23" i="5"/>
  <c r="B13" i="5"/>
  <c r="F132" i="3"/>
  <c r="G132" i="3"/>
  <c r="F122" i="3"/>
  <c r="G122" i="3"/>
  <c r="F112" i="3"/>
  <c r="G112" i="3"/>
  <c r="F102" i="3"/>
  <c r="G102" i="3"/>
  <c r="F92" i="3"/>
  <c r="G92" i="3"/>
  <c r="F82" i="3"/>
  <c r="G82" i="3"/>
  <c r="F72" i="3"/>
  <c r="G72" i="3"/>
  <c r="F62" i="3"/>
  <c r="G62" i="3"/>
  <c r="F52" i="3"/>
  <c r="G52" i="3"/>
  <c r="F42" i="3"/>
  <c r="G42" i="3"/>
  <c r="F32" i="3"/>
  <c r="G32" i="3"/>
  <c r="F22" i="3"/>
  <c r="G22" i="3"/>
  <c r="G12" i="3"/>
  <c r="F12" i="3"/>
  <c r="B132" i="3"/>
  <c r="B122" i="3"/>
  <c r="B112" i="3"/>
  <c r="B102" i="3"/>
  <c r="B92" i="3"/>
  <c r="B82" i="3"/>
  <c r="B72" i="3"/>
  <c r="B62" i="3"/>
  <c r="B52" i="3"/>
  <c r="B42" i="3"/>
  <c r="B32" i="3"/>
  <c r="B22" i="3"/>
  <c r="B12" i="3"/>
  <c r="F90" i="1"/>
  <c r="H90" i="1" s="1"/>
  <c r="F89" i="1"/>
  <c r="F121" i="1"/>
  <c r="F131" i="1"/>
  <c r="N34" i="2"/>
  <c r="M34" i="2"/>
  <c r="L34" i="2"/>
  <c r="K34" i="2"/>
  <c r="J34" i="2"/>
  <c r="I34" i="2"/>
  <c r="H34" i="2"/>
  <c r="G34" i="2"/>
  <c r="O34" i="2" s="1"/>
  <c r="F34" i="2"/>
  <c r="E34" i="2"/>
  <c r="D34" i="2"/>
  <c r="C34" i="2"/>
  <c r="B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34" i="2"/>
  <c r="A13" i="2"/>
  <c r="M132" i="1"/>
  <c r="I132" i="1"/>
  <c r="G132" i="1"/>
  <c r="H132" i="1"/>
  <c r="E132" i="1"/>
  <c r="H122" i="1"/>
  <c r="M122" i="1"/>
  <c r="I122" i="1"/>
  <c r="G122" i="1"/>
  <c r="F122" i="1"/>
  <c r="J122" i="1" s="1"/>
  <c r="E122" i="1"/>
  <c r="M112" i="1"/>
  <c r="I112" i="1"/>
  <c r="J112" i="1"/>
  <c r="G112" i="1"/>
  <c r="F112" i="1"/>
  <c r="H112" i="1" s="1"/>
  <c r="E112" i="1"/>
  <c r="M102" i="1"/>
  <c r="I102" i="1"/>
  <c r="J102" i="1"/>
  <c r="G102" i="1"/>
  <c r="H102" i="1" s="1"/>
  <c r="F102" i="1"/>
  <c r="E102" i="1"/>
  <c r="H92" i="1"/>
  <c r="M92" i="1"/>
  <c r="I92" i="1"/>
  <c r="J92" i="1"/>
  <c r="G92" i="1"/>
  <c r="F92" i="1"/>
  <c r="E92" i="1"/>
  <c r="M82" i="1"/>
  <c r="I82" i="1"/>
  <c r="G82" i="1"/>
  <c r="F82" i="1"/>
  <c r="H82" i="1" s="1"/>
  <c r="E82" i="1"/>
  <c r="M72" i="1"/>
  <c r="I72" i="1"/>
  <c r="G72" i="1"/>
  <c r="F72" i="1"/>
  <c r="H72" i="1" s="1"/>
  <c r="E72" i="1"/>
  <c r="M62" i="1"/>
  <c r="I62" i="1"/>
  <c r="G62" i="1"/>
  <c r="J62" i="1"/>
  <c r="E62" i="1"/>
  <c r="M52" i="1"/>
  <c r="I52" i="1"/>
  <c r="G52" i="1"/>
  <c r="F52" i="1"/>
  <c r="H52" i="1" s="1"/>
  <c r="E52" i="1"/>
  <c r="M42" i="1"/>
  <c r="I42" i="1"/>
  <c r="J42" i="1"/>
  <c r="G42" i="1"/>
  <c r="H42" i="1" s="1"/>
  <c r="F42" i="1"/>
  <c r="E42" i="1"/>
  <c r="M32" i="1"/>
  <c r="I32" i="1"/>
  <c r="F32" i="1"/>
  <c r="J32" i="1" s="1"/>
  <c r="E32" i="1"/>
  <c r="M22" i="1"/>
  <c r="I22" i="1"/>
  <c r="J22" i="1"/>
  <c r="G22" i="1"/>
  <c r="F22" i="1"/>
  <c r="H22" i="1" s="1"/>
  <c r="E22" i="1"/>
  <c r="M12" i="1"/>
  <c r="I12" i="1"/>
  <c r="E12" i="1"/>
  <c r="G12" i="1"/>
  <c r="F12" i="1"/>
  <c r="H12" i="1" s="1"/>
  <c r="B132" i="1"/>
  <c r="B122" i="1"/>
  <c r="B112" i="1"/>
  <c r="B102" i="1"/>
  <c r="B92" i="1"/>
  <c r="B82" i="1"/>
  <c r="B72" i="1"/>
  <c r="B62" i="1"/>
  <c r="B52" i="1"/>
  <c r="B42" i="1"/>
  <c r="B32" i="1"/>
  <c r="B22" i="1"/>
  <c r="B12" i="1"/>
  <c r="G132" i="4"/>
  <c r="H132" i="4" s="1"/>
  <c r="F132" i="4"/>
  <c r="G122" i="4"/>
  <c r="H122" i="4" s="1"/>
  <c r="F122" i="4"/>
  <c r="G112" i="4"/>
  <c r="H112" i="4" s="1"/>
  <c r="F112" i="4"/>
  <c r="G102" i="4"/>
  <c r="H102" i="4"/>
  <c r="F102" i="4"/>
  <c r="H92" i="4"/>
  <c r="G92" i="4"/>
  <c r="F92" i="4"/>
  <c r="G82" i="4"/>
  <c r="H82" i="4"/>
  <c r="F82" i="4"/>
  <c r="G72" i="4"/>
  <c r="H72" i="4" s="1"/>
  <c r="F72" i="4"/>
  <c r="G62" i="4"/>
  <c r="H62" i="4"/>
  <c r="F62" i="4"/>
  <c r="G52" i="4"/>
  <c r="H52" i="4" s="1"/>
  <c r="F52" i="4"/>
  <c r="G42" i="4"/>
  <c r="H42" i="4"/>
  <c r="F42" i="4"/>
  <c r="G32" i="4"/>
  <c r="H32" i="4" s="1"/>
  <c r="F32" i="4"/>
  <c r="G22" i="4"/>
  <c r="H22" i="4"/>
  <c r="F22" i="4"/>
  <c r="G12" i="4"/>
  <c r="H12" i="4" s="1"/>
  <c r="F12" i="4"/>
  <c r="B132" i="4"/>
  <c r="B122" i="4"/>
  <c r="B112" i="4"/>
  <c r="B102" i="4"/>
  <c r="B92" i="4"/>
  <c r="B82" i="4"/>
  <c r="B72" i="4"/>
  <c r="B62" i="4"/>
  <c r="B52" i="4"/>
  <c r="B42" i="4"/>
  <c r="B32" i="4"/>
  <c r="B22" i="4"/>
  <c r="B12" i="4"/>
  <c r="G82" i="5"/>
  <c r="H82" i="5" s="1"/>
  <c r="B132" i="5"/>
  <c r="B122" i="5"/>
  <c r="B112" i="5"/>
  <c r="B102" i="5"/>
  <c r="B92" i="5"/>
  <c r="B82" i="5"/>
  <c r="B72" i="5"/>
  <c r="B62" i="5"/>
  <c r="B52" i="5"/>
  <c r="B42" i="5"/>
  <c r="B32" i="5"/>
  <c r="B22" i="5"/>
  <c r="B12" i="5"/>
  <c r="G131" i="3"/>
  <c r="F131" i="3"/>
  <c r="G121" i="3"/>
  <c r="F121" i="3"/>
  <c r="G111" i="3"/>
  <c r="F111" i="3"/>
  <c r="G101" i="3"/>
  <c r="F101" i="3"/>
  <c r="G91" i="3"/>
  <c r="F91" i="3"/>
  <c r="G81" i="3"/>
  <c r="F81" i="3"/>
  <c r="G71" i="3"/>
  <c r="F71" i="3"/>
  <c r="G61" i="3"/>
  <c r="F61" i="3"/>
  <c r="G51" i="3"/>
  <c r="F51" i="3"/>
  <c r="G41" i="3"/>
  <c r="F41" i="3"/>
  <c r="G31" i="3"/>
  <c r="F31" i="3"/>
  <c r="G21" i="3"/>
  <c r="F21" i="3"/>
  <c r="G11" i="3"/>
  <c r="F11" i="3"/>
  <c r="B131" i="3"/>
  <c r="B121" i="3"/>
  <c r="B111" i="3"/>
  <c r="B101" i="3"/>
  <c r="B91" i="3"/>
  <c r="B81" i="3"/>
  <c r="B71" i="3"/>
  <c r="B61" i="3"/>
  <c r="B51" i="3"/>
  <c r="B41" i="3"/>
  <c r="B31" i="3"/>
  <c r="B2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3" i="2" s="1"/>
  <c r="N12" i="2"/>
  <c r="M12" i="2"/>
  <c r="L12" i="2"/>
  <c r="K12" i="2"/>
  <c r="J12" i="2"/>
  <c r="I12" i="2"/>
  <c r="H12" i="2"/>
  <c r="H23" i="2" s="1"/>
  <c r="G12" i="2"/>
  <c r="F12" i="2"/>
  <c r="E12" i="2"/>
  <c r="D12" i="2"/>
  <c r="C12" i="2"/>
  <c r="B12" i="2"/>
  <c r="O12" i="2" s="1"/>
  <c r="A33" i="2"/>
  <c r="A12" i="2"/>
  <c r="F70" i="1"/>
  <c r="F79" i="1"/>
  <c r="J79" i="1" s="1"/>
  <c r="M131" i="1"/>
  <c r="I131" i="1"/>
  <c r="E131" i="1"/>
  <c r="G131" i="1"/>
  <c r="H131" i="1"/>
  <c r="M121" i="1"/>
  <c r="I121" i="1"/>
  <c r="H121" i="1"/>
  <c r="E121" i="1"/>
  <c r="G121" i="1"/>
  <c r="J121" i="1"/>
  <c r="M111" i="1"/>
  <c r="J111" i="1"/>
  <c r="I111" i="1"/>
  <c r="H111" i="1"/>
  <c r="E111" i="1"/>
  <c r="G111" i="1"/>
  <c r="F111" i="1"/>
  <c r="M101" i="1"/>
  <c r="I101" i="1"/>
  <c r="E101" i="1"/>
  <c r="G101" i="1"/>
  <c r="F101" i="1"/>
  <c r="H101" i="1" s="1"/>
  <c r="M91" i="1"/>
  <c r="I91" i="1"/>
  <c r="E91" i="1"/>
  <c r="G91" i="1"/>
  <c r="F91" i="1"/>
  <c r="J91" i="1" s="1"/>
  <c r="M81" i="1"/>
  <c r="J81" i="1"/>
  <c r="I81" i="1"/>
  <c r="E81" i="1"/>
  <c r="G81" i="1"/>
  <c r="H81" i="1" s="1"/>
  <c r="M71" i="1"/>
  <c r="I71" i="1"/>
  <c r="E71" i="1"/>
  <c r="G71" i="1"/>
  <c r="H71" i="1"/>
  <c r="M61" i="1"/>
  <c r="I61" i="1"/>
  <c r="E61" i="1"/>
  <c r="G31" i="1"/>
  <c r="F31" i="1"/>
  <c r="H31" i="1" s="1"/>
  <c r="G61" i="1"/>
  <c r="F61" i="1"/>
  <c r="J61" i="1" s="1"/>
  <c r="M51" i="1"/>
  <c r="I51" i="1"/>
  <c r="H51" i="1"/>
  <c r="E51" i="1"/>
  <c r="G51" i="1"/>
  <c r="F51" i="1"/>
  <c r="J51" i="1" s="1"/>
  <c r="M41" i="1"/>
  <c r="I41" i="1"/>
  <c r="E41" i="1"/>
  <c r="G41" i="1"/>
  <c r="F41" i="1"/>
  <c r="J41" i="1" s="1"/>
  <c r="M31" i="1"/>
  <c r="I31" i="1"/>
  <c r="E31" i="1"/>
  <c r="M21" i="1"/>
  <c r="I21" i="1"/>
  <c r="E21" i="1"/>
  <c r="G21" i="1"/>
  <c r="F21" i="1"/>
  <c r="J21" i="1" s="1"/>
  <c r="M11" i="1"/>
  <c r="J11" i="1"/>
  <c r="I11" i="1"/>
  <c r="E11" i="1"/>
  <c r="G11" i="1"/>
  <c r="H11" i="1" s="1"/>
  <c r="F11" i="1"/>
  <c r="B131" i="1"/>
  <c r="B121" i="1"/>
  <c r="B111" i="1"/>
  <c r="B101" i="1"/>
  <c r="B91" i="1"/>
  <c r="B81" i="1"/>
  <c r="B71" i="1"/>
  <c r="B61" i="1"/>
  <c r="B51" i="1"/>
  <c r="B41" i="1"/>
  <c r="B31" i="1"/>
  <c r="B21" i="1"/>
  <c r="B11" i="1"/>
  <c r="G131" i="4"/>
  <c r="H131" i="4"/>
  <c r="F131" i="4"/>
  <c r="G121" i="4"/>
  <c r="H121" i="4"/>
  <c r="F121" i="4"/>
  <c r="G111" i="4"/>
  <c r="H111" i="4"/>
  <c r="F111" i="4"/>
  <c r="G101" i="4"/>
  <c r="H101" i="4"/>
  <c r="F101" i="4"/>
  <c r="G91" i="4"/>
  <c r="H91" i="4"/>
  <c r="F91" i="4"/>
  <c r="G81" i="4"/>
  <c r="H81" i="4"/>
  <c r="F81" i="4"/>
  <c r="G71" i="4"/>
  <c r="H71" i="4"/>
  <c r="F71" i="4"/>
  <c r="G61" i="4"/>
  <c r="H61" i="4"/>
  <c r="F61" i="4"/>
  <c r="G51" i="4"/>
  <c r="H51" i="4"/>
  <c r="F51" i="4"/>
  <c r="G41" i="4"/>
  <c r="H41" i="4"/>
  <c r="F41" i="4"/>
  <c r="G31" i="4"/>
  <c r="H31" i="4"/>
  <c r="F31" i="4"/>
  <c r="G21" i="4"/>
  <c r="H21" i="4"/>
  <c r="F21" i="4"/>
  <c r="G11" i="4"/>
  <c r="H11" i="4"/>
  <c r="F11" i="4"/>
  <c r="B131" i="4"/>
  <c r="B130" i="4"/>
  <c r="B121" i="4"/>
  <c r="B120" i="4"/>
  <c r="B111" i="4"/>
  <c r="B110" i="4"/>
  <c r="B101" i="4"/>
  <c r="B100" i="4"/>
  <c r="B91" i="4"/>
  <c r="B90" i="4"/>
  <c r="B81" i="4"/>
  <c r="B80" i="4"/>
  <c r="B71" i="4"/>
  <c r="B70" i="4"/>
  <c r="B61" i="4"/>
  <c r="B60" i="4"/>
  <c r="B51" i="4"/>
  <c r="B50" i="4"/>
  <c r="B41" i="4"/>
  <c r="B40" i="4"/>
  <c r="B31" i="4"/>
  <c r="B30" i="4"/>
  <c r="B21" i="4"/>
  <c r="B20" i="4"/>
  <c r="B11" i="4"/>
  <c r="B10" i="4"/>
  <c r="G81" i="5"/>
  <c r="H81" i="5"/>
  <c r="B131" i="5"/>
  <c r="B130" i="5"/>
  <c r="B121" i="5"/>
  <c r="B120" i="5"/>
  <c r="B111" i="5"/>
  <c r="B110" i="5"/>
  <c r="B101" i="5"/>
  <c r="B100" i="5"/>
  <c r="B91" i="5"/>
  <c r="B90" i="5"/>
  <c r="B81" i="5"/>
  <c r="B80" i="5"/>
  <c r="B71" i="5"/>
  <c r="B70" i="5"/>
  <c r="B61" i="5"/>
  <c r="B60" i="5"/>
  <c r="B51" i="5"/>
  <c r="B50" i="5"/>
  <c r="B41" i="5"/>
  <c r="B40" i="5"/>
  <c r="B31" i="5"/>
  <c r="B30" i="5"/>
  <c r="B21" i="5"/>
  <c r="B20" i="5"/>
  <c r="B11" i="5"/>
  <c r="B10" i="5"/>
  <c r="G130" i="3"/>
  <c r="F130" i="3"/>
  <c r="G120" i="3"/>
  <c r="F120" i="3"/>
  <c r="G110" i="3"/>
  <c r="F110" i="3"/>
  <c r="G100" i="3"/>
  <c r="F100" i="3"/>
  <c r="G90" i="3"/>
  <c r="F90" i="3"/>
  <c r="G80" i="3"/>
  <c r="F80" i="3"/>
  <c r="G70" i="3"/>
  <c r="F70" i="3"/>
  <c r="G60" i="3"/>
  <c r="F60" i="3"/>
  <c r="G50" i="3"/>
  <c r="F50" i="3"/>
  <c r="G40" i="3"/>
  <c r="F40" i="3"/>
  <c r="G30" i="3"/>
  <c r="F30" i="3"/>
  <c r="G20" i="3"/>
  <c r="F20" i="3"/>
  <c r="G10" i="3"/>
  <c r="F10" i="3"/>
  <c r="B130" i="3"/>
  <c r="B129" i="3"/>
  <c r="B120" i="3"/>
  <c r="B119" i="3"/>
  <c r="B110" i="3"/>
  <c r="B109" i="3"/>
  <c r="B100" i="3"/>
  <c r="B99" i="3"/>
  <c r="B90" i="3"/>
  <c r="B89" i="3"/>
  <c r="B80" i="3"/>
  <c r="B79" i="3"/>
  <c r="B70" i="3"/>
  <c r="B69" i="3"/>
  <c r="B60" i="3"/>
  <c r="B59" i="3"/>
  <c r="B50" i="3"/>
  <c r="B49" i="3"/>
  <c r="B40" i="3"/>
  <c r="B39" i="3"/>
  <c r="B30" i="3"/>
  <c r="B29" i="3"/>
  <c r="B20" i="3"/>
  <c r="B19" i="3"/>
  <c r="B10" i="3"/>
  <c r="B9" i="3"/>
  <c r="N32" i="2"/>
  <c r="M32" i="2"/>
  <c r="L32" i="2"/>
  <c r="K32" i="2"/>
  <c r="J32" i="2"/>
  <c r="I32" i="2"/>
  <c r="H32" i="2"/>
  <c r="G32" i="2"/>
  <c r="F32" i="2"/>
  <c r="E32" i="2"/>
  <c r="D32" i="2"/>
  <c r="C32" i="2"/>
  <c r="C44" i="2" s="1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O11" i="2" s="1"/>
  <c r="B11" i="2"/>
  <c r="A32" i="2"/>
  <c r="A31" i="2"/>
  <c r="A11" i="2"/>
  <c r="A10" i="2"/>
  <c r="M130" i="1"/>
  <c r="J130" i="1"/>
  <c r="I130" i="1"/>
  <c r="E130" i="1"/>
  <c r="G130" i="1"/>
  <c r="G129" i="1"/>
  <c r="F130" i="1"/>
  <c r="H130" i="1" s="1"/>
  <c r="F129" i="1"/>
  <c r="J129" i="1" s="1"/>
  <c r="M120" i="1"/>
  <c r="I120" i="1"/>
  <c r="E120" i="1"/>
  <c r="G120" i="1"/>
  <c r="G119" i="1"/>
  <c r="F120" i="1"/>
  <c r="J120" i="1" s="1"/>
  <c r="F119" i="1"/>
  <c r="F127" i="1" s="1"/>
  <c r="M110" i="1"/>
  <c r="I110" i="1"/>
  <c r="H110" i="1"/>
  <c r="E110" i="1"/>
  <c r="G110" i="1"/>
  <c r="G109" i="1"/>
  <c r="F110" i="1"/>
  <c r="J110" i="1" s="1"/>
  <c r="F109" i="1"/>
  <c r="M100" i="1"/>
  <c r="J100" i="1"/>
  <c r="I100" i="1"/>
  <c r="E100" i="1"/>
  <c r="G100" i="1"/>
  <c r="G99" i="1"/>
  <c r="G107" i="1" s="1"/>
  <c r="F100" i="1"/>
  <c r="H100" i="1" s="1"/>
  <c r="F99" i="1"/>
  <c r="F107" i="1" s="1"/>
  <c r="M90" i="1"/>
  <c r="I90" i="1"/>
  <c r="E90" i="1"/>
  <c r="G90" i="1"/>
  <c r="G89" i="1"/>
  <c r="H89" i="1" s="1"/>
  <c r="M80" i="1"/>
  <c r="J80" i="1"/>
  <c r="I80" i="1"/>
  <c r="E80" i="1"/>
  <c r="G80" i="1"/>
  <c r="G79" i="1"/>
  <c r="G87" i="1" s="1"/>
  <c r="F80" i="1"/>
  <c r="H80" i="1" s="1"/>
  <c r="M70" i="1"/>
  <c r="I70" i="1"/>
  <c r="E70" i="1"/>
  <c r="G69" i="1"/>
  <c r="H70" i="1"/>
  <c r="F69" i="1"/>
  <c r="F77" i="1" s="1"/>
  <c r="M60" i="1"/>
  <c r="I60" i="1"/>
  <c r="E60" i="1"/>
  <c r="G60" i="1"/>
  <c r="G59" i="1"/>
  <c r="G67" i="1" s="1"/>
  <c r="F60" i="1"/>
  <c r="J60" i="1" s="1"/>
  <c r="F59" i="1"/>
  <c r="F67" i="1" s="1"/>
  <c r="H67" i="1" s="1"/>
  <c r="M50" i="1"/>
  <c r="J50" i="1"/>
  <c r="I50" i="1"/>
  <c r="E50" i="1"/>
  <c r="G50" i="1"/>
  <c r="G49" i="1"/>
  <c r="G57" i="1" s="1"/>
  <c r="F50" i="1"/>
  <c r="H50" i="1" s="1"/>
  <c r="F49" i="1"/>
  <c r="M40" i="1"/>
  <c r="J40" i="1"/>
  <c r="I40" i="1"/>
  <c r="E40" i="1"/>
  <c r="G40" i="1"/>
  <c r="G47" i="1" s="1"/>
  <c r="G39" i="1"/>
  <c r="F40" i="1"/>
  <c r="H40" i="1" s="1"/>
  <c r="F39" i="1"/>
  <c r="M30" i="1"/>
  <c r="I30" i="1"/>
  <c r="E30" i="1"/>
  <c r="G30" i="1"/>
  <c r="G29" i="1"/>
  <c r="G37" i="1" s="1"/>
  <c r="F30" i="1"/>
  <c r="H30" i="1" s="1"/>
  <c r="F29" i="1"/>
  <c r="H29" i="1" s="1"/>
  <c r="M20" i="1"/>
  <c r="I20" i="1"/>
  <c r="E20" i="1"/>
  <c r="G20" i="1"/>
  <c r="G19" i="1"/>
  <c r="G27" i="1" s="1"/>
  <c r="F20" i="1"/>
  <c r="J20" i="1" s="1"/>
  <c r="F19" i="1"/>
  <c r="M10" i="1"/>
  <c r="J10" i="1"/>
  <c r="I10" i="1"/>
  <c r="E10" i="1"/>
  <c r="G10" i="1"/>
  <c r="G9" i="1"/>
  <c r="G17" i="1" s="1"/>
  <c r="F10" i="1"/>
  <c r="H10" i="1" s="1"/>
  <c r="F9" i="1"/>
  <c r="F17" i="1" s="1"/>
  <c r="H17" i="1" s="1"/>
  <c r="B130" i="1"/>
  <c r="B129" i="1"/>
  <c r="B120" i="1"/>
  <c r="B119" i="1"/>
  <c r="B110" i="1"/>
  <c r="B109" i="1"/>
  <c r="B100" i="1"/>
  <c r="B99" i="1"/>
  <c r="B90" i="1"/>
  <c r="B89" i="1"/>
  <c r="B80" i="1"/>
  <c r="B79" i="1"/>
  <c r="B70" i="1"/>
  <c r="B69" i="1"/>
  <c r="B60" i="1"/>
  <c r="B59" i="1"/>
  <c r="B50" i="1"/>
  <c r="B49" i="1"/>
  <c r="B40" i="1"/>
  <c r="B39" i="1"/>
  <c r="B30" i="1"/>
  <c r="B29" i="1"/>
  <c r="B20" i="1"/>
  <c r="B19" i="1"/>
  <c r="B10" i="1"/>
  <c r="B9" i="1"/>
  <c r="E138" i="5"/>
  <c r="D138" i="5"/>
  <c r="C138" i="5"/>
  <c r="E128" i="5"/>
  <c r="E140" i="5" s="1"/>
  <c r="D128" i="5"/>
  <c r="C128" i="5"/>
  <c r="E118" i="5"/>
  <c r="D118" i="5"/>
  <c r="C118" i="5"/>
  <c r="E108" i="5"/>
  <c r="D108" i="5"/>
  <c r="C108" i="5"/>
  <c r="E98" i="5"/>
  <c r="D98" i="5"/>
  <c r="C98" i="5"/>
  <c r="E88" i="5"/>
  <c r="D88" i="5"/>
  <c r="C88" i="5"/>
  <c r="E78" i="5"/>
  <c r="D78" i="5"/>
  <c r="D140" i="5" s="1"/>
  <c r="G140" i="5" s="1"/>
  <c r="H140" i="5" s="1"/>
  <c r="C78" i="5"/>
  <c r="E68" i="5"/>
  <c r="D68" i="5"/>
  <c r="C68" i="5"/>
  <c r="E58" i="5"/>
  <c r="D58" i="5"/>
  <c r="C58" i="5"/>
  <c r="E48" i="5"/>
  <c r="D48" i="5"/>
  <c r="C48" i="5"/>
  <c r="E38" i="5"/>
  <c r="D38" i="5"/>
  <c r="C38" i="5"/>
  <c r="E28" i="5"/>
  <c r="D28" i="5"/>
  <c r="C28" i="5"/>
  <c r="C140" i="5" s="1"/>
  <c r="E18" i="5"/>
  <c r="D18" i="5"/>
  <c r="C18" i="5"/>
  <c r="G137" i="1"/>
  <c r="J19" i="1"/>
  <c r="J109" i="1"/>
  <c r="G77" i="1"/>
  <c r="J49" i="1"/>
  <c r="J9" i="1"/>
  <c r="L47" i="1"/>
  <c r="F60" i="4"/>
  <c r="F59" i="3"/>
  <c r="M59" i="1"/>
  <c r="E59" i="1"/>
  <c r="F130" i="4"/>
  <c r="F129" i="3"/>
  <c r="G31" i="2"/>
  <c r="G44" i="2" s="1"/>
  <c r="G10" i="2"/>
  <c r="G23" i="2" s="1"/>
  <c r="M129" i="1"/>
  <c r="E129" i="1"/>
  <c r="E68" i="4"/>
  <c r="D68" i="4"/>
  <c r="F68" i="4" s="1"/>
  <c r="C68" i="4"/>
  <c r="G60" i="4"/>
  <c r="H60" i="4" s="1"/>
  <c r="E67" i="3"/>
  <c r="D67" i="3"/>
  <c r="C67" i="3"/>
  <c r="G67" i="3" s="1"/>
  <c r="G59" i="3"/>
  <c r="L67" i="1"/>
  <c r="D67" i="1"/>
  <c r="E67" i="1" s="1"/>
  <c r="C67" i="1"/>
  <c r="I59" i="1"/>
  <c r="G130" i="4"/>
  <c r="H130" i="4"/>
  <c r="G129" i="3"/>
  <c r="I129" i="1"/>
  <c r="D17" i="1"/>
  <c r="D27" i="1"/>
  <c r="E27" i="1" s="1"/>
  <c r="D37" i="1"/>
  <c r="D47" i="1"/>
  <c r="D57" i="1"/>
  <c r="D77" i="1"/>
  <c r="D139" i="1" s="1"/>
  <c r="D87" i="1"/>
  <c r="D97" i="1"/>
  <c r="D107" i="1"/>
  <c r="D117" i="1"/>
  <c r="D127" i="1"/>
  <c r="D137" i="1"/>
  <c r="C137" i="1"/>
  <c r="C138" i="4"/>
  <c r="D138" i="4"/>
  <c r="G138" i="4" s="1"/>
  <c r="H138" i="4" s="1"/>
  <c r="C137" i="3"/>
  <c r="G137" i="3" s="1"/>
  <c r="D137" i="3"/>
  <c r="E18" i="4"/>
  <c r="E28" i="4"/>
  <c r="E38" i="4"/>
  <c r="E48" i="4"/>
  <c r="E58" i="4"/>
  <c r="F58" i="4" s="1"/>
  <c r="E78" i="4"/>
  <c r="E88" i="4"/>
  <c r="E98" i="4"/>
  <c r="E108" i="4"/>
  <c r="E118" i="4"/>
  <c r="E128" i="4"/>
  <c r="E138" i="4"/>
  <c r="E140" i="4" s="1"/>
  <c r="D18" i="4"/>
  <c r="D28" i="4"/>
  <c r="F28" i="4" s="1"/>
  <c r="D38" i="4"/>
  <c r="F38" i="4" s="1"/>
  <c r="D48" i="4"/>
  <c r="F48" i="4"/>
  <c r="D58" i="4"/>
  <c r="D78" i="4"/>
  <c r="D140" i="4" s="1"/>
  <c r="D88" i="4"/>
  <c r="D98" i="4"/>
  <c r="D108" i="4"/>
  <c r="F108" i="4" s="1"/>
  <c r="D118" i="4"/>
  <c r="D128" i="4"/>
  <c r="G128" i="4" s="1"/>
  <c r="H128" i="4" s="1"/>
  <c r="C18" i="4"/>
  <c r="C28" i="4"/>
  <c r="C38" i="4"/>
  <c r="C48" i="4"/>
  <c r="C140" i="4" s="1"/>
  <c r="C58" i="4"/>
  <c r="C78" i="4"/>
  <c r="C88" i="4"/>
  <c r="G88" i="4"/>
  <c r="H88" i="4" s="1"/>
  <c r="C98" i="4"/>
  <c r="C108" i="4"/>
  <c r="C118" i="4"/>
  <c r="G118" i="4" s="1"/>
  <c r="H118" i="4" s="1"/>
  <c r="C128" i="4"/>
  <c r="F100" i="4"/>
  <c r="E17" i="3"/>
  <c r="E27" i="3"/>
  <c r="F27" i="3" s="1"/>
  <c r="E37" i="3"/>
  <c r="E47" i="3"/>
  <c r="E57" i="3"/>
  <c r="F57" i="3"/>
  <c r="E77" i="3"/>
  <c r="E87" i="3"/>
  <c r="F87" i="3" s="1"/>
  <c r="E97" i="3"/>
  <c r="E107" i="3"/>
  <c r="E117" i="3"/>
  <c r="F117" i="3"/>
  <c r="E127" i="3"/>
  <c r="E137" i="3"/>
  <c r="E139" i="3" s="1"/>
  <c r="D17" i="3"/>
  <c r="D27" i="3"/>
  <c r="G27" i="3" s="1"/>
  <c r="D37" i="3"/>
  <c r="F37" i="3" s="1"/>
  <c r="D47" i="3"/>
  <c r="F47" i="3" s="1"/>
  <c r="D57" i="3"/>
  <c r="D77" i="3"/>
  <c r="G77" i="3" s="1"/>
  <c r="D87" i="3"/>
  <c r="D97" i="3"/>
  <c r="F97" i="3" s="1"/>
  <c r="D107" i="3"/>
  <c r="G107" i="3" s="1"/>
  <c r="D117" i="3"/>
  <c r="D127" i="3"/>
  <c r="F127" i="3" s="1"/>
  <c r="C17" i="3"/>
  <c r="G17" i="3" s="1"/>
  <c r="C27" i="3"/>
  <c r="C37" i="3"/>
  <c r="C47" i="3"/>
  <c r="C57" i="3"/>
  <c r="G57" i="3" s="1"/>
  <c r="C77" i="3"/>
  <c r="C87" i="3"/>
  <c r="G87" i="3" s="1"/>
  <c r="C97" i="3"/>
  <c r="G97" i="3" s="1"/>
  <c r="C107" i="3"/>
  <c r="C117" i="3"/>
  <c r="C127" i="3"/>
  <c r="G127" i="3"/>
  <c r="F99" i="3"/>
  <c r="M99" i="1"/>
  <c r="E99" i="1"/>
  <c r="L17" i="1"/>
  <c r="L27" i="1"/>
  <c r="L37" i="1"/>
  <c r="L57" i="1"/>
  <c r="M57" i="1" s="1"/>
  <c r="L77" i="1"/>
  <c r="L87" i="1"/>
  <c r="L97" i="1"/>
  <c r="L107" i="1"/>
  <c r="L117" i="1"/>
  <c r="L127" i="1"/>
  <c r="M127" i="1"/>
  <c r="K17" i="1"/>
  <c r="I17" i="1" s="1"/>
  <c r="K27" i="1"/>
  <c r="C17" i="1"/>
  <c r="C27" i="1"/>
  <c r="C37" i="1"/>
  <c r="E37" i="1"/>
  <c r="C47" i="1"/>
  <c r="C57" i="1"/>
  <c r="C77" i="1"/>
  <c r="C139" i="1" s="1"/>
  <c r="E139" i="1" s="1"/>
  <c r="E77" i="1"/>
  <c r="C87" i="1"/>
  <c r="C97" i="1"/>
  <c r="E97" i="1" s="1"/>
  <c r="C107" i="1"/>
  <c r="C117" i="1"/>
  <c r="E117" i="1" s="1"/>
  <c r="C127" i="1"/>
  <c r="E109" i="1"/>
  <c r="I109" i="1"/>
  <c r="M109" i="1"/>
  <c r="K107" i="1"/>
  <c r="F120" i="4"/>
  <c r="K31" i="2"/>
  <c r="K44" i="2" s="1"/>
  <c r="K10" i="2"/>
  <c r="K47" i="1"/>
  <c r="I47" i="1" s="1"/>
  <c r="K57" i="1"/>
  <c r="K77" i="1"/>
  <c r="K87" i="1"/>
  <c r="M87" i="1" s="1"/>
  <c r="K97" i="1"/>
  <c r="K127" i="1"/>
  <c r="I127" i="1" s="1"/>
  <c r="I99" i="1"/>
  <c r="G100" i="4"/>
  <c r="H100" i="4" s="1"/>
  <c r="G99" i="3"/>
  <c r="F80" i="4"/>
  <c r="F79" i="3"/>
  <c r="N31" i="2"/>
  <c r="N44" i="2" s="1"/>
  <c r="M31" i="2"/>
  <c r="M44" i="2" s="1"/>
  <c r="L31" i="2"/>
  <c r="L44" i="2" s="1"/>
  <c r="J31" i="2"/>
  <c r="J44" i="2" s="1"/>
  <c r="I31" i="2"/>
  <c r="H31" i="2"/>
  <c r="F31" i="2"/>
  <c r="F44" i="2" s="1"/>
  <c r="E31" i="2"/>
  <c r="C31" i="2"/>
  <c r="B31" i="2"/>
  <c r="B44" i="2" s="1"/>
  <c r="M79" i="1"/>
  <c r="E79" i="1"/>
  <c r="I10" i="2"/>
  <c r="G80" i="4"/>
  <c r="H80" i="4" s="1"/>
  <c r="G90" i="4"/>
  <c r="H90" i="4"/>
  <c r="F90" i="4"/>
  <c r="G79" i="3"/>
  <c r="I79" i="1"/>
  <c r="F10" i="4"/>
  <c r="G10" i="4"/>
  <c r="H10" i="4" s="1"/>
  <c r="I9" i="1"/>
  <c r="I19" i="1"/>
  <c r="I39" i="1"/>
  <c r="I49" i="1"/>
  <c r="I69" i="1"/>
  <c r="I89" i="1"/>
  <c r="I119" i="1"/>
  <c r="E9" i="1"/>
  <c r="M9" i="1"/>
  <c r="E19" i="1"/>
  <c r="M19" i="1"/>
  <c r="E29" i="1"/>
  <c r="E39" i="1"/>
  <c r="M39" i="1"/>
  <c r="E49" i="1"/>
  <c r="M49" i="1"/>
  <c r="E69" i="1"/>
  <c r="M69" i="1"/>
  <c r="E89" i="1"/>
  <c r="M89" i="1"/>
  <c r="E119" i="1"/>
  <c r="M119" i="1"/>
  <c r="F20" i="4"/>
  <c r="G20" i="4"/>
  <c r="H20" i="4"/>
  <c r="F30" i="4"/>
  <c r="G30" i="4"/>
  <c r="H30" i="4" s="1"/>
  <c r="F40" i="4"/>
  <c r="G40" i="4"/>
  <c r="H40" i="4"/>
  <c r="F50" i="4"/>
  <c r="G50" i="4"/>
  <c r="H50" i="4" s="1"/>
  <c r="F70" i="4"/>
  <c r="G70" i="4"/>
  <c r="H70" i="4"/>
  <c r="F110" i="4"/>
  <c r="G110" i="4"/>
  <c r="H110" i="4" s="1"/>
  <c r="G120" i="4"/>
  <c r="H120" i="4"/>
  <c r="F9" i="3"/>
  <c r="F19" i="3"/>
  <c r="G19" i="3"/>
  <c r="F29" i="3"/>
  <c r="G29" i="3"/>
  <c r="F39" i="3"/>
  <c r="G39" i="3"/>
  <c r="F49" i="3"/>
  <c r="G49" i="3"/>
  <c r="F69" i="3"/>
  <c r="G69" i="3"/>
  <c r="F89" i="3"/>
  <c r="G89" i="3"/>
  <c r="F109" i="3"/>
  <c r="G109" i="3"/>
  <c r="F119" i="3"/>
  <c r="G119" i="3"/>
  <c r="G9" i="3"/>
  <c r="B10" i="2"/>
  <c r="C10" i="2"/>
  <c r="C23" i="2" s="1"/>
  <c r="D10" i="2"/>
  <c r="O10" i="2" s="1"/>
  <c r="E10" i="2"/>
  <c r="E23" i="2" s="1"/>
  <c r="F10" i="2"/>
  <c r="F23" i="2" s="1"/>
  <c r="H10" i="2"/>
  <c r="J10" i="2"/>
  <c r="J23" i="2" s="1"/>
  <c r="L10" i="2"/>
  <c r="M10" i="2"/>
  <c r="N10" i="2"/>
  <c r="N23" i="2" s="1"/>
  <c r="I29" i="1"/>
  <c r="M29" i="1"/>
  <c r="K37" i="1"/>
  <c r="M37" i="1" s="1"/>
  <c r="D31" i="2"/>
  <c r="L137" i="1"/>
  <c r="L139" i="1" s="1"/>
  <c r="K137" i="1"/>
  <c r="M137" i="1" s="1"/>
  <c r="I137" i="1"/>
  <c r="K67" i="1"/>
  <c r="M67" i="1" s="1"/>
  <c r="K117" i="1"/>
  <c r="H19" i="1"/>
  <c r="H109" i="1"/>
  <c r="J89" i="1"/>
  <c r="F57" i="1"/>
  <c r="H57" i="1" s="1"/>
  <c r="H39" i="1"/>
  <c r="J39" i="1"/>
  <c r="G117" i="1"/>
  <c r="G127" i="1"/>
  <c r="H129" i="1"/>
  <c r="G142" i="4"/>
  <c r="H142" i="4" s="1"/>
  <c r="J99" i="1"/>
  <c r="H59" i="1"/>
  <c r="J59" i="1"/>
  <c r="J70" i="1"/>
  <c r="H79" i="1"/>
  <c r="F142" i="4"/>
  <c r="G58" i="4"/>
  <c r="H58" i="4"/>
  <c r="G142" i="5"/>
  <c r="H142" i="5" s="1"/>
  <c r="J71" i="1"/>
  <c r="J131" i="1"/>
  <c r="F88" i="4"/>
  <c r="H62" i="1"/>
  <c r="F137" i="1"/>
  <c r="J132" i="1"/>
  <c r="F98" i="4"/>
  <c r="F118" i="4"/>
  <c r="G98" i="4"/>
  <c r="H98" i="4" s="1"/>
  <c r="G18" i="4"/>
  <c r="H18" i="4"/>
  <c r="H32" i="1"/>
  <c r="J123" i="1"/>
  <c r="E137" i="1"/>
  <c r="E127" i="1"/>
  <c r="I107" i="1"/>
  <c r="E57" i="1"/>
  <c r="I57" i="1"/>
  <c r="M47" i="1"/>
  <c r="E17" i="1"/>
  <c r="G108" i="4"/>
  <c r="H108" i="4" s="1"/>
  <c r="G48" i="4"/>
  <c r="H48" i="4" s="1"/>
  <c r="G28" i="4"/>
  <c r="H28" i="4"/>
  <c r="F18" i="4"/>
  <c r="G88" i="5"/>
  <c r="H88" i="5"/>
  <c r="G117" i="3"/>
  <c r="F67" i="3"/>
  <c r="C139" i="3"/>
  <c r="G37" i="3"/>
  <c r="F17" i="3"/>
  <c r="I44" i="2"/>
  <c r="L23" i="2"/>
  <c r="H24" i="1"/>
  <c r="H84" i="1"/>
  <c r="M117" i="1"/>
  <c r="M107" i="1"/>
  <c r="E107" i="1"/>
  <c r="I87" i="1"/>
  <c r="E87" i="1"/>
  <c r="M77" i="1"/>
  <c r="I77" i="1"/>
  <c r="I67" i="1"/>
  <c r="E47" i="1"/>
  <c r="I37" i="1"/>
  <c r="I27" i="1"/>
  <c r="K23" i="2"/>
  <c r="O13" i="2"/>
  <c r="M23" i="2"/>
  <c r="I23" i="2"/>
  <c r="H44" i="2"/>
  <c r="D44" i="2"/>
  <c r="B23" i="2"/>
  <c r="H107" i="1" l="1"/>
  <c r="J107" i="1"/>
  <c r="O23" i="2"/>
  <c r="H127" i="1"/>
  <c r="J127" i="1"/>
  <c r="J27" i="1"/>
  <c r="H77" i="1"/>
  <c r="J77" i="1"/>
  <c r="F139" i="1"/>
  <c r="F140" i="4"/>
  <c r="G140" i="4"/>
  <c r="H140" i="4" s="1"/>
  <c r="K139" i="1"/>
  <c r="H137" i="1"/>
  <c r="D139" i="3"/>
  <c r="F137" i="3"/>
  <c r="G78" i="4"/>
  <c r="H78" i="4" s="1"/>
  <c r="H9" i="1"/>
  <c r="F117" i="1"/>
  <c r="H117" i="1" s="1"/>
  <c r="H99" i="1"/>
  <c r="F107" i="3"/>
  <c r="F138" i="4"/>
  <c r="J30" i="1"/>
  <c r="J101" i="1"/>
  <c r="J12" i="1"/>
  <c r="J55" i="1"/>
  <c r="H20" i="1"/>
  <c r="J52" i="1"/>
  <c r="J72" i="1"/>
  <c r="J74" i="1"/>
  <c r="J94" i="1"/>
  <c r="J125" i="1"/>
  <c r="F77" i="3"/>
  <c r="I97" i="1"/>
  <c r="E44" i="2"/>
  <c r="F87" i="1"/>
  <c r="G38" i="4"/>
  <c r="H38" i="4" s="1"/>
  <c r="F27" i="1"/>
  <c r="H27" i="1" s="1"/>
  <c r="G97" i="1"/>
  <c r="G139" i="1" s="1"/>
  <c r="H49" i="1"/>
  <c r="M27" i="1"/>
  <c r="F128" i="4"/>
  <c r="H120" i="1"/>
  <c r="H21" i="1"/>
  <c r="H41" i="1"/>
  <c r="H91" i="1"/>
  <c r="H54" i="1"/>
  <c r="H105" i="1"/>
  <c r="H69" i="1"/>
  <c r="J119" i="1"/>
  <c r="H60" i="1"/>
  <c r="M141" i="1"/>
  <c r="F37" i="1"/>
  <c r="J29" i="1"/>
  <c r="F141" i="1"/>
  <c r="H141" i="1" s="1"/>
  <c r="J90" i="1"/>
  <c r="G47" i="3"/>
  <c r="O31" i="2"/>
  <c r="O44" i="2" s="1"/>
  <c r="O32" i="2"/>
  <c r="J17" i="1"/>
  <c r="F47" i="1"/>
  <c r="H47" i="1" s="1"/>
  <c r="J57" i="1"/>
  <c r="J67" i="1"/>
  <c r="M17" i="1"/>
  <c r="F78" i="4"/>
  <c r="G68" i="4"/>
  <c r="H68" i="4" s="1"/>
  <c r="H119" i="1"/>
  <c r="J31" i="1"/>
  <c r="M97" i="1"/>
  <c r="J69" i="1"/>
  <c r="J63" i="1"/>
  <c r="J65" i="1"/>
  <c r="I141" i="1"/>
  <c r="I117" i="1"/>
  <c r="J137" i="1"/>
  <c r="F97" i="1"/>
  <c r="H97" i="1" s="1"/>
  <c r="H61" i="1"/>
  <c r="J82" i="1"/>
  <c r="J13" i="1"/>
  <c r="J104" i="1"/>
  <c r="J15" i="1"/>
  <c r="J135" i="1"/>
  <c r="D23" i="2"/>
  <c r="G139" i="3" l="1"/>
  <c r="F139" i="3"/>
  <c r="H139" i="1"/>
  <c r="J141" i="1"/>
  <c r="M139" i="1"/>
  <c r="J139" i="1"/>
  <c r="I139" i="1"/>
  <c r="J117" i="1"/>
  <c r="J87" i="1"/>
  <c r="H87" i="1"/>
  <c r="J47" i="1"/>
  <c r="J37" i="1"/>
  <c r="H37" i="1"/>
  <c r="J97" i="1"/>
</calcChain>
</file>

<file path=xl/sharedStrings.xml><?xml version="1.0" encoding="utf-8"?>
<sst xmlns="http://schemas.openxmlformats.org/spreadsheetml/2006/main" count="241" uniqueCount="77">
  <si>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</si>
  <si>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</si>
  <si>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</si>
  <si>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</si>
  <si>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</si>
  <si>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</si>
  <si>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</si>
  <si>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</si>
  <si>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</si>
  <si>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</si>
  <si>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</si>
  <si>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</si>
  <si>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</si>
  <si>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</si>
  <si>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</si>
  <si>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</si>
  <si>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</si>
  <si>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</si>
  <si>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</si>
  <si>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</si>
  <si>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</si>
  <si>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</si>
  <si>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</si>
  <si>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</si>
  <si>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</si>
  <si>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</si>
  <si>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</si>
  <si>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</si>
  <si>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</si>
  <si>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</si>
  <si>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</si>
  <si>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</si>
  <si>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</si>
  <si>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</si>
  <si>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</si>
  <si>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</si>
  <si>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</si>
  <si>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</si>
  <si>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</si>
  <si>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</si>
  <si>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</si>
  <si>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</si>
  <si>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</si>
  <si>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</si>
  <si>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</si>
  <si>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</si>
  <si>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</si>
  <si>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</si>
  <si>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</si>
  <si>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</si>
  <si>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</si>
  <si>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</si>
  <si>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LUMIERE PLACE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</si>
  <si>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</si>
  <si>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</si>
  <si>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</si>
  <si>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</si>
  <si>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</si>
  <si>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</si>
  <si>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</si>
  <si>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 xml:space="preserve">LUMIERE PLACE </t>
  </si>
  <si>
    <t>HYBRID TABLES</t>
  </si>
  <si>
    <t xml:space="preserve">FISCAL 2021 YTD ADMISSIONS, PATRONS AND AGR SUMMARY </t>
  </si>
  <si>
    <t>HARRAHS KC</t>
  </si>
  <si>
    <t xml:space="preserve">CENTURY- CAPE </t>
  </si>
  <si>
    <t>CENTURY-CARUTHERSVILLE</t>
  </si>
  <si>
    <t>CASINO KC</t>
  </si>
  <si>
    <t>CENTURY - CAPE</t>
  </si>
  <si>
    <t>CENTURY-CAPE</t>
  </si>
  <si>
    <t>HYBRID</t>
  </si>
  <si>
    <t>HYBRID WIN</t>
  </si>
  <si>
    <t>MONTH ENDED:  JANUARY 31, 2021</t>
  </si>
  <si>
    <t>(as reported on the tax remittal database dtd 2/9/21)</t>
  </si>
  <si>
    <t>FOR THE MONTH ENDED:   JANUARY 31, 2021</t>
  </si>
  <si>
    <t>THRU MONTH ENDED:   JANUARY 31, 2021</t>
  </si>
  <si>
    <t>(as reported on the tax remittal database as of 2/9/21)</t>
  </si>
  <si>
    <t>THRU MONTH ENDED:     JANUARY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</si>
</sst>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89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13"/>
  <sheetViews>
    <sheetView tabSelected="1" showOutlineSymbols="0" view="pageBreakPreview" topLeftCell="A110" zoomScale="6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62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71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72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DATE(2020,7,1)</f>
        <v>44013</v>
      </c>
      <c r="C9" s="21">
        <v>188333</v>
      </c>
      <c r="D9" s="22">
        <v>273819</v>
      </c>
      <c r="E9" s="23">
        <f t="shared" ref="E9:E15" si="0">(+C9-D9)/D9</f>
        <v>-0.31219893433253354</v>
      </c>
      <c r="F9" s="21">
        <f>+C9-87391</f>
        <v>100942</v>
      </c>
      <c r="G9" s="21">
        <f>+D9-121652</f>
        <v>152167</v>
      </c>
      <c r="H9" s="23">
        <f t="shared" ref="H9:H15" si="1">(+F9-G9)/G9</f>
        <v>-0.33663672149677659</v>
      </c>
      <c r="I9" s="24">
        <f t="shared" ref="I9:I15" si="2">K9/C9</f>
        <v>72.293304359830728</v>
      </c>
      <c r="J9" s="24">
        <f t="shared" ref="J9:J15" si="3">K9/F9</f>
        <v>134.88156456182759</v>
      </c>
      <c r="K9" s="21">
        <v>13615214.890000001</v>
      </c>
      <c r="L9" s="21">
        <v>14592883.67</v>
      </c>
      <c r="M9" s="25">
        <f t="shared" ref="M9:M15" si="4">(+K9-L9)/L9</f>
        <v>-6.6996270381424847E-2</v>
      </c>
      <c r="N9" s="10"/>
      <c r="R9" s="2"/>
    </row>
    <row r="10" spans="1:18" ht="15.75" x14ac:dyDescent="0.25">
      <c r="A10" s="19"/>
      <c r="B10" s="20">
        <f>DATE(2020,8,1)</f>
        <v>44044</v>
      </c>
      <c r="C10" s="21">
        <v>193126</v>
      </c>
      <c r="D10" s="22">
        <v>276880</v>
      </c>
      <c r="E10" s="23">
        <f t="shared" si="0"/>
        <v>-0.30249205431956083</v>
      </c>
      <c r="F10" s="21">
        <f>+C10-88951</f>
        <v>104175</v>
      </c>
      <c r="G10" s="21">
        <f>+D10-123357</f>
        <v>153523</v>
      </c>
      <c r="H10" s="23">
        <f t="shared" si="1"/>
        <v>-0.32143717879405692</v>
      </c>
      <c r="I10" s="24">
        <f t="shared" si="2"/>
        <v>65.366431966695316</v>
      </c>
      <c r="J10" s="24">
        <f t="shared" si="3"/>
        <v>121.18029796016317</v>
      </c>
      <c r="K10" s="21">
        <v>12623957.539999999</v>
      </c>
      <c r="L10" s="21">
        <v>14502049.98</v>
      </c>
      <c r="M10" s="25">
        <f t="shared" si="4"/>
        <v>-0.12950530735931179</v>
      </c>
      <c r="N10" s="10"/>
      <c r="R10" s="2"/>
    </row>
    <row r="11" spans="1:18" ht="15.75" x14ac:dyDescent="0.25">
      <c r="A11" s="19"/>
      <c r="B11" s="20">
        <f>DATE(2020,9,1)</f>
        <v>44075</v>
      </c>
      <c r="C11" s="21">
        <v>196754</v>
      </c>
      <c r="D11" s="22">
        <v>254028</v>
      </c>
      <c r="E11" s="23">
        <f t="shared" si="0"/>
        <v>-0.22546333475049996</v>
      </c>
      <c r="F11" s="21">
        <f>+C11-92272</f>
        <v>104482</v>
      </c>
      <c r="G11" s="21">
        <f>+D11-112781</f>
        <v>141247</v>
      </c>
      <c r="H11" s="23">
        <f t="shared" si="1"/>
        <v>-0.26028871409658261</v>
      </c>
      <c r="I11" s="24">
        <f t="shared" si="2"/>
        <v>63.171506500503163</v>
      </c>
      <c r="J11" s="24">
        <f t="shared" si="3"/>
        <v>118.96064958557454</v>
      </c>
      <c r="K11" s="21">
        <v>12429246.59</v>
      </c>
      <c r="L11" s="21">
        <v>12773890.380000001</v>
      </c>
      <c r="M11" s="25">
        <f t="shared" si="4"/>
        <v>-2.6980330952237352E-2</v>
      </c>
      <c r="N11" s="10"/>
      <c r="R11" s="2"/>
    </row>
    <row r="12" spans="1:18" ht="15.75" x14ac:dyDescent="0.25">
      <c r="A12" s="19"/>
      <c r="B12" s="20">
        <f>DATE(2020,10,1)</f>
        <v>44105</v>
      </c>
      <c r="C12" s="21">
        <v>203827</v>
      </c>
      <c r="D12" s="22">
        <v>250952</v>
      </c>
      <c r="E12" s="23">
        <f t="shared" si="0"/>
        <v>-0.1877849150435143</v>
      </c>
      <c r="F12" s="21">
        <f>+C12-94349</f>
        <v>109478</v>
      </c>
      <c r="G12" s="21">
        <f>+D12-113545</f>
        <v>137407</v>
      </c>
      <c r="H12" s="23">
        <f t="shared" si="1"/>
        <v>-0.20325747596556215</v>
      </c>
      <c r="I12" s="24">
        <f t="shared" si="2"/>
        <v>63.424137332149328</v>
      </c>
      <c r="J12" s="24">
        <f t="shared" si="3"/>
        <v>118.08355687900766</v>
      </c>
      <c r="K12" s="21">
        <v>12927551.640000001</v>
      </c>
      <c r="L12" s="21">
        <v>13374556.41</v>
      </c>
      <c r="M12" s="25">
        <f t="shared" si="4"/>
        <v>-3.3422025844967784E-2</v>
      </c>
      <c r="N12" s="10"/>
      <c r="R12" s="2"/>
    </row>
    <row r="13" spans="1:18" ht="15.75" x14ac:dyDescent="0.25">
      <c r="A13" s="19"/>
      <c r="B13" s="20">
        <f>DATE(2020,11,1)</f>
        <v>44136</v>
      </c>
      <c r="C13" s="21">
        <v>189148</v>
      </c>
      <c r="D13" s="22">
        <v>272418</v>
      </c>
      <c r="E13" s="23">
        <f t="shared" si="0"/>
        <v>-0.30566996307145639</v>
      </c>
      <c r="F13" s="21">
        <f>+C13-86903</f>
        <v>102245</v>
      </c>
      <c r="G13" s="21">
        <f>+D13-124199</f>
        <v>148219</v>
      </c>
      <c r="H13" s="23">
        <f t="shared" si="1"/>
        <v>-0.31017615825231581</v>
      </c>
      <c r="I13" s="24">
        <f t="shared" si="2"/>
        <v>59.62246928331254</v>
      </c>
      <c r="J13" s="24">
        <f t="shared" si="3"/>
        <v>110.29850672404518</v>
      </c>
      <c r="K13" s="21">
        <v>11277470.82</v>
      </c>
      <c r="L13" s="21">
        <v>13968055.51</v>
      </c>
      <c r="M13" s="25">
        <f t="shared" si="4"/>
        <v>-0.1926241407097615</v>
      </c>
      <c r="N13" s="10"/>
      <c r="R13" s="2"/>
    </row>
    <row r="14" spans="1:18" ht="15.75" x14ac:dyDescent="0.25">
      <c r="A14" s="19"/>
      <c r="B14" s="20">
        <f>DATE(2020,12,1)</f>
        <v>44166</v>
      </c>
      <c r="C14" s="21">
        <v>196076</v>
      </c>
      <c r="D14" s="22">
        <v>282345</v>
      </c>
      <c r="E14" s="23">
        <f t="shared" si="0"/>
        <v>-0.30554463510952912</v>
      </c>
      <c r="F14" s="21">
        <f>+C14-87128</f>
        <v>108948</v>
      </c>
      <c r="G14" s="21">
        <f>+D14-128827</f>
        <v>153518</v>
      </c>
      <c r="H14" s="23">
        <f t="shared" si="1"/>
        <v>-0.29032426165009967</v>
      </c>
      <c r="I14" s="24">
        <f t="shared" si="2"/>
        <v>63.799970980640154</v>
      </c>
      <c r="J14" s="24">
        <f t="shared" si="3"/>
        <v>114.82214551896317</v>
      </c>
      <c r="K14" s="21">
        <v>12509643.109999999</v>
      </c>
      <c r="L14" s="21">
        <v>14646594.890000001</v>
      </c>
      <c r="M14" s="25">
        <f t="shared" si="4"/>
        <v>-0.14590092755682144</v>
      </c>
      <c r="N14" s="10"/>
      <c r="R14" s="2"/>
    </row>
    <row r="15" spans="1:18" ht="15.75" x14ac:dyDescent="0.25">
      <c r="A15" s="19"/>
      <c r="B15" s="20">
        <f>DATE(2021,1,1)</f>
        <v>44197</v>
      </c>
      <c r="C15" s="21">
        <v>210729</v>
      </c>
      <c r="D15" s="22">
        <v>244941</v>
      </c>
      <c r="E15" s="23">
        <f t="shared" si="0"/>
        <v>-0.1396744522150232</v>
      </c>
      <c r="F15" s="21">
        <f>+C15-99046</f>
        <v>111683</v>
      </c>
      <c r="G15" s="21">
        <f>+D15-113581</f>
        <v>131360</v>
      </c>
      <c r="H15" s="23">
        <f t="shared" si="1"/>
        <v>-0.14979445797807553</v>
      </c>
      <c r="I15" s="24">
        <f t="shared" si="2"/>
        <v>60.759667345263345</v>
      </c>
      <c r="J15" s="24">
        <f t="shared" si="3"/>
        <v>114.64434103668418</v>
      </c>
      <c r="K15" s="21">
        <v>12803823.939999999</v>
      </c>
      <c r="L15" s="21">
        <v>12529639.529999999</v>
      </c>
      <c r="M15" s="25">
        <f t="shared" si="4"/>
        <v>2.1882864973370879E-2</v>
      </c>
      <c r="N15" s="10"/>
      <c r="R15" s="2"/>
    </row>
    <row r="16" spans="1:18" ht="15.75" customHeight="1" thickBot="1" x14ac:dyDescent="0.3">
      <c r="A16" s="19"/>
      <c r="B16" s="20"/>
      <c r="C16" s="21"/>
      <c r="D16" s="21"/>
      <c r="E16" s="23"/>
      <c r="F16" s="21"/>
      <c r="G16" s="21"/>
      <c r="H16" s="23"/>
      <c r="I16" s="24"/>
      <c r="J16" s="24"/>
      <c r="K16" s="21"/>
      <c r="L16" s="21"/>
      <c r="M16" s="25"/>
      <c r="N16" s="10"/>
      <c r="R16" s="2"/>
    </row>
    <row r="17" spans="1:18" ht="17.25" thickTop="1" thickBot="1" x14ac:dyDescent="0.3">
      <c r="A17" s="26" t="s">
        <v>14</v>
      </c>
      <c r="B17" s="27"/>
      <c r="C17" s="28">
        <f>SUM(C9:C16)</f>
        <v>1377993</v>
      </c>
      <c r="D17" s="28">
        <f>SUM(D9:D16)</f>
        <v>1855383</v>
      </c>
      <c r="E17" s="279">
        <f>(+C17-D17)/D17</f>
        <v>-0.25729997526117249</v>
      </c>
      <c r="F17" s="28">
        <f>SUM(F9:F16)</f>
        <v>741953</v>
      </c>
      <c r="G17" s="28">
        <f>SUM(G9:G16)</f>
        <v>1017441</v>
      </c>
      <c r="H17" s="30">
        <f>(+F17-G17)/G17</f>
        <v>-0.27076557756174557</v>
      </c>
      <c r="I17" s="31">
        <f>K17/C17</f>
        <v>63.996630265901203</v>
      </c>
      <c r="J17" s="31">
        <f>K17/F17</f>
        <v>118.85780976692594</v>
      </c>
      <c r="K17" s="28">
        <f>SUM(K9:K16)</f>
        <v>88186908.530000001</v>
      </c>
      <c r="L17" s="28">
        <f>SUM(L9:L16)</f>
        <v>96387670.370000005</v>
      </c>
      <c r="M17" s="32">
        <f>(+K17-L17)/L17</f>
        <v>-8.5081025493406195E-2</v>
      </c>
      <c r="N17" s="10"/>
      <c r="R17" s="2"/>
    </row>
    <row r="18" spans="1:18" ht="15.75" customHeight="1" thickTop="1" x14ac:dyDescent="0.25">
      <c r="A18" s="15"/>
      <c r="B18" s="16"/>
      <c r="C18" s="16"/>
      <c r="D18" s="16"/>
      <c r="E18" s="17"/>
      <c r="F18" s="16"/>
      <c r="G18" s="16"/>
      <c r="H18" s="17"/>
      <c r="I18" s="16"/>
      <c r="J18" s="16"/>
      <c r="K18" s="195"/>
      <c r="L18" s="195"/>
      <c r="M18" s="18"/>
      <c r="N18" s="10"/>
      <c r="R18" s="2"/>
    </row>
    <row r="19" spans="1:18" ht="15.75" x14ac:dyDescent="0.25">
      <c r="A19" s="19" t="s">
        <v>15</v>
      </c>
      <c r="B19" s="20">
        <f>DATE(2020,7,1)</f>
        <v>44013</v>
      </c>
      <c r="C19" s="21">
        <v>79471</v>
      </c>
      <c r="D19" s="21">
        <v>128877</v>
      </c>
      <c r="E19" s="23">
        <f t="shared" ref="E19:E25" si="5">(+C19-D19)/D19</f>
        <v>-0.38335777524306119</v>
      </c>
      <c r="F19" s="21">
        <f>+C19-38596</f>
        <v>40875</v>
      </c>
      <c r="G19" s="21">
        <f>+D19-61988</f>
        <v>66889</v>
      </c>
      <c r="H19" s="23">
        <f t="shared" ref="H19:H25" si="6">(+F19-G19)/G19</f>
        <v>-0.38891297522761592</v>
      </c>
      <c r="I19" s="24">
        <f t="shared" ref="I19:I25" si="7">K19/C19</f>
        <v>70.633539655975142</v>
      </c>
      <c r="J19" s="24">
        <f t="shared" ref="J19:J25" si="8">K19/F19</f>
        <v>137.32888146788991</v>
      </c>
      <c r="K19" s="21">
        <v>5613318.0300000003</v>
      </c>
      <c r="L19" s="21">
        <v>6965970.8300000001</v>
      </c>
      <c r="M19" s="25">
        <f t="shared" ref="M19:M25" si="9">(+K19-L19)/L19</f>
        <v>-0.19418008386922858</v>
      </c>
      <c r="N19" s="10"/>
      <c r="R19" s="2"/>
    </row>
    <row r="20" spans="1:18" ht="15.75" x14ac:dyDescent="0.25">
      <c r="A20" s="19"/>
      <c r="B20" s="20">
        <f>DATE(2020,8,1)</f>
        <v>44044</v>
      </c>
      <c r="C20" s="21">
        <v>88234</v>
      </c>
      <c r="D20" s="21">
        <v>130133</v>
      </c>
      <c r="E20" s="23">
        <f t="shared" si="5"/>
        <v>-0.32197059930993677</v>
      </c>
      <c r="F20" s="21">
        <f>+C20-41802</f>
        <v>46432</v>
      </c>
      <c r="G20" s="21">
        <f>+D20-62200</f>
        <v>67933</v>
      </c>
      <c r="H20" s="23">
        <f t="shared" si="6"/>
        <v>-0.31650302503937705</v>
      </c>
      <c r="I20" s="24">
        <f t="shared" si="7"/>
        <v>67.939255049074063</v>
      </c>
      <c r="J20" s="24">
        <f t="shared" si="8"/>
        <v>129.10389881977946</v>
      </c>
      <c r="K20" s="21">
        <v>5994552.2300000004</v>
      </c>
      <c r="L20" s="21">
        <v>6966409.8499999996</v>
      </c>
      <c r="M20" s="25">
        <f t="shared" si="9"/>
        <v>-0.13950623648707652</v>
      </c>
      <c r="N20" s="10"/>
      <c r="R20" s="2"/>
    </row>
    <row r="21" spans="1:18" ht="15.75" x14ac:dyDescent="0.25">
      <c r="A21" s="19"/>
      <c r="B21" s="20">
        <f>DATE(2020,9,1)</f>
        <v>44075</v>
      </c>
      <c r="C21" s="21">
        <v>90948</v>
      </c>
      <c r="D21" s="21">
        <v>118251</v>
      </c>
      <c r="E21" s="23">
        <f t="shared" si="5"/>
        <v>-0.23089022502980946</v>
      </c>
      <c r="F21" s="21">
        <f>+C21-42310</f>
        <v>48638</v>
      </c>
      <c r="G21" s="21">
        <f>+D21-55723</f>
        <v>62528</v>
      </c>
      <c r="H21" s="23">
        <f t="shared" si="6"/>
        <v>-0.22214048106448311</v>
      </c>
      <c r="I21" s="24">
        <f t="shared" si="7"/>
        <v>64.968384791309319</v>
      </c>
      <c r="J21" s="24">
        <f t="shared" si="8"/>
        <v>121.48412064640816</v>
      </c>
      <c r="K21" s="21">
        <v>5908744.6600000001</v>
      </c>
      <c r="L21" s="21">
        <v>6414760.5999999996</v>
      </c>
      <c r="M21" s="25">
        <f t="shared" si="9"/>
        <v>-7.8883059174491954E-2</v>
      </c>
      <c r="N21" s="10"/>
      <c r="R21" s="2"/>
    </row>
    <row r="22" spans="1:18" ht="15.75" x14ac:dyDescent="0.25">
      <c r="A22" s="19"/>
      <c r="B22" s="20">
        <f>DATE(2020,10,1)</f>
        <v>44105</v>
      </c>
      <c r="C22" s="21">
        <v>87099</v>
      </c>
      <c r="D22" s="21">
        <v>113052</v>
      </c>
      <c r="E22" s="23">
        <f t="shared" si="5"/>
        <v>-0.22956692495488801</v>
      </c>
      <c r="F22" s="21">
        <f>+C22-41806</f>
        <v>45293</v>
      </c>
      <c r="G22" s="21">
        <f>+D22-54189</f>
        <v>58863</v>
      </c>
      <c r="H22" s="23">
        <f t="shared" si="6"/>
        <v>-0.23053531080644887</v>
      </c>
      <c r="I22" s="24">
        <f t="shared" si="7"/>
        <v>65.65413942754796</v>
      </c>
      <c r="J22" s="24">
        <f t="shared" si="8"/>
        <v>126.25372331265316</v>
      </c>
      <c r="K22" s="21">
        <v>5718409.8899999997</v>
      </c>
      <c r="L22" s="21">
        <v>6049114.7400000002</v>
      </c>
      <c r="M22" s="25">
        <f t="shared" si="9"/>
        <v>-5.4669958202842844E-2</v>
      </c>
      <c r="N22" s="10"/>
      <c r="R22" s="2"/>
    </row>
    <row r="23" spans="1:18" ht="15.75" x14ac:dyDescent="0.25">
      <c r="A23" s="19"/>
      <c r="B23" s="20">
        <f>DATE(2020,11,1)</f>
        <v>44136</v>
      </c>
      <c r="C23" s="21">
        <v>77783</v>
      </c>
      <c r="D23" s="21">
        <v>116655</v>
      </c>
      <c r="E23" s="23">
        <f t="shared" si="5"/>
        <v>-0.3332218936179332</v>
      </c>
      <c r="F23" s="21">
        <f>+C23-37695</f>
        <v>40088</v>
      </c>
      <c r="G23" s="21">
        <f>+D23-56252</f>
        <v>60403</v>
      </c>
      <c r="H23" s="23">
        <f t="shared" si="6"/>
        <v>-0.33632435475059186</v>
      </c>
      <c r="I23" s="24">
        <f t="shared" si="7"/>
        <v>68.774152064075693</v>
      </c>
      <c r="J23" s="24">
        <f t="shared" si="8"/>
        <v>133.44292232089404</v>
      </c>
      <c r="K23" s="21">
        <v>5349459.87</v>
      </c>
      <c r="L23" s="21">
        <v>6363767.6699999999</v>
      </c>
      <c r="M23" s="25">
        <f t="shared" si="9"/>
        <v>-0.15938793692636485</v>
      </c>
      <c r="N23" s="10"/>
      <c r="R23" s="2"/>
    </row>
    <row r="24" spans="1:18" ht="15.75" x14ac:dyDescent="0.25">
      <c r="A24" s="19"/>
      <c r="B24" s="20">
        <f>DATE(2020,12,1)</f>
        <v>44166</v>
      </c>
      <c r="C24" s="21">
        <v>82439</v>
      </c>
      <c r="D24" s="21">
        <v>115489</v>
      </c>
      <c r="E24" s="23">
        <f t="shared" si="5"/>
        <v>-0.2861744408558391</v>
      </c>
      <c r="F24" s="21">
        <f>+C24-39977</f>
        <v>42462</v>
      </c>
      <c r="G24" s="21">
        <f>+D24-56066</f>
        <v>59423</v>
      </c>
      <c r="H24" s="23">
        <f t="shared" si="6"/>
        <v>-0.28542820120155493</v>
      </c>
      <c r="I24" s="24">
        <f t="shared" si="7"/>
        <v>69.924131660985708</v>
      </c>
      <c r="J24" s="24">
        <f t="shared" si="8"/>
        <v>135.7560993358768</v>
      </c>
      <c r="K24" s="21">
        <v>5764475.4900000002</v>
      </c>
      <c r="L24" s="21">
        <v>6275301.9900000002</v>
      </c>
      <c r="M24" s="25">
        <f t="shared" si="9"/>
        <v>-8.140269596810272E-2</v>
      </c>
      <c r="N24" s="10"/>
      <c r="R24" s="2"/>
    </row>
    <row r="25" spans="1:18" ht="15.75" x14ac:dyDescent="0.25">
      <c r="A25" s="19"/>
      <c r="B25" s="20">
        <f>DATE(2021,1,1)</f>
        <v>44197</v>
      </c>
      <c r="C25" s="21">
        <v>104157</v>
      </c>
      <c r="D25" s="21">
        <v>104167</v>
      </c>
      <c r="E25" s="23">
        <f t="shared" si="5"/>
        <v>-9.5999692800983032E-5</v>
      </c>
      <c r="F25" s="21">
        <f>+C25-51234</f>
        <v>52923</v>
      </c>
      <c r="G25" s="21">
        <f>+D25-50647</f>
        <v>53520</v>
      </c>
      <c r="H25" s="23">
        <f t="shared" si="6"/>
        <v>-1.1154708520179373E-2</v>
      </c>
      <c r="I25" s="24">
        <f t="shared" si="7"/>
        <v>68.087587008074351</v>
      </c>
      <c r="J25" s="24">
        <f t="shared" si="8"/>
        <v>134.00220697995201</v>
      </c>
      <c r="K25" s="21">
        <v>7091798.7999999998</v>
      </c>
      <c r="L25" s="21">
        <v>5634558.9000000004</v>
      </c>
      <c r="M25" s="25">
        <f t="shared" si="9"/>
        <v>0.25862537349640613</v>
      </c>
      <c r="N25" s="10"/>
      <c r="R25" s="2"/>
    </row>
    <row r="26" spans="1:18" ht="15.75" customHeight="1" thickBot="1" x14ac:dyDescent="0.3">
      <c r="A26" s="19"/>
      <c r="B26" s="20"/>
      <c r="C26" s="21"/>
      <c r="D26" s="21"/>
      <c r="E26" s="23"/>
      <c r="F26" s="21"/>
      <c r="G26" s="21"/>
      <c r="H26" s="23"/>
      <c r="I26" s="24"/>
      <c r="J26" s="24"/>
      <c r="K26" s="21"/>
      <c r="L26" s="21"/>
      <c r="M26" s="25"/>
      <c r="N26" s="10"/>
      <c r="R26" s="2"/>
    </row>
    <row r="27" spans="1:18" ht="17.25" customHeight="1" thickTop="1" thickBot="1" x14ac:dyDescent="0.3">
      <c r="A27" s="26" t="s">
        <v>14</v>
      </c>
      <c r="B27" s="27"/>
      <c r="C27" s="28">
        <f>SUM(C19:C26)</f>
        <v>610131</v>
      </c>
      <c r="D27" s="28">
        <f>SUM(D19:D26)</f>
        <v>826624</v>
      </c>
      <c r="E27" s="279">
        <f>(+C27-D27)/D27</f>
        <v>-0.26190021097863114</v>
      </c>
      <c r="F27" s="28">
        <f>SUM(F19:F26)</f>
        <v>316711</v>
      </c>
      <c r="G27" s="28">
        <f>SUM(G19:G26)</f>
        <v>429559</v>
      </c>
      <c r="H27" s="30">
        <f>(+F27-G27)/G27</f>
        <v>-0.26270663634099156</v>
      </c>
      <c r="I27" s="31">
        <f>K27/C27</f>
        <v>67.921084111444912</v>
      </c>
      <c r="J27" s="31">
        <f>K27/F27</f>
        <v>130.84723602906118</v>
      </c>
      <c r="K27" s="28">
        <f>SUM(K19:K26)</f>
        <v>41440758.969999999</v>
      </c>
      <c r="L27" s="28">
        <f>SUM(L19:L26)</f>
        <v>44669884.580000006</v>
      </c>
      <c r="M27" s="32">
        <f>(+K27-L27)/L27</f>
        <v>-7.2288649061022628E-2</v>
      </c>
      <c r="N27" s="10"/>
      <c r="R27" s="2"/>
    </row>
    <row r="28" spans="1:18" ht="15.75" customHeight="1" thickTop="1" x14ac:dyDescent="0.25">
      <c r="A28" s="33"/>
      <c r="B28" s="34"/>
      <c r="C28" s="35"/>
      <c r="D28" s="35"/>
      <c r="E28" s="29"/>
      <c r="F28" s="35"/>
      <c r="G28" s="35"/>
      <c r="H28" s="29"/>
      <c r="I28" s="36"/>
      <c r="J28" s="36"/>
      <c r="K28" s="35"/>
      <c r="L28" s="35"/>
      <c r="M28" s="37"/>
      <c r="N28" s="10"/>
      <c r="R28" s="2"/>
    </row>
    <row r="29" spans="1:18" ht="15.75" customHeight="1" x14ac:dyDescent="0.25">
      <c r="A29" s="19" t="s">
        <v>65</v>
      </c>
      <c r="B29" s="20">
        <f>DATE(2020,7,1)</f>
        <v>44013</v>
      </c>
      <c r="C29" s="21">
        <v>53105</v>
      </c>
      <c r="D29" s="21">
        <v>66822</v>
      </c>
      <c r="E29" s="23">
        <f t="shared" ref="E29:E35" si="10">(+C29-D29)/D29</f>
        <v>-0.20527670527670527</v>
      </c>
      <c r="F29" s="21">
        <f>+C29-28880</f>
        <v>24225</v>
      </c>
      <c r="G29" s="21">
        <f>+D29-35692</f>
        <v>31130</v>
      </c>
      <c r="H29" s="23">
        <f t="shared" ref="H29:H35" si="11">(+F29-G29)/G29</f>
        <v>-0.22181175714744619</v>
      </c>
      <c r="I29" s="24">
        <f t="shared" ref="I29:I35" si="12">K29/C29</f>
        <v>65.300001883061867</v>
      </c>
      <c r="J29" s="24">
        <f t="shared" ref="J29:J35" si="13">K29/F29</f>
        <v>143.14784726522188</v>
      </c>
      <c r="K29" s="21">
        <v>3467756.6</v>
      </c>
      <c r="L29" s="21">
        <v>3260452.77</v>
      </c>
      <c r="M29" s="25">
        <f t="shared" ref="M29:M35" si="14">(+K29-L29)/L29</f>
        <v>6.3581301317240088E-2</v>
      </c>
      <c r="N29" s="10"/>
      <c r="R29" s="2"/>
    </row>
    <row r="30" spans="1:18" ht="15.75" customHeight="1" x14ac:dyDescent="0.25">
      <c r="A30" s="19"/>
      <c r="B30" s="20">
        <f>DATE(2020,8,1)</f>
        <v>44044</v>
      </c>
      <c r="C30" s="21">
        <v>52610</v>
      </c>
      <c r="D30" s="21">
        <v>69025</v>
      </c>
      <c r="E30" s="23">
        <f t="shared" si="10"/>
        <v>-0.23781238681637087</v>
      </c>
      <c r="F30" s="21">
        <f>+C30-28661</f>
        <v>23949</v>
      </c>
      <c r="G30" s="21">
        <f>+D30-37871</f>
        <v>31154</v>
      </c>
      <c r="H30" s="23">
        <f t="shared" si="11"/>
        <v>-0.2312704628619118</v>
      </c>
      <c r="I30" s="24">
        <f t="shared" si="12"/>
        <v>62.65578787302794</v>
      </c>
      <c r="J30" s="24">
        <f t="shared" si="13"/>
        <v>137.6391916155163</v>
      </c>
      <c r="K30" s="21">
        <v>3296321</v>
      </c>
      <c r="L30" s="21">
        <v>3222586.84</v>
      </c>
      <c r="M30" s="25">
        <f t="shared" si="14"/>
        <v>2.2880426086516307E-2</v>
      </c>
      <c r="N30" s="10"/>
      <c r="R30" s="2"/>
    </row>
    <row r="31" spans="1:18" ht="15.75" customHeight="1" x14ac:dyDescent="0.25">
      <c r="A31" s="19"/>
      <c r="B31" s="20">
        <f>DATE(2020,9,1)</f>
        <v>44075</v>
      </c>
      <c r="C31" s="21">
        <v>50852</v>
      </c>
      <c r="D31" s="21">
        <v>65573</v>
      </c>
      <c r="E31" s="23">
        <f t="shared" si="10"/>
        <v>-0.22449788785018224</v>
      </c>
      <c r="F31" s="21">
        <f>+C31-27986</f>
        <v>22866</v>
      </c>
      <c r="G31" s="21">
        <f>+D31-35939</f>
        <v>29634</v>
      </c>
      <c r="H31" s="23">
        <f t="shared" si="11"/>
        <v>-0.22838631301882972</v>
      </c>
      <c r="I31" s="24">
        <f t="shared" si="12"/>
        <v>60.968254542594195</v>
      </c>
      <c r="J31" s="24">
        <f t="shared" si="13"/>
        <v>135.58810810810812</v>
      </c>
      <c r="K31" s="21">
        <v>3100357.68</v>
      </c>
      <c r="L31" s="21">
        <v>3112007.99</v>
      </c>
      <c r="M31" s="25">
        <f t="shared" si="14"/>
        <v>-3.743663267394135E-3</v>
      </c>
      <c r="N31" s="10"/>
      <c r="R31" s="2"/>
    </row>
    <row r="32" spans="1:18" ht="15.75" customHeight="1" x14ac:dyDescent="0.25">
      <c r="A32" s="19"/>
      <c r="B32" s="20">
        <f>DATE(2020,10,1)</f>
        <v>44105</v>
      </c>
      <c r="C32" s="21">
        <v>51638</v>
      </c>
      <c r="D32" s="21">
        <v>63001</v>
      </c>
      <c r="E32" s="23">
        <f t="shared" si="10"/>
        <v>-0.18036221647275441</v>
      </c>
      <c r="F32" s="21">
        <f>+C32-28439</f>
        <v>23199</v>
      </c>
      <c r="G32" s="21">
        <f>+D32-34530</f>
        <v>28471</v>
      </c>
      <c r="H32" s="23">
        <f t="shared" si="11"/>
        <v>-0.18517087562783183</v>
      </c>
      <c r="I32" s="24">
        <f t="shared" si="12"/>
        <v>65.424530965567996</v>
      </c>
      <c r="J32" s="24">
        <f t="shared" si="13"/>
        <v>145.62661881977672</v>
      </c>
      <c r="K32" s="21">
        <v>3378391.93</v>
      </c>
      <c r="L32" s="21">
        <v>3125609.18</v>
      </c>
      <c r="M32" s="25">
        <f t="shared" si="14"/>
        <v>8.0874714477259108E-2</v>
      </c>
      <c r="N32" s="10"/>
      <c r="R32" s="2"/>
    </row>
    <row r="33" spans="1:18" ht="15.75" customHeight="1" x14ac:dyDescent="0.25">
      <c r="A33" s="19"/>
      <c r="B33" s="20">
        <f>DATE(2020,11,1)</f>
        <v>44136</v>
      </c>
      <c r="C33" s="21">
        <v>45747</v>
      </c>
      <c r="D33" s="21">
        <v>64340</v>
      </c>
      <c r="E33" s="23">
        <f t="shared" si="10"/>
        <v>-0.2889804165371464</v>
      </c>
      <c r="F33" s="21">
        <f>+C33-25343</f>
        <v>20404</v>
      </c>
      <c r="G33" s="21">
        <f>+D33-35256</f>
        <v>29084</v>
      </c>
      <c r="H33" s="23">
        <f t="shared" si="11"/>
        <v>-0.29844588089671298</v>
      </c>
      <c r="I33" s="24">
        <f t="shared" si="12"/>
        <v>66.627814282903799</v>
      </c>
      <c r="J33" s="24">
        <f t="shared" si="13"/>
        <v>149.38358263085669</v>
      </c>
      <c r="K33" s="21">
        <v>3048022.62</v>
      </c>
      <c r="L33" s="21">
        <v>3209514.95</v>
      </c>
      <c r="M33" s="25">
        <f t="shared" si="14"/>
        <v>-5.0316740228924642E-2</v>
      </c>
      <c r="N33" s="10"/>
      <c r="R33" s="2"/>
    </row>
    <row r="34" spans="1:18" ht="15.75" customHeight="1" x14ac:dyDescent="0.25">
      <c r="A34" s="19"/>
      <c r="B34" s="20">
        <f>DATE(2020,12,1)</f>
        <v>44166</v>
      </c>
      <c r="C34" s="21">
        <v>50018</v>
      </c>
      <c r="D34" s="21">
        <v>68470</v>
      </c>
      <c r="E34" s="23">
        <f t="shared" si="10"/>
        <v>-0.26949028771724842</v>
      </c>
      <c r="F34" s="21">
        <f>+C34-28141</f>
        <v>21877</v>
      </c>
      <c r="G34" s="21">
        <f>+D34-38903</f>
        <v>29567</v>
      </c>
      <c r="H34" s="23">
        <f t="shared" si="11"/>
        <v>-0.26008725944465111</v>
      </c>
      <c r="I34" s="24">
        <f t="shared" si="12"/>
        <v>67.199841057219402</v>
      </c>
      <c r="J34" s="24">
        <f t="shared" si="13"/>
        <v>153.640885404763</v>
      </c>
      <c r="K34" s="21">
        <v>3361201.65</v>
      </c>
      <c r="L34" s="21">
        <v>3422072.19</v>
      </c>
      <c r="M34" s="25">
        <f t="shared" si="14"/>
        <v>-1.778762592381198E-2</v>
      </c>
      <c r="N34" s="10"/>
      <c r="R34" s="2"/>
    </row>
    <row r="35" spans="1:18" ht="15.75" customHeight="1" x14ac:dyDescent="0.25">
      <c r="A35" s="19"/>
      <c r="B35" s="20">
        <f>DATE(2021,1,1)</f>
        <v>44197</v>
      </c>
      <c r="C35" s="21">
        <v>63252</v>
      </c>
      <c r="D35" s="21">
        <v>64187</v>
      </c>
      <c r="E35" s="23">
        <f t="shared" si="10"/>
        <v>-1.456681259445059E-2</v>
      </c>
      <c r="F35" s="21">
        <f>+C35-35483</f>
        <v>27769</v>
      </c>
      <c r="G35" s="21">
        <f>+D35-35543</f>
        <v>28644</v>
      </c>
      <c r="H35" s="23">
        <f t="shared" si="11"/>
        <v>-3.0547409579667645E-2</v>
      </c>
      <c r="I35" s="24">
        <f t="shared" si="12"/>
        <v>64.665544014418515</v>
      </c>
      <c r="J35" s="24">
        <f t="shared" si="13"/>
        <v>147.29464474774031</v>
      </c>
      <c r="K35" s="21">
        <v>4090224.99</v>
      </c>
      <c r="L35" s="21">
        <v>3230178.48</v>
      </c>
      <c r="M35" s="25">
        <f t="shared" si="14"/>
        <v>0.26625355698611436</v>
      </c>
      <c r="N35" s="10"/>
      <c r="R35" s="2"/>
    </row>
    <row r="36" spans="1:18" ht="15.75" customHeight="1" thickBot="1" x14ac:dyDescent="0.25">
      <c r="A36" s="38"/>
      <c r="B36" s="20"/>
      <c r="C36" s="21"/>
      <c r="D36" s="21"/>
      <c r="E36" s="23"/>
      <c r="F36" s="21"/>
      <c r="G36" s="21"/>
      <c r="H36" s="23"/>
      <c r="I36" s="24"/>
      <c r="J36" s="24"/>
      <c r="K36" s="21"/>
      <c r="L36" s="21"/>
      <c r="M36" s="25"/>
      <c r="N36" s="10"/>
      <c r="R36" s="2"/>
    </row>
    <row r="37" spans="1:18" ht="17.25" customHeight="1" thickTop="1" thickBot="1" x14ac:dyDescent="0.3">
      <c r="A37" s="39" t="s">
        <v>14</v>
      </c>
      <c r="B37" s="40"/>
      <c r="C37" s="41">
        <f>SUM(C29:C36)</f>
        <v>367222</v>
      </c>
      <c r="D37" s="41">
        <f>SUM(D29:D36)</f>
        <v>461418</v>
      </c>
      <c r="E37" s="280">
        <f>(+C37-D37)/D37</f>
        <v>-0.20414461507786866</v>
      </c>
      <c r="F37" s="41">
        <f>SUM(F29:F36)</f>
        <v>164289</v>
      </c>
      <c r="G37" s="41">
        <f>SUM(G29:G36)</f>
        <v>207684</v>
      </c>
      <c r="H37" s="42">
        <f>(+F37-G37)/G37</f>
        <v>-0.20894724677876003</v>
      </c>
      <c r="I37" s="43">
        <f>K37/C37</f>
        <v>64.653742068830297</v>
      </c>
      <c r="J37" s="43">
        <f>K37/F37</f>
        <v>144.51531429371411</v>
      </c>
      <c r="K37" s="41">
        <f>SUM(K29:K36)</f>
        <v>23742276.469999999</v>
      </c>
      <c r="L37" s="41">
        <f>SUM(L29:L36)</f>
        <v>22582422.400000002</v>
      </c>
      <c r="M37" s="44">
        <f>(+K37-L37)/L37</f>
        <v>5.1360923529620829E-2</v>
      </c>
      <c r="N37" s="10"/>
      <c r="R37" s="2"/>
    </row>
    <row r="38" spans="1:18" ht="15.75" customHeight="1" thickTop="1" x14ac:dyDescent="0.2">
      <c r="A38" s="38"/>
      <c r="B38" s="45"/>
      <c r="C38" s="21"/>
      <c r="D38" s="21"/>
      <c r="E38" s="23"/>
      <c r="F38" s="21"/>
      <c r="G38" s="21"/>
      <c r="H38" s="23"/>
      <c r="I38" s="24"/>
      <c r="J38" s="24"/>
      <c r="K38" s="21"/>
      <c r="L38" s="21"/>
      <c r="M38" s="25"/>
      <c r="N38" s="10"/>
      <c r="R38" s="2"/>
    </row>
    <row r="39" spans="1:18" ht="15.75" customHeight="1" x14ac:dyDescent="0.25">
      <c r="A39" s="177" t="s">
        <v>59</v>
      </c>
      <c r="B39" s="20">
        <f>DATE(2020,7,1)</f>
        <v>44013</v>
      </c>
      <c r="C39" s="21">
        <v>226236</v>
      </c>
      <c r="D39" s="21">
        <v>438217</v>
      </c>
      <c r="E39" s="23">
        <f t="shared" ref="E39:E45" si="15">(+C39-D39)/D39</f>
        <v>-0.4837352270678682</v>
      </c>
      <c r="F39" s="21">
        <f>+C39-121061</f>
        <v>105175</v>
      </c>
      <c r="G39" s="21">
        <f>+D39-221917</f>
        <v>216300</v>
      </c>
      <c r="H39" s="23">
        <f t="shared" ref="H39:H45" si="16">(+F39-G39)/G39</f>
        <v>-0.5137540453074434</v>
      </c>
      <c r="I39" s="24">
        <f t="shared" ref="I39:I45" si="17">K39/C39</f>
        <v>64.441251392351347</v>
      </c>
      <c r="J39" s="24">
        <f t="shared" ref="J39:J45" si="18">K39/F39</f>
        <v>138.615934870454</v>
      </c>
      <c r="K39" s="21">
        <v>14578930.949999999</v>
      </c>
      <c r="L39" s="21">
        <v>20447041.25</v>
      </c>
      <c r="M39" s="25">
        <f t="shared" ref="M39:M45" si="19">(+K39-L39)/L39</f>
        <v>-0.28699068135346972</v>
      </c>
      <c r="N39" s="10"/>
      <c r="R39" s="2"/>
    </row>
    <row r="40" spans="1:18" ht="15.75" customHeight="1" x14ac:dyDescent="0.25">
      <c r="A40" s="177"/>
      <c r="B40" s="20">
        <f>DATE(2020,8,1)</f>
        <v>44044</v>
      </c>
      <c r="C40" s="21">
        <v>248866</v>
      </c>
      <c r="D40" s="21">
        <v>437029</v>
      </c>
      <c r="E40" s="23">
        <f t="shared" si="15"/>
        <v>-0.43055037537554713</v>
      </c>
      <c r="F40" s="21">
        <f>+C40-132898</f>
        <v>115968</v>
      </c>
      <c r="G40" s="21">
        <f>+D40-215022</f>
        <v>222007</v>
      </c>
      <c r="H40" s="23">
        <f t="shared" si="16"/>
        <v>-0.47763809249257905</v>
      </c>
      <c r="I40" s="24">
        <f t="shared" si="17"/>
        <v>60.671518688772274</v>
      </c>
      <c r="J40" s="24">
        <f t="shared" si="18"/>
        <v>130.20038433016003</v>
      </c>
      <c r="K40" s="21">
        <v>15099078.17</v>
      </c>
      <c r="L40" s="21">
        <v>21336857.579999998</v>
      </c>
      <c r="M40" s="25">
        <f t="shared" si="19"/>
        <v>-0.29234761429194478</v>
      </c>
      <c r="N40" s="10"/>
      <c r="R40" s="2"/>
    </row>
    <row r="41" spans="1:18" ht="15.75" customHeight="1" x14ac:dyDescent="0.25">
      <c r="A41" s="177"/>
      <c r="B41" s="20">
        <f>DATE(2020,9,1)</f>
        <v>44075</v>
      </c>
      <c r="C41" s="21">
        <v>249571</v>
      </c>
      <c r="D41" s="21">
        <v>403849</v>
      </c>
      <c r="E41" s="23">
        <f t="shared" si="15"/>
        <v>-0.38201902196117854</v>
      </c>
      <c r="F41" s="21">
        <f>+C41-130815</f>
        <v>118756</v>
      </c>
      <c r="G41" s="21">
        <f>+D41-198275</f>
        <v>205574</v>
      </c>
      <c r="H41" s="23">
        <f t="shared" si="16"/>
        <v>-0.42231994318347649</v>
      </c>
      <c r="I41" s="24">
        <f t="shared" si="17"/>
        <v>59.832789787274962</v>
      </c>
      <c r="J41" s="24">
        <f t="shared" si="18"/>
        <v>125.74126090471218</v>
      </c>
      <c r="K41" s="21">
        <v>14932529.18</v>
      </c>
      <c r="L41" s="21">
        <v>18932128.91</v>
      </c>
      <c r="M41" s="25">
        <f t="shared" si="19"/>
        <v>-0.21125990368084813</v>
      </c>
      <c r="N41" s="10"/>
      <c r="R41" s="2"/>
    </row>
    <row r="42" spans="1:18" ht="15.75" customHeight="1" x14ac:dyDescent="0.25">
      <c r="A42" s="177"/>
      <c r="B42" s="20">
        <f>DATE(2020,10,1)</f>
        <v>44105</v>
      </c>
      <c r="C42" s="21">
        <v>272084</v>
      </c>
      <c r="D42" s="21">
        <v>396586</v>
      </c>
      <c r="E42" s="23">
        <f t="shared" si="15"/>
        <v>-0.3139344303631495</v>
      </c>
      <c r="F42" s="21">
        <f>+C42-143559</f>
        <v>128525</v>
      </c>
      <c r="G42" s="21">
        <f>+D42-195500</f>
        <v>201086</v>
      </c>
      <c r="H42" s="23">
        <f t="shared" si="16"/>
        <v>-0.36084560834667756</v>
      </c>
      <c r="I42" s="24">
        <f t="shared" si="17"/>
        <v>58.369290954264123</v>
      </c>
      <c r="J42" s="24">
        <f t="shared" si="18"/>
        <v>123.5662334954289</v>
      </c>
      <c r="K42" s="21">
        <v>15881350.16</v>
      </c>
      <c r="L42" s="21">
        <v>19033136.550000001</v>
      </c>
      <c r="M42" s="25">
        <f t="shared" si="19"/>
        <v>-0.16559469227367049</v>
      </c>
      <c r="N42" s="10"/>
      <c r="R42" s="2"/>
    </row>
    <row r="43" spans="1:18" ht="15.75" customHeight="1" x14ac:dyDescent="0.25">
      <c r="A43" s="177"/>
      <c r="B43" s="20">
        <f>DATE(2020,11,1)</f>
        <v>44136</v>
      </c>
      <c r="C43" s="21">
        <v>232899</v>
      </c>
      <c r="D43" s="21">
        <v>419787</v>
      </c>
      <c r="E43" s="23">
        <f t="shared" si="15"/>
        <v>-0.44519720715505723</v>
      </c>
      <c r="F43" s="21">
        <f>+C43-123557</f>
        <v>109342</v>
      </c>
      <c r="G43" s="21">
        <f>+D43-213343</f>
        <v>206444</v>
      </c>
      <c r="H43" s="23">
        <f t="shared" si="16"/>
        <v>-0.47035515684640872</v>
      </c>
      <c r="I43" s="24">
        <f t="shared" si="17"/>
        <v>58.263514184260124</v>
      </c>
      <c r="J43" s="24">
        <f t="shared" si="18"/>
        <v>124.10157295458286</v>
      </c>
      <c r="K43" s="21">
        <v>13569514.189999999</v>
      </c>
      <c r="L43" s="21">
        <v>20240068.129999999</v>
      </c>
      <c r="M43" s="25">
        <f t="shared" si="19"/>
        <v>-0.32957171374896949</v>
      </c>
      <c r="N43" s="10"/>
      <c r="R43" s="2"/>
    </row>
    <row r="44" spans="1:18" ht="15.75" customHeight="1" x14ac:dyDescent="0.25">
      <c r="A44" s="177"/>
      <c r="B44" s="20">
        <f>DATE(2020,12,1)</f>
        <v>44166</v>
      </c>
      <c r="C44" s="21">
        <v>226657</v>
      </c>
      <c r="D44" s="21">
        <v>398020</v>
      </c>
      <c r="E44" s="23">
        <f t="shared" si="15"/>
        <v>-0.43053866639867344</v>
      </c>
      <c r="F44" s="21">
        <f>+C44-116839</f>
        <v>109818</v>
      </c>
      <c r="G44" s="21">
        <f>+D44-203674</f>
        <v>194346</v>
      </c>
      <c r="H44" s="23">
        <f t="shared" si="16"/>
        <v>-0.43493563026766696</v>
      </c>
      <c r="I44" s="24">
        <f t="shared" si="17"/>
        <v>64.91430231583405</v>
      </c>
      <c r="J44" s="24">
        <f t="shared" si="18"/>
        <v>133.9787741535996</v>
      </c>
      <c r="K44" s="21">
        <v>14713281.02</v>
      </c>
      <c r="L44" s="21">
        <v>19602359.640000001</v>
      </c>
      <c r="M44" s="25">
        <f t="shared" si="19"/>
        <v>-0.24941275998342008</v>
      </c>
      <c r="N44" s="10"/>
      <c r="R44" s="2"/>
    </row>
    <row r="45" spans="1:18" ht="15.75" customHeight="1" x14ac:dyDescent="0.25">
      <c r="A45" s="177"/>
      <c r="B45" s="20">
        <f>DATE(2021,1,1)</f>
        <v>44197</v>
      </c>
      <c r="C45" s="21">
        <v>237906</v>
      </c>
      <c r="D45" s="21">
        <v>392807</v>
      </c>
      <c r="E45" s="23">
        <f t="shared" si="15"/>
        <v>-0.39434378715246926</v>
      </c>
      <c r="F45" s="21">
        <f>+C45-125011</f>
        <v>112895</v>
      </c>
      <c r="G45" s="21">
        <f>+D45-203293</f>
        <v>189514</v>
      </c>
      <c r="H45" s="23">
        <f t="shared" si="16"/>
        <v>-0.40429203119558449</v>
      </c>
      <c r="I45" s="24">
        <f t="shared" si="17"/>
        <v>61.053592679461637</v>
      </c>
      <c r="J45" s="24">
        <f t="shared" si="18"/>
        <v>128.65951565614066</v>
      </c>
      <c r="K45" s="21">
        <v>14525016.02</v>
      </c>
      <c r="L45" s="21">
        <v>19127250.219999999</v>
      </c>
      <c r="M45" s="25">
        <f t="shared" si="19"/>
        <v>-0.2406113867422392</v>
      </c>
      <c r="N45" s="10"/>
      <c r="R45" s="2"/>
    </row>
    <row r="46" spans="1:18" ht="15.75" thickBot="1" x14ac:dyDescent="0.25">
      <c r="A46" s="38"/>
      <c r="B46" s="45"/>
      <c r="C46" s="21"/>
      <c r="D46" s="21"/>
      <c r="E46" s="23"/>
      <c r="F46" s="21"/>
      <c r="G46" s="21"/>
      <c r="H46" s="23"/>
      <c r="I46" s="24"/>
      <c r="J46" s="24"/>
      <c r="K46" s="21"/>
      <c r="L46" s="21"/>
      <c r="M46" s="25"/>
      <c r="N46" s="10"/>
      <c r="R46" s="2"/>
    </row>
    <row r="47" spans="1:18" ht="17.25" thickTop="1" thickBot="1" x14ac:dyDescent="0.3">
      <c r="A47" s="39" t="s">
        <v>14</v>
      </c>
      <c r="B47" s="40"/>
      <c r="C47" s="41">
        <f>SUM(C39:C46)</f>
        <v>1694219</v>
      </c>
      <c r="D47" s="41">
        <f>SUM(D39:D46)</f>
        <v>2886295</v>
      </c>
      <c r="E47" s="280">
        <f>(+C47-D47)/D47</f>
        <v>-0.41301252990425441</v>
      </c>
      <c r="F47" s="41">
        <f>SUM(F39:F46)</f>
        <v>800479</v>
      </c>
      <c r="G47" s="41">
        <f>SUM(G39:G46)</f>
        <v>1435271</v>
      </c>
      <c r="H47" s="42">
        <f>(+F47-G47)/G47</f>
        <v>-0.44228023836613434</v>
      </c>
      <c r="I47" s="43">
        <f>K47/C47</f>
        <v>60.971869451351914</v>
      </c>
      <c r="J47" s="43">
        <f>K47/F47</f>
        <v>129.04735750719254</v>
      </c>
      <c r="K47" s="41">
        <f>SUM(K39:K46)</f>
        <v>103299699.68999998</v>
      </c>
      <c r="L47" s="41">
        <f>SUM(L39:L46)</f>
        <v>138718842.27999997</v>
      </c>
      <c r="M47" s="44">
        <f>(+K47-L47)/L47</f>
        <v>-0.25533043678743711</v>
      </c>
      <c r="N47" s="10"/>
      <c r="R47" s="2"/>
    </row>
    <row r="48" spans="1:18" ht="15.75" thickTop="1" x14ac:dyDescent="0.2">
      <c r="A48" s="38"/>
      <c r="B48" s="45"/>
      <c r="C48" s="21"/>
      <c r="D48" s="21"/>
      <c r="E48" s="23"/>
      <c r="F48" s="21"/>
      <c r="G48" s="21"/>
      <c r="H48" s="23"/>
      <c r="I48" s="24"/>
      <c r="J48" s="24"/>
      <c r="K48" s="21"/>
      <c r="L48" s="21"/>
      <c r="M48" s="25"/>
      <c r="N48" s="10"/>
      <c r="R48" s="2"/>
    </row>
    <row r="49" spans="1:18" ht="15.75" x14ac:dyDescent="0.25">
      <c r="A49" s="19" t="s">
        <v>63</v>
      </c>
      <c r="B49" s="20">
        <f>DATE(2020,7,1)</f>
        <v>44013</v>
      </c>
      <c r="C49" s="21">
        <v>260785</v>
      </c>
      <c r="D49" s="21">
        <v>288759</v>
      </c>
      <c r="E49" s="23">
        <f t="shared" ref="E49:E55" si="20">(+C49-D49)/D49</f>
        <v>-9.6876634148199706E-2</v>
      </c>
      <c r="F49" s="21">
        <f>+C49-121006</f>
        <v>139779</v>
      </c>
      <c r="G49" s="21">
        <f>+D49-131177</f>
        <v>157582</v>
      </c>
      <c r="H49" s="23">
        <f t="shared" ref="H49:H55" si="21">(+F49-G49)/G49</f>
        <v>-0.11297610133137033</v>
      </c>
      <c r="I49" s="24">
        <f t="shared" ref="I49:I55" si="22">K49/C49</f>
        <v>60.581983204555478</v>
      </c>
      <c r="J49" s="24">
        <f t="shared" ref="J49:J55" si="23">K49/F49</f>
        <v>113.02751121413088</v>
      </c>
      <c r="K49" s="21">
        <v>15798872.49</v>
      </c>
      <c r="L49" s="21">
        <v>14077474.74</v>
      </c>
      <c r="M49" s="25">
        <f t="shared" ref="M49:M55" si="24">(+K49-L49)/L49</f>
        <v>0.12228029400108162</v>
      </c>
      <c r="N49" s="10"/>
      <c r="R49" s="2"/>
    </row>
    <row r="50" spans="1:18" ht="15.75" x14ac:dyDescent="0.25">
      <c r="A50" s="19"/>
      <c r="B50" s="20">
        <f>DATE(2020,8,1)</f>
        <v>44044</v>
      </c>
      <c r="C50" s="21">
        <v>267898</v>
      </c>
      <c r="D50" s="21">
        <v>292957</v>
      </c>
      <c r="E50" s="23">
        <f t="shared" si="20"/>
        <v>-8.5538150650095401E-2</v>
      </c>
      <c r="F50" s="21">
        <f>+C50-127416</f>
        <v>140482</v>
      </c>
      <c r="G50" s="21">
        <f>+D50-131852</f>
        <v>161105</v>
      </c>
      <c r="H50" s="23">
        <f t="shared" si="21"/>
        <v>-0.12800968312591168</v>
      </c>
      <c r="I50" s="24">
        <f t="shared" si="22"/>
        <v>58.202557988488159</v>
      </c>
      <c r="J50" s="24">
        <f t="shared" si="23"/>
        <v>110.99179168861492</v>
      </c>
      <c r="K50" s="21">
        <v>15592348.880000001</v>
      </c>
      <c r="L50" s="21">
        <v>15580367.26</v>
      </c>
      <c r="M50" s="25">
        <f t="shared" si="24"/>
        <v>7.6902038315629817E-4</v>
      </c>
      <c r="N50" s="10"/>
      <c r="R50" s="2"/>
    </row>
    <row r="51" spans="1:18" ht="15.75" x14ac:dyDescent="0.25">
      <c r="A51" s="19"/>
      <c r="B51" s="20">
        <f>DATE(2020,9,1)</f>
        <v>44075</v>
      </c>
      <c r="C51" s="21">
        <v>245708</v>
      </c>
      <c r="D51" s="21">
        <v>276713</v>
      </c>
      <c r="E51" s="23">
        <f t="shared" si="20"/>
        <v>-0.11204750047883547</v>
      </c>
      <c r="F51" s="21">
        <f>+C51-116526</f>
        <v>129182</v>
      </c>
      <c r="G51" s="21">
        <f>+D51-125818</f>
        <v>150895</v>
      </c>
      <c r="H51" s="23">
        <f t="shared" si="21"/>
        <v>-0.1438947612578283</v>
      </c>
      <c r="I51" s="24">
        <f t="shared" si="22"/>
        <v>59.831929770296455</v>
      </c>
      <c r="J51" s="24">
        <f t="shared" si="23"/>
        <v>113.802107104705</v>
      </c>
      <c r="K51" s="21">
        <v>14701183.800000001</v>
      </c>
      <c r="L51" s="21">
        <v>14643182.48</v>
      </c>
      <c r="M51" s="25">
        <f t="shared" si="24"/>
        <v>3.9609777505142654E-3</v>
      </c>
      <c r="N51" s="10"/>
      <c r="R51" s="2"/>
    </row>
    <row r="52" spans="1:18" ht="15.75" x14ac:dyDescent="0.25">
      <c r="A52" s="19"/>
      <c r="B52" s="20">
        <f>DATE(2020,10,1)</f>
        <v>44105</v>
      </c>
      <c r="C52" s="21">
        <v>252286</v>
      </c>
      <c r="D52" s="21">
        <v>265282</v>
      </c>
      <c r="E52" s="23">
        <f t="shared" si="20"/>
        <v>-4.8989377341847544E-2</v>
      </c>
      <c r="F52" s="21">
        <f>+C52-116651</f>
        <v>135635</v>
      </c>
      <c r="G52" s="21">
        <f>+D52-120858</f>
        <v>144424</v>
      </c>
      <c r="H52" s="23">
        <f t="shared" si="21"/>
        <v>-6.0855536475931976E-2</v>
      </c>
      <c r="I52" s="24">
        <f t="shared" si="22"/>
        <v>59.294009100782446</v>
      </c>
      <c r="J52" s="24">
        <f t="shared" si="23"/>
        <v>110.28899900468168</v>
      </c>
      <c r="K52" s="21">
        <v>14959048.380000001</v>
      </c>
      <c r="L52" s="21">
        <v>14675401.32</v>
      </c>
      <c r="M52" s="25">
        <f t="shared" si="24"/>
        <v>1.9328061551096343E-2</v>
      </c>
      <c r="N52" s="10"/>
      <c r="R52" s="2"/>
    </row>
    <row r="53" spans="1:18" ht="15.75" x14ac:dyDescent="0.25">
      <c r="A53" s="19"/>
      <c r="B53" s="20">
        <f>DATE(2020,11,1)</f>
        <v>44136</v>
      </c>
      <c r="C53" s="21">
        <v>229647</v>
      </c>
      <c r="D53" s="21">
        <v>288764</v>
      </c>
      <c r="E53" s="23">
        <f t="shared" si="20"/>
        <v>-0.20472427310883629</v>
      </c>
      <c r="F53" s="21">
        <f>+C53-106423</f>
        <v>123224</v>
      </c>
      <c r="G53" s="21">
        <f>+D53-130395</f>
        <v>158369</v>
      </c>
      <c r="H53" s="23">
        <f t="shared" si="21"/>
        <v>-0.22191843100606812</v>
      </c>
      <c r="I53" s="24">
        <f t="shared" si="22"/>
        <v>54.453050290228049</v>
      </c>
      <c r="J53" s="24">
        <f t="shared" si="23"/>
        <v>101.48168895669676</v>
      </c>
      <c r="K53" s="21">
        <v>12504979.640000001</v>
      </c>
      <c r="L53" s="21">
        <v>14546056.49</v>
      </c>
      <c r="M53" s="25">
        <f t="shared" si="24"/>
        <v>-0.1403182265518618</v>
      </c>
      <c r="N53" s="10"/>
      <c r="R53" s="2"/>
    </row>
    <row r="54" spans="1:18" ht="15.75" x14ac:dyDescent="0.25">
      <c r="A54" s="19"/>
      <c r="B54" s="20">
        <f>DATE(2020,12,1)</f>
        <v>44166</v>
      </c>
      <c r="C54" s="21">
        <v>237315</v>
      </c>
      <c r="D54" s="21">
        <v>302309</v>
      </c>
      <c r="E54" s="23">
        <f t="shared" si="20"/>
        <v>-0.21499194532746296</v>
      </c>
      <c r="F54" s="21">
        <f>+C54-109898</f>
        <v>127417</v>
      </c>
      <c r="G54" s="21">
        <f>+D54-138214</f>
        <v>164095</v>
      </c>
      <c r="H54" s="23">
        <f t="shared" si="21"/>
        <v>-0.22351686523050671</v>
      </c>
      <c r="I54" s="24">
        <f t="shared" si="22"/>
        <v>55.607328782419991</v>
      </c>
      <c r="J54" s="24">
        <f t="shared" si="23"/>
        <v>103.56901535901802</v>
      </c>
      <c r="K54" s="21">
        <v>13196453.23</v>
      </c>
      <c r="L54" s="21">
        <v>14887793.43</v>
      </c>
      <c r="M54" s="25">
        <f t="shared" si="24"/>
        <v>-0.11360583473651806</v>
      </c>
      <c r="N54" s="10"/>
      <c r="R54" s="2"/>
    </row>
    <row r="55" spans="1:18" ht="15.75" x14ac:dyDescent="0.25">
      <c r="A55" s="19"/>
      <c r="B55" s="20">
        <f>DATE(2021,1,1)</f>
        <v>44197</v>
      </c>
      <c r="C55" s="21">
        <v>253729</v>
      </c>
      <c r="D55" s="21">
        <v>268298</v>
      </c>
      <c r="E55" s="23">
        <f t="shared" si="20"/>
        <v>-5.4301560205443203E-2</v>
      </c>
      <c r="F55" s="21">
        <f>+C55-120009</f>
        <v>133720</v>
      </c>
      <c r="G55" s="21">
        <f>+D55-120188</f>
        <v>148110</v>
      </c>
      <c r="H55" s="23">
        <f t="shared" si="21"/>
        <v>-9.7157518060900686E-2</v>
      </c>
      <c r="I55" s="24">
        <f t="shared" si="22"/>
        <v>59.379531232141382</v>
      </c>
      <c r="J55" s="24">
        <f t="shared" si="23"/>
        <v>112.6705734370326</v>
      </c>
      <c r="K55" s="21">
        <v>15066309.08</v>
      </c>
      <c r="L55" s="21">
        <v>14430034.130000001</v>
      </c>
      <c r="M55" s="25">
        <f t="shared" si="24"/>
        <v>4.4093793837755753E-2</v>
      </c>
      <c r="N55" s="10"/>
      <c r="R55" s="2"/>
    </row>
    <row r="56" spans="1:18" ht="15.75" thickBot="1" x14ac:dyDescent="0.25">
      <c r="A56" s="38"/>
      <c r="B56" s="20"/>
      <c r="C56" s="21"/>
      <c r="D56" s="21"/>
      <c r="E56" s="23"/>
      <c r="F56" s="21"/>
      <c r="G56" s="21"/>
      <c r="H56" s="23"/>
      <c r="I56" s="24"/>
      <c r="J56" s="24"/>
      <c r="K56" s="21"/>
      <c r="L56" s="21"/>
      <c r="M56" s="25"/>
      <c r="N56" s="10"/>
      <c r="R56" s="2"/>
    </row>
    <row r="57" spans="1:18" ht="17.25" thickTop="1" thickBot="1" x14ac:dyDescent="0.3">
      <c r="A57" s="39" t="s">
        <v>14</v>
      </c>
      <c r="B57" s="40"/>
      <c r="C57" s="41">
        <f>SUM(C49:C56)</f>
        <v>1747368</v>
      </c>
      <c r="D57" s="41">
        <f>SUM(D49:D56)</f>
        <v>1983082</v>
      </c>
      <c r="E57" s="281">
        <f>(+C57-D57)/D57</f>
        <v>-0.11886245752823131</v>
      </c>
      <c r="F57" s="47">
        <f>SUM(F49:F56)</f>
        <v>929439</v>
      </c>
      <c r="G57" s="48">
        <f>SUM(G49:G56)</f>
        <v>1084580</v>
      </c>
      <c r="H57" s="49">
        <f>(+F57-G57)/G57</f>
        <v>-0.14304246805214921</v>
      </c>
      <c r="I57" s="50">
        <f>K57/C57</f>
        <v>58.270035562056762</v>
      </c>
      <c r="J57" s="51">
        <f>K57/F57</f>
        <v>109.54908875138659</v>
      </c>
      <c r="K57" s="48">
        <f>SUM(K49:K56)</f>
        <v>101819195.5</v>
      </c>
      <c r="L57" s="47">
        <f>SUM(L49:L56)</f>
        <v>102840309.84999999</v>
      </c>
      <c r="M57" s="44">
        <f>(+K57-L57)/L57</f>
        <v>-9.9291255684601006E-3</v>
      </c>
      <c r="N57" s="10"/>
      <c r="R57" s="2"/>
    </row>
    <row r="58" spans="1:18" ht="15.75" customHeight="1" thickTop="1" x14ac:dyDescent="0.25">
      <c r="A58" s="273"/>
      <c r="B58" s="45"/>
      <c r="C58" s="21"/>
      <c r="D58" s="21"/>
      <c r="E58" s="23"/>
      <c r="F58" s="21"/>
      <c r="G58" s="21"/>
      <c r="H58" s="23"/>
      <c r="I58" s="24"/>
      <c r="J58" s="24"/>
      <c r="K58" s="21"/>
      <c r="L58" s="21"/>
      <c r="M58" s="25"/>
      <c r="N58" s="10"/>
      <c r="R58" s="2"/>
    </row>
    <row r="59" spans="1:18" ht="15.75" x14ac:dyDescent="0.25">
      <c r="A59" s="274" t="s">
        <v>64</v>
      </c>
      <c r="B59" s="20">
        <f>DATE(2020,7,1)</f>
        <v>44013</v>
      </c>
      <c r="C59" s="21">
        <v>75978</v>
      </c>
      <c r="D59" s="21">
        <v>110928</v>
      </c>
      <c r="E59" s="23">
        <f t="shared" ref="E59:E65" si="25">(+C59-D59)/D59</f>
        <v>-0.31506923409779314</v>
      </c>
      <c r="F59" s="21">
        <f>+C59-36462</f>
        <v>39516</v>
      </c>
      <c r="G59" s="21">
        <f>+D59-54910</f>
        <v>56018</v>
      </c>
      <c r="H59" s="23">
        <f t="shared" ref="H59:H65" si="26">(+F59-G59)/G59</f>
        <v>-0.29458388375165123</v>
      </c>
      <c r="I59" s="24">
        <f t="shared" ref="I59:I65" si="27">K59/C59</f>
        <v>65.902360814972752</v>
      </c>
      <c r="J59" s="24">
        <f t="shared" ref="J59:J65" si="28">K59/F59</f>
        <v>126.71144776799272</v>
      </c>
      <c r="K59" s="21">
        <v>5007129.57</v>
      </c>
      <c r="L59" s="21">
        <v>4456959.1900000004</v>
      </c>
      <c r="M59" s="25">
        <f t="shared" ref="M59:M65" si="29">(+K59-L59)/L59</f>
        <v>0.12344074884831957</v>
      </c>
      <c r="N59" s="10"/>
      <c r="R59" s="2"/>
    </row>
    <row r="60" spans="1:18" ht="15.75" x14ac:dyDescent="0.25">
      <c r="A60" s="274"/>
      <c r="B60" s="20">
        <f>DATE(2020,8,1)</f>
        <v>44044</v>
      </c>
      <c r="C60" s="21">
        <v>75051</v>
      </c>
      <c r="D60" s="21">
        <v>114308</v>
      </c>
      <c r="E60" s="23">
        <f t="shared" si="25"/>
        <v>-0.34343178080274345</v>
      </c>
      <c r="F60" s="21">
        <f>+C60-37094</f>
        <v>37957</v>
      </c>
      <c r="G60" s="21">
        <f>+D60-54234</f>
        <v>60074</v>
      </c>
      <c r="H60" s="23">
        <f t="shared" si="26"/>
        <v>-0.36816259946066515</v>
      </c>
      <c r="I60" s="24">
        <f t="shared" si="27"/>
        <v>66.127390707652125</v>
      </c>
      <c r="J60" s="24">
        <f t="shared" si="28"/>
        <v>130.75129225175857</v>
      </c>
      <c r="K60" s="21">
        <v>4962926.8</v>
      </c>
      <c r="L60" s="21">
        <v>5215749.95</v>
      </c>
      <c r="M60" s="25">
        <f t="shared" si="29"/>
        <v>-4.8473019685309177E-2</v>
      </c>
      <c r="N60" s="10"/>
      <c r="R60" s="2"/>
    </row>
    <row r="61" spans="1:18" ht="15.75" x14ac:dyDescent="0.25">
      <c r="A61" s="274"/>
      <c r="B61" s="20">
        <f>DATE(2020,9,1)</f>
        <v>44075</v>
      </c>
      <c r="C61" s="21">
        <v>76058</v>
      </c>
      <c r="D61" s="21">
        <v>108669</v>
      </c>
      <c r="E61" s="23">
        <f t="shared" si="25"/>
        <v>-0.30009478324085065</v>
      </c>
      <c r="F61" s="21">
        <f>+C61-37383</f>
        <v>38675</v>
      </c>
      <c r="G61" s="21">
        <f>+D61-53294</f>
        <v>55375</v>
      </c>
      <c r="H61" s="23">
        <f t="shared" si="26"/>
        <v>-0.30158013544018059</v>
      </c>
      <c r="I61" s="24">
        <f t="shared" si="27"/>
        <v>65.497897131136753</v>
      </c>
      <c r="J61" s="24">
        <f t="shared" si="28"/>
        <v>128.80773264382674</v>
      </c>
      <c r="K61" s="21">
        <v>4981639.0599999996</v>
      </c>
      <c r="L61" s="21">
        <v>5069628.72</v>
      </c>
      <c r="M61" s="25">
        <f t="shared" si="29"/>
        <v>-1.7356233534987577E-2</v>
      </c>
      <c r="N61" s="10"/>
      <c r="R61" s="2"/>
    </row>
    <row r="62" spans="1:18" ht="15.75" x14ac:dyDescent="0.25">
      <c r="A62" s="274"/>
      <c r="B62" s="20">
        <f>DATE(2020,10,1)</f>
        <v>44105</v>
      </c>
      <c r="C62" s="21">
        <v>79279</v>
      </c>
      <c r="D62" s="21">
        <v>108635</v>
      </c>
      <c r="E62" s="23">
        <f t="shared" si="25"/>
        <v>-0.27022598610024395</v>
      </c>
      <c r="F62" s="21">
        <f>+C62-39288</f>
        <v>39991</v>
      </c>
      <c r="G62" s="21">
        <f>+D62-52866</f>
        <v>55769</v>
      </c>
      <c r="H62" s="23">
        <f t="shared" si="26"/>
        <v>-0.28291703276013558</v>
      </c>
      <c r="I62" s="24">
        <f t="shared" si="27"/>
        <v>62.994921605973836</v>
      </c>
      <c r="J62" s="24">
        <f t="shared" si="28"/>
        <v>124.8824583031182</v>
      </c>
      <c r="K62" s="21">
        <v>4994174.3899999997</v>
      </c>
      <c r="L62" s="21">
        <v>5103440.46</v>
      </c>
      <c r="M62" s="25">
        <f t="shared" si="29"/>
        <v>-2.141027623549473E-2</v>
      </c>
      <c r="N62" s="10"/>
      <c r="R62" s="2"/>
    </row>
    <row r="63" spans="1:18" ht="15.75" x14ac:dyDescent="0.25">
      <c r="A63" s="274"/>
      <c r="B63" s="20">
        <f>DATE(2020,11,1)</f>
        <v>44136</v>
      </c>
      <c r="C63" s="21">
        <v>74117</v>
      </c>
      <c r="D63" s="21">
        <v>108978</v>
      </c>
      <c r="E63" s="23">
        <f t="shared" si="25"/>
        <v>-0.31989025307860303</v>
      </c>
      <c r="F63" s="21">
        <f>+C63-36979</f>
        <v>37138</v>
      </c>
      <c r="G63" s="21">
        <f>+D63-53627</f>
        <v>55351</v>
      </c>
      <c r="H63" s="23">
        <f t="shared" si="26"/>
        <v>-0.3290455456992647</v>
      </c>
      <c r="I63" s="24">
        <f t="shared" si="27"/>
        <v>60.658709203016848</v>
      </c>
      <c r="J63" s="24">
        <f t="shared" si="28"/>
        <v>121.05771850934353</v>
      </c>
      <c r="K63" s="21">
        <v>4495841.55</v>
      </c>
      <c r="L63" s="21">
        <v>5108677.83</v>
      </c>
      <c r="M63" s="25">
        <f t="shared" si="29"/>
        <v>-0.11995986053401224</v>
      </c>
      <c r="N63" s="10"/>
      <c r="R63" s="2"/>
    </row>
    <row r="64" spans="1:18" ht="15.75" x14ac:dyDescent="0.25">
      <c r="A64" s="274"/>
      <c r="B64" s="20">
        <f>DATE(2020,12,1)</f>
        <v>44166</v>
      </c>
      <c r="C64" s="21">
        <v>90055</v>
      </c>
      <c r="D64" s="21">
        <v>115824</v>
      </c>
      <c r="E64" s="23">
        <f t="shared" si="25"/>
        <v>-0.22248411382787678</v>
      </c>
      <c r="F64" s="21">
        <f>+C64-45539</f>
        <v>44516</v>
      </c>
      <c r="G64" s="21">
        <f>+D64-57047</f>
        <v>58777</v>
      </c>
      <c r="H64" s="23">
        <f t="shared" si="26"/>
        <v>-0.24262891947530496</v>
      </c>
      <c r="I64" s="24">
        <f t="shared" si="27"/>
        <v>68.144607517628117</v>
      </c>
      <c r="J64" s="24">
        <f t="shared" si="28"/>
        <v>137.85521228322401</v>
      </c>
      <c r="K64" s="21">
        <v>6136762.6299999999</v>
      </c>
      <c r="L64" s="21">
        <v>5367894.3099999996</v>
      </c>
      <c r="M64" s="25">
        <f t="shared" si="29"/>
        <v>0.14323462341045987</v>
      </c>
      <c r="N64" s="10"/>
      <c r="R64" s="2"/>
    </row>
    <row r="65" spans="1:18" ht="15.75" x14ac:dyDescent="0.25">
      <c r="A65" s="274"/>
      <c r="B65" s="20">
        <f>DATE(2021,1,1)</f>
        <v>44197</v>
      </c>
      <c r="C65" s="21">
        <v>102968</v>
      </c>
      <c r="D65" s="21">
        <v>108065</v>
      </c>
      <c r="E65" s="23">
        <f t="shared" si="25"/>
        <v>-4.7166057465414336E-2</v>
      </c>
      <c r="F65" s="21">
        <f>+C65-52033</f>
        <v>50935</v>
      </c>
      <c r="G65" s="21">
        <f>+D65-54017</f>
        <v>54048</v>
      </c>
      <c r="H65" s="23">
        <f t="shared" si="26"/>
        <v>-5.759695085849615E-2</v>
      </c>
      <c r="I65" s="24">
        <f t="shared" si="27"/>
        <v>66.17966678968223</v>
      </c>
      <c r="J65" s="24">
        <f t="shared" si="28"/>
        <v>133.78596112692648</v>
      </c>
      <c r="K65" s="21">
        <v>6814387.9299999997</v>
      </c>
      <c r="L65" s="21">
        <v>5075834.1100000003</v>
      </c>
      <c r="M65" s="25">
        <f t="shared" si="29"/>
        <v>0.34251588651702397</v>
      </c>
      <c r="N65" s="10"/>
      <c r="R65" s="2"/>
    </row>
    <row r="66" spans="1:18" ht="15.75" customHeight="1" thickBot="1" x14ac:dyDescent="0.3">
      <c r="A66" s="19"/>
      <c r="B66" s="20"/>
      <c r="C66" s="21"/>
      <c r="D66" s="21"/>
      <c r="E66" s="23"/>
      <c r="F66" s="21"/>
      <c r="G66" s="21"/>
      <c r="H66" s="23"/>
      <c r="I66" s="24"/>
      <c r="J66" s="24"/>
      <c r="K66" s="21"/>
      <c r="L66" s="21"/>
      <c r="M66" s="25"/>
      <c r="N66" s="10"/>
      <c r="R66" s="2"/>
    </row>
    <row r="67" spans="1:18" ht="17.45" customHeight="1" thickTop="1" thickBot="1" x14ac:dyDescent="0.3">
      <c r="A67" s="39" t="s">
        <v>14</v>
      </c>
      <c r="B67" s="52"/>
      <c r="C67" s="47">
        <f>SUM(C59:C66)</f>
        <v>573506</v>
      </c>
      <c r="D67" s="48">
        <f>SUM(D59:D66)</f>
        <v>775407</v>
      </c>
      <c r="E67" s="281">
        <f>(+C67-D67)/D67</f>
        <v>-0.26038067750226657</v>
      </c>
      <c r="F67" s="48">
        <f>SUM(F59:F66)</f>
        <v>288728</v>
      </c>
      <c r="G67" s="47">
        <f>SUM(G59:G66)</f>
        <v>395412</v>
      </c>
      <c r="H67" s="46">
        <f>(+F67-G67)/G67</f>
        <v>-0.26980465944382065</v>
      </c>
      <c r="I67" s="51">
        <f>K67/C67</f>
        <v>65.200472061321065</v>
      </c>
      <c r="J67" s="50">
        <f>K67/F67</f>
        <v>129.50895628411516</v>
      </c>
      <c r="K67" s="47">
        <f>SUM(K59:K66)</f>
        <v>37392861.93</v>
      </c>
      <c r="L67" s="48">
        <f>SUM(L59:L66)</f>
        <v>35398184.57</v>
      </c>
      <c r="M67" s="44">
        <f>(+K67-L67)/L67</f>
        <v>5.6349707879948474E-2</v>
      </c>
      <c r="N67" s="10"/>
      <c r="R67" s="2"/>
    </row>
    <row r="68" spans="1:18" ht="15.75" customHeight="1" thickTop="1" x14ac:dyDescent="0.25">
      <c r="A68" s="19"/>
      <c r="B68" s="45"/>
      <c r="C68" s="21"/>
      <c r="D68" s="21"/>
      <c r="E68" s="23"/>
      <c r="F68" s="21"/>
      <c r="G68" s="21"/>
      <c r="H68" s="23"/>
      <c r="I68" s="24"/>
      <c r="J68" s="24"/>
      <c r="K68" s="21"/>
      <c r="L68" s="21"/>
      <c r="M68" s="25"/>
      <c r="N68" s="10"/>
      <c r="R68" s="2"/>
    </row>
    <row r="69" spans="1:18" ht="15.75" x14ac:dyDescent="0.25">
      <c r="A69" s="19" t="s">
        <v>66</v>
      </c>
      <c r="B69" s="20">
        <f>DATE(2020,7,1)</f>
        <v>44013</v>
      </c>
      <c r="C69" s="21">
        <v>89782</v>
      </c>
      <c r="D69" s="21">
        <v>151411</v>
      </c>
      <c r="E69" s="23">
        <f t="shared" ref="E69:E75" si="30">(+C69-D69)/D69</f>
        <v>-0.40703119324223469</v>
      </c>
      <c r="F69" s="21">
        <f>+C69-42122</f>
        <v>47660</v>
      </c>
      <c r="G69" s="21">
        <f>+D69-71749</f>
        <v>79662</v>
      </c>
      <c r="H69" s="23">
        <f t="shared" ref="H69:H75" si="31">(+F69-G69)/G69</f>
        <v>-0.40172227661871407</v>
      </c>
      <c r="I69" s="24">
        <f t="shared" ref="I69:I75" si="32">K69/C69</f>
        <v>50.702362945802051</v>
      </c>
      <c r="J69" s="24">
        <f t="shared" ref="J69:J75" si="33">K69/F69</f>
        <v>95.513209190096518</v>
      </c>
      <c r="K69" s="21">
        <v>4552159.55</v>
      </c>
      <c r="L69" s="21">
        <v>5243377.2</v>
      </c>
      <c r="M69" s="25">
        <f t="shared" ref="M69:M75" si="34">(+K69-L69)/L69</f>
        <v>-0.13182680238987962</v>
      </c>
      <c r="N69" s="10"/>
      <c r="R69" s="2"/>
    </row>
    <row r="70" spans="1:18" ht="15.75" x14ac:dyDescent="0.25">
      <c r="A70" s="19"/>
      <c r="B70" s="20">
        <f>DATE(2020,8,1)</f>
        <v>44044</v>
      </c>
      <c r="C70" s="21">
        <v>90766</v>
      </c>
      <c r="D70" s="21">
        <v>153404</v>
      </c>
      <c r="E70" s="23">
        <f t="shared" si="30"/>
        <v>-0.40832051315480694</v>
      </c>
      <c r="F70" s="21">
        <f>+C70-42451</f>
        <v>48315</v>
      </c>
      <c r="G70" s="21">
        <f>+D70-72820</f>
        <v>80584</v>
      </c>
      <c r="H70" s="23">
        <f t="shared" si="31"/>
        <v>-0.40043929315993249</v>
      </c>
      <c r="I70" s="24">
        <f t="shared" si="32"/>
        <v>48.512467223409644</v>
      </c>
      <c r="J70" s="24">
        <f t="shared" si="33"/>
        <v>91.136967815378242</v>
      </c>
      <c r="K70" s="21">
        <v>4403282.5999999996</v>
      </c>
      <c r="L70" s="21">
        <v>5663787.5</v>
      </c>
      <c r="M70" s="25">
        <f t="shared" si="34"/>
        <v>-0.22255511881404455</v>
      </c>
      <c r="N70" s="10"/>
      <c r="R70" s="2"/>
    </row>
    <row r="71" spans="1:18" ht="15.75" x14ac:dyDescent="0.25">
      <c r="A71" s="19"/>
      <c r="B71" s="20">
        <f>DATE(2020,9,1)</f>
        <v>44075</v>
      </c>
      <c r="C71" s="21">
        <v>113899</v>
      </c>
      <c r="D71" s="21">
        <v>143049</v>
      </c>
      <c r="E71" s="23">
        <f t="shared" si="30"/>
        <v>-0.20377632839097093</v>
      </c>
      <c r="F71" s="21">
        <f>+C71-56486</f>
        <v>57413</v>
      </c>
      <c r="G71" s="21">
        <f>+D71-67371</f>
        <v>75678</v>
      </c>
      <c r="H71" s="23">
        <f t="shared" si="31"/>
        <v>-0.24135151563201987</v>
      </c>
      <c r="I71" s="24">
        <f t="shared" si="32"/>
        <v>47.025149035549042</v>
      </c>
      <c r="J71" s="24">
        <f t="shared" si="33"/>
        <v>93.291022068172722</v>
      </c>
      <c r="K71" s="21">
        <v>5356117.45</v>
      </c>
      <c r="L71" s="21">
        <v>5081304.75</v>
      </c>
      <c r="M71" s="25">
        <f t="shared" si="34"/>
        <v>5.4083097456416131E-2</v>
      </c>
      <c r="N71" s="10"/>
      <c r="R71" s="2"/>
    </row>
    <row r="72" spans="1:18" ht="15.75" x14ac:dyDescent="0.25">
      <c r="A72" s="19"/>
      <c r="B72" s="20">
        <f>DATE(2020,10,1)</f>
        <v>44105</v>
      </c>
      <c r="C72" s="21">
        <v>133252</v>
      </c>
      <c r="D72" s="21">
        <v>147133</v>
      </c>
      <c r="E72" s="23">
        <f t="shared" si="30"/>
        <v>-9.4343213283219943E-2</v>
      </c>
      <c r="F72" s="21">
        <f>+C72-63794</f>
        <v>69458</v>
      </c>
      <c r="G72" s="21">
        <f>+D72-70441</f>
        <v>76692</v>
      </c>
      <c r="H72" s="23">
        <f t="shared" si="31"/>
        <v>-9.4325353361497943E-2</v>
      </c>
      <c r="I72" s="24">
        <f t="shared" si="32"/>
        <v>46.010231140996012</v>
      </c>
      <c r="J72" s="24">
        <f t="shared" si="33"/>
        <v>88.268526591609316</v>
      </c>
      <c r="K72" s="21">
        <v>6130955.3200000003</v>
      </c>
      <c r="L72" s="21">
        <v>5402701.21</v>
      </c>
      <c r="M72" s="25">
        <f t="shared" si="34"/>
        <v>0.13479444479588393</v>
      </c>
      <c r="N72" s="10"/>
      <c r="R72" s="2"/>
    </row>
    <row r="73" spans="1:18" ht="15.75" x14ac:dyDescent="0.25">
      <c r="A73" s="19"/>
      <c r="B73" s="20">
        <f>DATE(2020,11,1)</f>
        <v>44136</v>
      </c>
      <c r="C73" s="21">
        <v>128642</v>
      </c>
      <c r="D73" s="21">
        <v>147609</v>
      </c>
      <c r="E73" s="23">
        <f t="shared" si="30"/>
        <v>-0.1284948749737482</v>
      </c>
      <c r="F73" s="21">
        <f>+C73-61517</f>
        <v>67125</v>
      </c>
      <c r="G73" s="21">
        <f>+D73-72727</f>
        <v>74882</v>
      </c>
      <c r="H73" s="23">
        <f t="shared" si="31"/>
        <v>-0.10358964771240084</v>
      </c>
      <c r="I73" s="24">
        <f t="shared" si="32"/>
        <v>44.797572410254816</v>
      </c>
      <c r="J73" s="24">
        <f t="shared" si="33"/>
        <v>85.852503687150829</v>
      </c>
      <c r="K73" s="21">
        <v>5762849.3099999996</v>
      </c>
      <c r="L73" s="21">
        <v>5427921.8600000003</v>
      </c>
      <c r="M73" s="25">
        <f t="shared" si="34"/>
        <v>6.1704545245608831E-2</v>
      </c>
      <c r="N73" s="10"/>
      <c r="R73" s="2"/>
    </row>
    <row r="74" spans="1:18" ht="15.75" x14ac:dyDescent="0.25">
      <c r="A74" s="19"/>
      <c r="B74" s="20">
        <f>DATE(2020,12,1)</f>
        <v>44166</v>
      </c>
      <c r="C74" s="21">
        <v>136324</v>
      </c>
      <c r="D74" s="21">
        <v>146815</v>
      </c>
      <c r="E74" s="23">
        <f t="shared" si="30"/>
        <v>-7.1457276163879715E-2</v>
      </c>
      <c r="F74" s="21">
        <f>+C74-65497</f>
        <v>70827</v>
      </c>
      <c r="G74" s="21">
        <f>+D74-72079</f>
        <v>74736</v>
      </c>
      <c r="H74" s="23">
        <f t="shared" si="31"/>
        <v>-5.2304110468850355E-2</v>
      </c>
      <c r="I74" s="24">
        <f t="shared" si="32"/>
        <v>46.829371570669878</v>
      </c>
      <c r="J74" s="24">
        <f t="shared" si="33"/>
        <v>90.134655569203829</v>
      </c>
      <c r="K74" s="21">
        <v>6383967.25</v>
      </c>
      <c r="L74" s="21">
        <v>5406096.8300000001</v>
      </c>
      <c r="M74" s="25">
        <f t="shared" si="34"/>
        <v>0.18088289032736396</v>
      </c>
      <c r="N74" s="10"/>
      <c r="R74" s="2"/>
    </row>
    <row r="75" spans="1:18" ht="15.75" x14ac:dyDescent="0.25">
      <c r="A75" s="19"/>
      <c r="B75" s="20">
        <f>DATE(2021,1,1)</f>
        <v>44197</v>
      </c>
      <c r="C75" s="21">
        <v>148941</v>
      </c>
      <c r="D75" s="21">
        <v>138036</v>
      </c>
      <c r="E75" s="23">
        <f t="shared" si="30"/>
        <v>7.9001130139963488E-2</v>
      </c>
      <c r="F75" s="21">
        <f>+C75-73418</f>
        <v>75523</v>
      </c>
      <c r="G75" s="21">
        <f>+D75-67428</f>
        <v>70608</v>
      </c>
      <c r="H75" s="23">
        <f t="shared" si="31"/>
        <v>6.9609675957398601E-2</v>
      </c>
      <c r="I75" s="24">
        <f t="shared" si="32"/>
        <v>46.43704581008587</v>
      </c>
      <c r="J75" s="24">
        <f t="shared" si="33"/>
        <v>91.579784171709278</v>
      </c>
      <c r="K75" s="21">
        <v>6916380.04</v>
      </c>
      <c r="L75" s="21">
        <v>5190044.03</v>
      </c>
      <c r="M75" s="25">
        <f t="shared" si="34"/>
        <v>0.33262454037408229</v>
      </c>
      <c r="N75" s="10"/>
      <c r="R75" s="2"/>
    </row>
    <row r="76" spans="1:18" ht="15.75" customHeight="1" thickBot="1" x14ac:dyDescent="0.3">
      <c r="A76" s="19"/>
      <c r="B76" s="45"/>
      <c r="C76" s="21"/>
      <c r="D76" s="21"/>
      <c r="E76" s="23"/>
      <c r="F76" s="21"/>
      <c r="G76" s="21"/>
      <c r="H76" s="23"/>
      <c r="I76" s="24"/>
      <c r="J76" s="24"/>
      <c r="K76" s="21"/>
      <c r="L76" s="21"/>
      <c r="M76" s="25"/>
      <c r="N76" s="10"/>
      <c r="R76" s="2"/>
    </row>
    <row r="77" spans="1:18" ht="17.45" customHeight="1" thickTop="1" thickBot="1" x14ac:dyDescent="0.3">
      <c r="A77" s="39" t="s">
        <v>14</v>
      </c>
      <c r="B77" s="52"/>
      <c r="C77" s="47">
        <f>SUM(C69:C76)</f>
        <v>841606</v>
      </c>
      <c r="D77" s="48">
        <f>SUM(D69:D76)</f>
        <v>1027457</v>
      </c>
      <c r="E77" s="281">
        <f>(+C77-D77)/D77</f>
        <v>-0.18088445550519389</v>
      </c>
      <c r="F77" s="48">
        <f>SUM(F69:F76)</f>
        <v>436321</v>
      </c>
      <c r="G77" s="47">
        <f>SUM(G69:G76)</f>
        <v>532842</v>
      </c>
      <c r="H77" s="53">
        <f>(+F77-G77)/G77</f>
        <v>-0.18114375368308053</v>
      </c>
      <c r="I77" s="51">
        <f>K77/C77</f>
        <v>46.940862493851036</v>
      </c>
      <c r="J77" s="50">
        <f>K77/F77</f>
        <v>90.5427690163893</v>
      </c>
      <c r="K77" s="47">
        <f>SUM(K69:K76)</f>
        <v>39505711.519999996</v>
      </c>
      <c r="L77" s="48">
        <f>SUM(L69:L76)</f>
        <v>37415233.380000003</v>
      </c>
      <c r="M77" s="44">
        <f>(+K77-L77)/L77</f>
        <v>5.5872380074941365E-2</v>
      </c>
      <c r="N77" s="10"/>
      <c r="R77" s="2"/>
    </row>
    <row r="78" spans="1:18" ht="15.75" customHeight="1" thickTop="1" x14ac:dyDescent="0.25">
      <c r="A78" s="19"/>
      <c r="B78" s="45"/>
      <c r="C78" s="21"/>
      <c r="D78" s="21"/>
      <c r="E78" s="23"/>
      <c r="F78" s="21"/>
      <c r="G78" s="21"/>
      <c r="H78" s="23"/>
      <c r="I78" s="24"/>
      <c r="J78" s="24"/>
      <c r="K78" s="21"/>
      <c r="L78" s="21"/>
      <c r="M78" s="25"/>
      <c r="N78" s="10"/>
      <c r="R78" s="2"/>
    </row>
    <row r="79" spans="1:18" ht="15.75" customHeight="1" x14ac:dyDescent="0.25">
      <c r="A79" s="19" t="s">
        <v>60</v>
      </c>
      <c r="B79" s="20">
        <f>DATE(2020,7,1)</f>
        <v>44013</v>
      </c>
      <c r="C79" s="21">
        <v>198458</v>
      </c>
      <c r="D79" s="21">
        <v>323723</v>
      </c>
      <c r="E79" s="23">
        <f t="shared" ref="E79:E85" si="35">(+C79-D79)/D79</f>
        <v>-0.38695118975173221</v>
      </c>
      <c r="F79" s="21">
        <f>+C79-91512</f>
        <v>106946</v>
      </c>
      <c r="G79" s="21">
        <f>+D79-139054</f>
        <v>184669</v>
      </c>
      <c r="H79" s="23">
        <f t="shared" ref="H79:H85" si="36">(+F79-G79)/G79</f>
        <v>-0.42087735353524414</v>
      </c>
      <c r="I79" s="24">
        <f t="shared" ref="I79:I85" si="37">K79/C79</f>
        <v>57.559684013745979</v>
      </c>
      <c r="J79" s="24">
        <f t="shared" ref="J79:J85" si="38">K79/F79</f>
        <v>106.81259486095786</v>
      </c>
      <c r="K79" s="21">
        <v>11423179.77</v>
      </c>
      <c r="L79" s="21">
        <v>12562489.76</v>
      </c>
      <c r="M79" s="25">
        <f t="shared" ref="M79:M85" si="39">(+K79-L79)/L79</f>
        <v>-9.0691416412346612E-2</v>
      </c>
      <c r="N79" s="10"/>
      <c r="R79" s="2"/>
    </row>
    <row r="80" spans="1:18" ht="15.75" customHeight="1" x14ac:dyDescent="0.25">
      <c r="A80" s="19"/>
      <c r="B80" s="20">
        <f>DATE(2020,8,1)</f>
        <v>44044</v>
      </c>
      <c r="C80" s="21">
        <v>207170</v>
      </c>
      <c r="D80" s="21">
        <v>324702</v>
      </c>
      <c r="E80" s="23">
        <f t="shared" si="35"/>
        <v>-0.36196882064169605</v>
      </c>
      <c r="F80" s="21">
        <f>+C80-94983</f>
        <v>112187</v>
      </c>
      <c r="G80" s="21">
        <f>+D80-140464</f>
        <v>184238</v>
      </c>
      <c r="H80" s="23">
        <f t="shared" si="36"/>
        <v>-0.39107567385664194</v>
      </c>
      <c r="I80" s="24">
        <f t="shared" si="37"/>
        <v>58.301137906067481</v>
      </c>
      <c r="J80" s="24">
        <f t="shared" si="38"/>
        <v>107.66173210799826</v>
      </c>
      <c r="K80" s="21">
        <v>12078246.74</v>
      </c>
      <c r="L80" s="21">
        <v>12914541.609999999</v>
      </c>
      <c r="M80" s="25">
        <f t="shared" si="39"/>
        <v>-6.4756062991228325E-2</v>
      </c>
      <c r="N80" s="10"/>
      <c r="R80" s="2"/>
    </row>
    <row r="81" spans="1:18" ht="15.75" customHeight="1" x14ac:dyDescent="0.25">
      <c r="A81" s="19"/>
      <c r="B81" s="20">
        <f>DATE(2020,9,1)</f>
        <v>44075</v>
      </c>
      <c r="C81" s="21">
        <v>214679</v>
      </c>
      <c r="D81" s="21">
        <v>300779</v>
      </c>
      <c r="E81" s="23">
        <f t="shared" si="35"/>
        <v>-0.28625668680326749</v>
      </c>
      <c r="F81" s="21">
        <f>+C81-98438</f>
        <v>116241</v>
      </c>
      <c r="G81" s="21">
        <f>+D81-129539</f>
        <v>171240</v>
      </c>
      <c r="H81" s="23">
        <f t="shared" si="36"/>
        <v>-0.32118079887876666</v>
      </c>
      <c r="I81" s="24">
        <f t="shared" si="37"/>
        <v>53.75294761015283</v>
      </c>
      <c r="J81" s="24">
        <f t="shared" si="38"/>
        <v>99.273311826291916</v>
      </c>
      <c r="K81" s="21">
        <v>11539629.039999999</v>
      </c>
      <c r="L81" s="21">
        <v>12290273.1</v>
      </c>
      <c r="M81" s="25">
        <f t="shared" si="39"/>
        <v>-6.107627177137346E-2</v>
      </c>
      <c r="N81" s="10"/>
      <c r="R81" s="2"/>
    </row>
    <row r="82" spans="1:18" ht="15.75" customHeight="1" x14ac:dyDescent="0.25">
      <c r="A82" s="19"/>
      <c r="B82" s="20">
        <f>DATE(2020,10,1)</f>
        <v>44105</v>
      </c>
      <c r="C82" s="21">
        <v>213678</v>
      </c>
      <c r="D82" s="21">
        <v>283562</v>
      </c>
      <c r="E82" s="23">
        <f t="shared" si="35"/>
        <v>-0.24645051170467128</v>
      </c>
      <c r="F82" s="21">
        <f>+C82-98578</f>
        <v>115100</v>
      </c>
      <c r="G82" s="21">
        <f>+D82-124664</f>
        <v>158898</v>
      </c>
      <c r="H82" s="23">
        <f t="shared" si="36"/>
        <v>-0.27563594255434304</v>
      </c>
      <c r="I82" s="24">
        <f t="shared" si="37"/>
        <v>52.956099036868558</v>
      </c>
      <c r="J82" s="24">
        <f t="shared" si="38"/>
        <v>98.310628410078195</v>
      </c>
      <c r="K82" s="21">
        <v>11315553.33</v>
      </c>
      <c r="L82" s="21">
        <v>11906925.060000001</v>
      </c>
      <c r="M82" s="25">
        <f t="shared" si="39"/>
        <v>-4.9666200721011376E-2</v>
      </c>
      <c r="N82" s="10"/>
      <c r="R82" s="2"/>
    </row>
    <row r="83" spans="1:18" ht="15.75" customHeight="1" x14ac:dyDescent="0.25">
      <c r="A83" s="19"/>
      <c r="B83" s="20">
        <f>DATE(2020,11,1)</f>
        <v>44136</v>
      </c>
      <c r="C83" s="21">
        <v>182201</v>
      </c>
      <c r="D83" s="21">
        <v>288956</v>
      </c>
      <c r="E83" s="23">
        <f t="shared" si="35"/>
        <v>-0.36945071221916137</v>
      </c>
      <c r="F83" s="21">
        <f>+C83-83158</f>
        <v>99043</v>
      </c>
      <c r="G83" s="21">
        <f>+D83-131620</f>
        <v>157336</v>
      </c>
      <c r="H83" s="23">
        <f t="shared" si="36"/>
        <v>-0.37050007626989373</v>
      </c>
      <c r="I83" s="24">
        <f t="shared" si="37"/>
        <v>57.958710984023135</v>
      </c>
      <c r="J83" s="24">
        <f t="shared" si="38"/>
        <v>106.62172086871358</v>
      </c>
      <c r="K83" s="21">
        <v>10560135.1</v>
      </c>
      <c r="L83" s="21">
        <v>12108761.949999999</v>
      </c>
      <c r="M83" s="25">
        <f t="shared" si="39"/>
        <v>-0.12789307911037096</v>
      </c>
      <c r="N83" s="10"/>
      <c r="R83" s="2"/>
    </row>
    <row r="84" spans="1:18" ht="15.75" customHeight="1" x14ac:dyDescent="0.25">
      <c r="A84" s="19"/>
      <c r="B84" s="20">
        <f>DATE(2020,12,1)</f>
        <v>44166</v>
      </c>
      <c r="C84" s="21">
        <v>236586</v>
      </c>
      <c r="D84" s="21">
        <v>314814</v>
      </c>
      <c r="E84" s="23">
        <f t="shared" si="35"/>
        <v>-0.24848958432598295</v>
      </c>
      <c r="F84" s="21">
        <f>+C84-114318</f>
        <v>122268</v>
      </c>
      <c r="G84" s="21">
        <f>+D84-147218</f>
        <v>167596</v>
      </c>
      <c r="H84" s="23">
        <f t="shared" si="36"/>
        <v>-0.27045991551111004</v>
      </c>
      <c r="I84" s="24">
        <f t="shared" si="37"/>
        <v>58.413076259795595</v>
      </c>
      <c r="J84" s="24">
        <f t="shared" si="38"/>
        <v>113.02806997742664</v>
      </c>
      <c r="K84" s="21">
        <v>13819716.060000001</v>
      </c>
      <c r="L84" s="21">
        <v>12730914.02</v>
      </c>
      <c r="M84" s="25">
        <f t="shared" si="39"/>
        <v>8.5524263088220989E-2</v>
      </c>
      <c r="N84" s="10"/>
      <c r="R84" s="2"/>
    </row>
    <row r="85" spans="1:18" ht="15.75" customHeight="1" x14ac:dyDescent="0.25">
      <c r="A85" s="19"/>
      <c r="B85" s="20">
        <f>DATE(2021,1,1)</f>
        <v>44197</v>
      </c>
      <c r="C85" s="21">
        <v>267613</v>
      </c>
      <c r="D85" s="21">
        <v>285267</v>
      </c>
      <c r="E85" s="23">
        <f t="shared" si="35"/>
        <v>-6.1885882348817076E-2</v>
      </c>
      <c r="F85" s="21">
        <f>+C85-127713</f>
        <v>139900</v>
      </c>
      <c r="G85" s="21">
        <f>+D85-129272</f>
        <v>155995</v>
      </c>
      <c r="H85" s="23">
        <f t="shared" si="36"/>
        <v>-0.103176383858457</v>
      </c>
      <c r="I85" s="24">
        <f t="shared" si="37"/>
        <v>59.538376274695175</v>
      </c>
      <c r="J85" s="24">
        <f t="shared" si="38"/>
        <v>113.89023223731236</v>
      </c>
      <c r="K85" s="21">
        <v>15933243.49</v>
      </c>
      <c r="L85" s="21">
        <v>12532066.99</v>
      </c>
      <c r="M85" s="25">
        <f t="shared" si="39"/>
        <v>0.27139788693389355</v>
      </c>
      <c r="N85" s="10"/>
      <c r="R85" s="2"/>
    </row>
    <row r="86" spans="1:18" ht="15.75" customHeight="1" thickBot="1" x14ac:dyDescent="0.3">
      <c r="A86" s="19"/>
      <c r="B86" s="45"/>
      <c r="C86" s="21"/>
      <c r="D86" s="21"/>
      <c r="E86" s="23"/>
      <c r="F86" s="21"/>
      <c r="G86" s="21"/>
      <c r="H86" s="23"/>
      <c r="I86" s="24"/>
      <c r="J86" s="24"/>
      <c r="K86" s="21"/>
      <c r="L86" s="21"/>
      <c r="M86" s="25"/>
      <c r="N86" s="10"/>
      <c r="R86" s="2"/>
    </row>
    <row r="87" spans="1:18" ht="17.25" thickTop="1" thickBot="1" x14ac:dyDescent="0.3">
      <c r="A87" s="39" t="s">
        <v>14</v>
      </c>
      <c r="B87" s="40"/>
      <c r="C87" s="41">
        <f>SUM(C79:C86)</f>
        <v>1520385</v>
      </c>
      <c r="D87" s="41">
        <f>SUM(D79:D86)</f>
        <v>2121803</v>
      </c>
      <c r="E87" s="280">
        <f>(+C87-D87)/D87</f>
        <v>-0.28344667247619126</v>
      </c>
      <c r="F87" s="41">
        <f>SUM(F79:F86)</f>
        <v>811685</v>
      </c>
      <c r="G87" s="41">
        <f>SUM(G79:G86)</f>
        <v>1179972</v>
      </c>
      <c r="H87" s="42">
        <f>(+F87-G87)/G87</f>
        <v>-0.31211503323807682</v>
      </c>
      <c r="I87" s="43">
        <f>K87/C87</f>
        <v>57.005103003515551</v>
      </c>
      <c r="J87" s="43">
        <f>K87/F87</f>
        <v>106.77751040120242</v>
      </c>
      <c r="K87" s="41">
        <f>SUM(K79:K86)</f>
        <v>86669703.529999986</v>
      </c>
      <c r="L87" s="41">
        <f>SUM(L79:L86)</f>
        <v>87045972.489999995</v>
      </c>
      <c r="M87" s="44">
        <f>(+K87-L87)/L87</f>
        <v>-4.3226464043840144E-3</v>
      </c>
      <c r="N87" s="10"/>
      <c r="R87" s="2"/>
    </row>
    <row r="88" spans="1:18" ht="15.75" customHeight="1" thickTop="1" x14ac:dyDescent="0.2">
      <c r="A88" s="54"/>
      <c r="B88" s="55"/>
      <c r="C88" s="55"/>
      <c r="D88" s="55"/>
      <c r="E88" s="56"/>
      <c r="F88" s="55"/>
      <c r="G88" s="55"/>
      <c r="H88" s="56"/>
      <c r="I88" s="55"/>
      <c r="J88" s="55"/>
      <c r="K88" s="196"/>
      <c r="L88" s="196"/>
      <c r="M88" s="57"/>
      <c r="N88" s="10"/>
      <c r="R88" s="2"/>
    </row>
    <row r="89" spans="1:18" ht="15.75" customHeight="1" x14ac:dyDescent="0.25">
      <c r="A89" s="19" t="s">
        <v>16</v>
      </c>
      <c r="B89" s="20">
        <f>DATE(2020,7,1)</f>
        <v>44013</v>
      </c>
      <c r="C89" s="21">
        <v>211446</v>
      </c>
      <c r="D89" s="21">
        <v>366609</v>
      </c>
      <c r="E89" s="23">
        <f t="shared" ref="E89:E95" si="40">(+C89-D89)/D89</f>
        <v>-0.42323838203644754</v>
      </c>
      <c r="F89" s="21">
        <f>+C89-102823</f>
        <v>108623</v>
      </c>
      <c r="G89" s="21">
        <f>+D89-178251</f>
        <v>188358</v>
      </c>
      <c r="H89" s="23">
        <f t="shared" ref="H89:H95" si="41">(+F89-G89)/G89</f>
        <v>-0.42331623822720565</v>
      </c>
      <c r="I89" s="24">
        <f t="shared" ref="I89:I95" si="42">K89/C89</f>
        <v>65.394689944477548</v>
      </c>
      <c r="J89" s="24">
        <f t="shared" ref="J89:J95" si="43">K89/F89</f>
        <v>127.29758531802656</v>
      </c>
      <c r="K89" s="21">
        <v>13827445.609999999</v>
      </c>
      <c r="L89" s="21">
        <v>15689376.039999999</v>
      </c>
      <c r="M89" s="25">
        <f t="shared" ref="M89:M95" si="44">(+K89-L89)/L89</f>
        <v>-0.11867460026791478</v>
      </c>
      <c r="N89" s="10"/>
      <c r="R89" s="2"/>
    </row>
    <row r="90" spans="1:18" ht="15.75" customHeight="1" x14ac:dyDescent="0.25">
      <c r="A90" s="19"/>
      <c r="B90" s="20">
        <f>DATE(2020,8,1)</f>
        <v>44044</v>
      </c>
      <c r="C90" s="21">
        <v>225551</v>
      </c>
      <c r="D90" s="21">
        <v>384874</v>
      </c>
      <c r="E90" s="23">
        <f t="shared" si="40"/>
        <v>-0.41396145231946041</v>
      </c>
      <c r="F90" s="21">
        <f>+C90-110461</f>
        <v>115090</v>
      </c>
      <c r="G90" s="21">
        <f>+D90-186167</f>
        <v>198707</v>
      </c>
      <c r="H90" s="23">
        <f t="shared" si="41"/>
        <v>-0.42080550760667718</v>
      </c>
      <c r="I90" s="24">
        <f t="shared" si="42"/>
        <v>63.5922016750092</v>
      </c>
      <c r="J90" s="24">
        <f t="shared" si="43"/>
        <v>124.62668068468155</v>
      </c>
      <c r="K90" s="21">
        <v>14343284.68</v>
      </c>
      <c r="L90" s="21">
        <v>16597532.279999999</v>
      </c>
      <c r="M90" s="25">
        <f t="shared" si="44"/>
        <v>-0.13581823863758136</v>
      </c>
      <c r="N90" s="10"/>
      <c r="R90" s="2"/>
    </row>
    <row r="91" spans="1:18" ht="15.75" customHeight="1" x14ac:dyDescent="0.25">
      <c r="A91" s="19"/>
      <c r="B91" s="20">
        <f>DATE(2020,9,1)</f>
        <v>44075</v>
      </c>
      <c r="C91" s="21">
        <v>224827</v>
      </c>
      <c r="D91" s="21">
        <v>348168</v>
      </c>
      <c r="E91" s="23">
        <f t="shared" si="40"/>
        <v>-0.35425714023115279</v>
      </c>
      <c r="F91" s="21">
        <f>+C91-110393</f>
        <v>114434</v>
      </c>
      <c r="G91" s="21">
        <f>+D91-163347</f>
        <v>184821</v>
      </c>
      <c r="H91" s="23">
        <f t="shared" si="41"/>
        <v>-0.3808387575005005</v>
      </c>
      <c r="I91" s="24">
        <f t="shared" si="42"/>
        <v>60.458002019330422</v>
      </c>
      <c r="J91" s="24">
        <f t="shared" si="43"/>
        <v>118.78105475645351</v>
      </c>
      <c r="K91" s="21">
        <v>13592591.220000001</v>
      </c>
      <c r="L91" s="21">
        <v>15466295.43</v>
      </c>
      <c r="M91" s="25">
        <f t="shared" si="44"/>
        <v>-0.12114757657904114</v>
      </c>
      <c r="N91" s="10"/>
      <c r="R91" s="2"/>
    </row>
    <row r="92" spans="1:18" ht="15.75" customHeight="1" x14ac:dyDescent="0.25">
      <c r="A92" s="19"/>
      <c r="B92" s="20">
        <f>DATE(2020,10,1)</f>
        <v>44105</v>
      </c>
      <c r="C92" s="21">
        <v>236689</v>
      </c>
      <c r="D92" s="21">
        <v>347400</v>
      </c>
      <c r="E92" s="23">
        <f t="shared" si="40"/>
        <v>-0.31868451352907312</v>
      </c>
      <c r="F92" s="21">
        <f>+C92-116990</f>
        <v>119699</v>
      </c>
      <c r="G92" s="21">
        <f>+D92-164019</f>
        <v>183381</v>
      </c>
      <c r="H92" s="23">
        <f t="shared" si="41"/>
        <v>-0.3472660744570048</v>
      </c>
      <c r="I92" s="24">
        <f t="shared" si="42"/>
        <v>61.045766089678864</v>
      </c>
      <c r="J92" s="24">
        <f t="shared" si="43"/>
        <v>120.70995856272818</v>
      </c>
      <c r="K92" s="21">
        <v>14448861.33</v>
      </c>
      <c r="L92" s="21">
        <v>16339837.66</v>
      </c>
      <c r="M92" s="25">
        <f t="shared" si="44"/>
        <v>-0.11572797535370373</v>
      </c>
      <c r="N92" s="10"/>
      <c r="R92" s="2"/>
    </row>
    <row r="93" spans="1:18" ht="15.75" customHeight="1" x14ac:dyDescent="0.25">
      <c r="A93" s="19"/>
      <c r="B93" s="20">
        <f>DATE(2020,11,1)</f>
        <v>44136</v>
      </c>
      <c r="C93" s="21">
        <v>217833</v>
      </c>
      <c r="D93" s="21">
        <v>367906</v>
      </c>
      <c r="E93" s="23">
        <f t="shared" si="40"/>
        <v>-0.4079112599413981</v>
      </c>
      <c r="F93" s="21">
        <f>+C93-108450</f>
        <v>109383</v>
      </c>
      <c r="G93" s="21">
        <f>+D93-173004</f>
        <v>194902</v>
      </c>
      <c r="H93" s="23">
        <f t="shared" si="41"/>
        <v>-0.43877948917917725</v>
      </c>
      <c r="I93" s="24">
        <f t="shared" si="42"/>
        <v>57.771631616880825</v>
      </c>
      <c r="J93" s="24">
        <f t="shared" si="43"/>
        <v>115.05049075267638</v>
      </c>
      <c r="K93" s="21">
        <v>12584567.83</v>
      </c>
      <c r="L93" s="21">
        <v>16579737.300000001</v>
      </c>
      <c r="M93" s="25">
        <f t="shared" si="44"/>
        <v>-0.24096699469418015</v>
      </c>
      <c r="N93" s="10"/>
      <c r="R93" s="2"/>
    </row>
    <row r="94" spans="1:18" ht="15.75" customHeight="1" x14ac:dyDescent="0.25">
      <c r="A94" s="19"/>
      <c r="B94" s="20">
        <f>DATE(2020,12,1)</f>
        <v>44166</v>
      </c>
      <c r="C94" s="21">
        <v>232838</v>
      </c>
      <c r="D94" s="21">
        <v>375779</v>
      </c>
      <c r="E94" s="23">
        <f t="shared" si="40"/>
        <v>-0.3803858118734682</v>
      </c>
      <c r="F94" s="21">
        <f>+C94-115697</f>
        <v>117141</v>
      </c>
      <c r="G94" s="21">
        <f>+D94-181369</f>
        <v>194410</v>
      </c>
      <c r="H94" s="23">
        <f t="shared" si="41"/>
        <v>-0.39745383467928602</v>
      </c>
      <c r="I94" s="24">
        <f t="shared" si="42"/>
        <v>60.641073922641489</v>
      </c>
      <c r="J94" s="24">
        <f t="shared" si="43"/>
        <v>120.53462382940216</v>
      </c>
      <c r="K94" s="21">
        <v>14119546.369999999</v>
      </c>
      <c r="L94" s="21">
        <v>15685280.15</v>
      </c>
      <c r="M94" s="25">
        <f t="shared" si="44"/>
        <v>-9.9821856226138317E-2</v>
      </c>
      <c r="N94" s="10"/>
      <c r="R94" s="2"/>
    </row>
    <row r="95" spans="1:18" ht="15.75" customHeight="1" x14ac:dyDescent="0.25">
      <c r="A95" s="19"/>
      <c r="B95" s="20">
        <f>DATE(2021,1,1)</f>
        <v>44197</v>
      </c>
      <c r="C95" s="21">
        <v>260524</v>
      </c>
      <c r="D95" s="21">
        <v>330613</v>
      </c>
      <c r="E95" s="23">
        <f t="shared" si="40"/>
        <v>-0.211997108401666</v>
      </c>
      <c r="F95" s="21">
        <f>+C95-129652</f>
        <v>130872</v>
      </c>
      <c r="G95" s="21">
        <f>+D95-158076</f>
        <v>172537</v>
      </c>
      <c r="H95" s="23">
        <f t="shared" si="41"/>
        <v>-0.24148443522258994</v>
      </c>
      <c r="I95" s="24">
        <f t="shared" si="42"/>
        <v>60.423358462176225</v>
      </c>
      <c r="J95" s="24">
        <f t="shared" si="43"/>
        <v>120.28344519836175</v>
      </c>
      <c r="K95" s="21">
        <v>15741735.039999999</v>
      </c>
      <c r="L95" s="21">
        <v>15064884.390000001</v>
      </c>
      <c r="M95" s="25">
        <f t="shared" si="44"/>
        <v>4.4929030484249108E-2</v>
      </c>
      <c r="N95" s="10"/>
      <c r="R95" s="2"/>
    </row>
    <row r="96" spans="1:18" ht="15.75" customHeight="1" thickBot="1" x14ac:dyDescent="0.3">
      <c r="A96" s="19"/>
      <c r="B96" s="45"/>
      <c r="C96" s="21"/>
      <c r="D96" s="21"/>
      <c r="E96" s="23"/>
      <c r="F96" s="21"/>
      <c r="G96" s="21"/>
      <c r="H96" s="23"/>
      <c r="I96" s="24"/>
      <c r="J96" s="24"/>
      <c r="K96" s="21"/>
      <c r="L96" s="21"/>
      <c r="M96" s="25"/>
      <c r="N96" s="10"/>
      <c r="R96" s="2"/>
    </row>
    <row r="97" spans="1:18" ht="17.25" thickTop="1" thickBot="1" x14ac:dyDescent="0.3">
      <c r="A97" s="39" t="s">
        <v>14</v>
      </c>
      <c r="B97" s="40"/>
      <c r="C97" s="41">
        <f>SUM(C89:C96)</f>
        <v>1609708</v>
      </c>
      <c r="D97" s="41">
        <f>SUM(D89:D96)</f>
        <v>2521349</v>
      </c>
      <c r="E97" s="280">
        <f>(+C97-D97)/D97</f>
        <v>-0.36156874752364704</v>
      </c>
      <c r="F97" s="41">
        <f>SUM(F89:F96)</f>
        <v>815242</v>
      </c>
      <c r="G97" s="41">
        <f>SUM(G89:G96)</f>
        <v>1317116</v>
      </c>
      <c r="H97" s="42">
        <f>(+F97-G97)/G97</f>
        <v>-0.38104009062223826</v>
      </c>
      <c r="I97" s="43">
        <f>K97/C97</f>
        <v>61.289396635911615</v>
      </c>
      <c r="J97" s="43">
        <f>K97/F97</f>
        <v>121.01686625566398</v>
      </c>
      <c r="K97" s="41">
        <f>SUM(K89:K96)</f>
        <v>98658032.080000013</v>
      </c>
      <c r="L97" s="41">
        <f>SUM(L89:L96)</f>
        <v>111422943.25</v>
      </c>
      <c r="M97" s="44">
        <f>(+K97-L97)/L97</f>
        <v>-0.11456268159565051</v>
      </c>
      <c r="N97" s="10"/>
      <c r="R97" s="2"/>
    </row>
    <row r="98" spans="1:18" ht="15.75" customHeight="1" thickTop="1" x14ac:dyDescent="0.2">
      <c r="A98" s="54"/>
      <c r="B98" s="55"/>
      <c r="C98" s="55"/>
      <c r="D98" s="55"/>
      <c r="E98" s="56"/>
      <c r="F98" s="55"/>
      <c r="G98" s="55"/>
      <c r="H98" s="56"/>
      <c r="I98" s="55"/>
      <c r="J98" s="55"/>
      <c r="K98" s="196"/>
      <c r="L98" s="196"/>
      <c r="M98" s="57"/>
      <c r="N98" s="10"/>
      <c r="R98" s="2"/>
    </row>
    <row r="99" spans="1:18" ht="15.75" customHeight="1" x14ac:dyDescent="0.25">
      <c r="A99" s="19" t="s">
        <v>54</v>
      </c>
      <c r="B99" s="20">
        <f>DATE(2020,7,1)</f>
        <v>44013</v>
      </c>
      <c r="C99" s="21">
        <v>223492</v>
      </c>
      <c r="D99" s="21">
        <v>420137</v>
      </c>
      <c r="E99" s="23">
        <f t="shared" ref="E99:E105" si="45">(+C99-D99)/D99</f>
        <v>-0.46804970759537962</v>
      </c>
      <c r="F99" s="21">
        <f>+C99-109534</f>
        <v>113958</v>
      </c>
      <c r="G99" s="21">
        <f>+D99-190250</f>
        <v>229887</v>
      </c>
      <c r="H99" s="23">
        <f t="shared" ref="H99:H105" si="46">(+F99-G99)/G99</f>
        <v>-0.50428688877578987</v>
      </c>
      <c r="I99" s="24">
        <f t="shared" ref="I99:I105" si="47">K99/C99</f>
        <v>67.284607413240749</v>
      </c>
      <c r="J99" s="24">
        <f t="shared" ref="J99:J105" si="48">K99/F99</f>
        <v>131.9571375419014</v>
      </c>
      <c r="K99" s="21">
        <v>15037571.48</v>
      </c>
      <c r="L99" s="21">
        <v>18224766.800000001</v>
      </c>
      <c r="M99" s="25">
        <f t="shared" ref="M99:M105" si="49">(+K99-L99)/L99</f>
        <v>-0.17488263937621415</v>
      </c>
      <c r="N99" s="10"/>
      <c r="R99" s="2"/>
    </row>
    <row r="100" spans="1:18" ht="15.75" customHeight="1" x14ac:dyDescent="0.25">
      <c r="A100" s="19"/>
      <c r="B100" s="20">
        <f>DATE(2020,8,1)</f>
        <v>44044</v>
      </c>
      <c r="C100" s="21">
        <v>243172</v>
      </c>
      <c r="D100" s="21">
        <v>436427</v>
      </c>
      <c r="E100" s="23">
        <f t="shared" si="45"/>
        <v>-0.44281174171167226</v>
      </c>
      <c r="F100" s="21">
        <f>+C100-117936</f>
        <v>125236</v>
      </c>
      <c r="G100" s="21">
        <f>+D100-195454</f>
        <v>240973</v>
      </c>
      <c r="H100" s="23">
        <f t="shared" si="46"/>
        <v>-0.48029032298224283</v>
      </c>
      <c r="I100" s="24">
        <f t="shared" si="47"/>
        <v>65.227788561183033</v>
      </c>
      <c r="J100" s="24">
        <f t="shared" si="48"/>
        <v>126.65345268133764</v>
      </c>
      <c r="K100" s="21">
        <v>15861571.800000001</v>
      </c>
      <c r="L100" s="21">
        <v>19518295.300000001</v>
      </c>
      <c r="M100" s="25">
        <f t="shared" si="49"/>
        <v>-0.18734850783818194</v>
      </c>
      <c r="N100" s="10"/>
      <c r="R100" s="2"/>
    </row>
    <row r="101" spans="1:18" ht="15.75" customHeight="1" x14ac:dyDescent="0.25">
      <c r="A101" s="19"/>
      <c r="B101" s="20">
        <f>DATE(2020,9,1)</f>
        <v>44075</v>
      </c>
      <c r="C101" s="21">
        <v>258989</v>
      </c>
      <c r="D101" s="21">
        <v>419890</v>
      </c>
      <c r="E101" s="23">
        <f t="shared" si="45"/>
        <v>-0.38319798042344422</v>
      </c>
      <c r="F101" s="21">
        <f>+C101-126754</f>
        <v>132235</v>
      </c>
      <c r="G101" s="21">
        <f>+D101-187135</f>
        <v>232755</v>
      </c>
      <c r="H101" s="23">
        <f t="shared" si="46"/>
        <v>-0.43187042168804107</v>
      </c>
      <c r="I101" s="24">
        <f t="shared" si="47"/>
        <v>63.346609122395158</v>
      </c>
      <c r="J101" s="24">
        <f t="shared" si="48"/>
        <v>124.06756872235036</v>
      </c>
      <c r="K101" s="21">
        <v>16406074.949999999</v>
      </c>
      <c r="L101" s="21">
        <v>18459322.530000001</v>
      </c>
      <c r="M101" s="25">
        <f t="shared" si="49"/>
        <v>-0.11123092825660714</v>
      </c>
      <c r="N101" s="10"/>
      <c r="R101" s="2"/>
    </row>
    <row r="102" spans="1:18" ht="15.75" customHeight="1" x14ac:dyDescent="0.25">
      <c r="A102" s="19"/>
      <c r="B102" s="20">
        <f>DATE(2020,10,1)</f>
        <v>44105</v>
      </c>
      <c r="C102" s="21">
        <v>272659</v>
      </c>
      <c r="D102" s="21">
        <v>422307</v>
      </c>
      <c r="E102" s="23">
        <f t="shared" si="45"/>
        <v>-0.3543583222631877</v>
      </c>
      <c r="F102" s="21">
        <f>+C102-130567</f>
        <v>142092</v>
      </c>
      <c r="G102" s="21">
        <f>+D102-185957</f>
        <v>236350</v>
      </c>
      <c r="H102" s="23">
        <f t="shared" si="46"/>
        <v>-0.39880685424159085</v>
      </c>
      <c r="I102" s="24">
        <f t="shared" si="47"/>
        <v>60.090470587803807</v>
      </c>
      <c r="J102" s="24">
        <f t="shared" si="48"/>
        <v>115.30703783464234</v>
      </c>
      <c r="K102" s="21">
        <v>16384207.619999999</v>
      </c>
      <c r="L102" s="21">
        <v>18621742.489999998</v>
      </c>
      <c r="M102" s="25">
        <f t="shared" si="49"/>
        <v>-0.12015711586612104</v>
      </c>
      <c r="N102" s="10"/>
      <c r="R102" s="2"/>
    </row>
    <row r="103" spans="1:18" ht="15.75" customHeight="1" x14ac:dyDescent="0.25">
      <c r="A103" s="19"/>
      <c r="B103" s="20">
        <f>DATE(2020,11,1)</f>
        <v>44136</v>
      </c>
      <c r="C103" s="21">
        <v>229316</v>
      </c>
      <c r="D103" s="21">
        <v>434809</v>
      </c>
      <c r="E103" s="23">
        <f t="shared" si="45"/>
        <v>-0.4726052128635792</v>
      </c>
      <c r="F103" s="21">
        <f>+C103-112072</f>
        <v>117244</v>
      </c>
      <c r="G103" s="21">
        <f>+D103-195397</f>
        <v>239412</v>
      </c>
      <c r="H103" s="23">
        <f t="shared" si="46"/>
        <v>-0.51028352797687671</v>
      </c>
      <c r="I103" s="24">
        <f t="shared" si="47"/>
        <v>63.174358483490032</v>
      </c>
      <c r="J103" s="24">
        <f t="shared" si="48"/>
        <v>123.56189817815837</v>
      </c>
      <c r="K103" s="21">
        <v>14486891.189999999</v>
      </c>
      <c r="L103" s="21">
        <v>19750307.149999999</v>
      </c>
      <c r="M103" s="25">
        <f t="shared" si="49"/>
        <v>-0.26649792937524008</v>
      </c>
      <c r="N103" s="10"/>
      <c r="R103" s="2"/>
    </row>
    <row r="104" spans="1:18" ht="15.75" customHeight="1" x14ac:dyDescent="0.25">
      <c r="A104" s="19"/>
      <c r="B104" s="20">
        <f>DATE(2020,12,1)</f>
        <v>44166</v>
      </c>
      <c r="C104" s="21">
        <v>224469</v>
      </c>
      <c r="D104" s="21">
        <v>424920</v>
      </c>
      <c r="E104" s="23">
        <f t="shared" si="45"/>
        <v>-0.47173820954532619</v>
      </c>
      <c r="F104" s="21">
        <f>+C104-110658</f>
        <v>113811</v>
      </c>
      <c r="G104" s="21">
        <f>+D104-195550</f>
        <v>229370</v>
      </c>
      <c r="H104" s="23">
        <f t="shared" si="46"/>
        <v>-0.5038104372847364</v>
      </c>
      <c r="I104" s="24">
        <f t="shared" si="47"/>
        <v>62.790052479406953</v>
      </c>
      <c r="J104" s="24">
        <f t="shared" si="48"/>
        <v>123.84058034812099</v>
      </c>
      <c r="K104" s="21">
        <v>14094420.289999999</v>
      </c>
      <c r="L104" s="21">
        <v>19938989.449999999</v>
      </c>
      <c r="M104" s="25">
        <f t="shared" si="49"/>
        <v>-0.29312263666401611</v>
      </c>
      <c r="N104" s="10"/>
      <c r="R104" s="2"/>
    </row>
    <row r="105" spans="1:18" ht="15.75" customHeight="1" x14ac:dyDescent="0.25">
      <c r="A105" s="19"/>
      <c r="B105" s="20">
        <f>DATE(2021,1,1)</f>
        <v>44197</v>
      </c>
      <c r="C105" s="21">
        <v>245222</v>
      </c>
      <c r="D105" s="21">
        <v>412725</v>
      </c>
      <c r="E105" s="23">
        <f t="shared" si="45"/>
        <v>-0.40584650796535221</v>
      </c>
      <c r="F105" s="21">
        <f>+C105-119074</f>
        <v>126148</v>
      </c>
      <c r="G105" s="21">
        <f>+D105-198485</f>
        <v>214240</v>
      </c>
      <c r="H105" s="23">
        <f t="shared" si="46"/>
        <v>-0.41118371919342794</v>
      </c>
      <c r="I105" s="24">
        <f t="shared" si="47"/>
        <v>63.978734248966241</v>
      </c>
      <c r="J105" s="24">
        <f t="shared" si="48"/>
        <v>124.36973372546532</v>
      </c>
      <c r="K105" s="21">
        <v>15688993.17</v>
      </c>
      <c r="L105" s="21">
        <v>18939147.039999999</v>
      </c>
      <c r="M105" s="25">
        <f t="shared" si="49"/>
        <v>-0.17161036149809625</v>
      </c>
      <c r="N105" s="10"/>
      <c r="R105" s="2"/>
    </row>
    <row r="106" spans="1:18" ht="15.75" customHeight="1" thickBot="1" x14ac:dyDescent="0.3">
      <c r="A106" s="19"/>
      <c r="B106" s="45"/>
      <c r="C106" s="21"/>
      <c r="D106" s="21"/>
      <c r="E106" s="23"/>
      <c r="F106" s="21"/>
      <c r="G106" s="21"/>
      <c r="H106" s="23"/>
      <c r="I106" s="24"/>
      <c r="J106" s="24"/>
      <c r="K106" s="21"/>
      <c r="L106" s="21"/>
      <c r="M106" s="25"/>
      <c r="N106" s="10"/>
      <c r="R106" s="2"/>
    </row>
    <row r="107" spans="1:18" ht="17.25" thickTop="1" thickBot="1" x14ac:dyDescent="0.3">
      <c r="A107" s="39" t="s">
        <v>14</v>
      </c>
      <c r="B107" s="40"/>
      <c r="C107" s="41">
        <f>SUM(C99:C106)</f>
        <v>1697319</v>
      </c>
      <c r="D107" s="41">
        <f>SUM(D99:D106)</f>
        <v>2971215</v>
      </c>
      <c r="E107" s="280">
        <f>(+C107-D107)/D107</f>
        <v>-0.42874581610553258</v>
      </c>
      <c r="F107" s="41">
        <f>SUM(F99:F106)</f>
        <v>870724</v>
      </c>
      <c r="G107" s="41">
        <f>SUM(G99:G106)</f>
        <v>1622987</v>
      </c>
      <c r="H107" s="42">
        <f>(+F107-G107)/G107</f>
        <v>-0.4635052529687545</v>
      </c>
      <c r="I107" s="43">
        <f>K107/C107</f>
        <v>63.606034281122177</v>
      </c>
      <c r="J107" s="43">
        <f>K107/F107</f>
        <v>123.98846304914073</v>
      </c>
      <c r="K107" s="41">
        <f>SUM(K99:K106)</f>
        <v>107959730.50000001</v>
      </c>
      <c r="L107" s="41">
        <f>SUM(L99:L106)</f>
        <v>133452570.76000002</v>
      </c>
      <c r="M107" s="44">
        <f>(+K107-L107)/L107</f>
        <v>-0.19102547155757768</v>
      </c>
      <c r="N107" s="10"/>
      <c r="R107" s="2"/>
    </row>
    <row r="108" spans="1:18" ht="15.75" customHeight="1" thickTop="1" x14ac:dyDescent="0.2">
      <c r="A108" s="58"/>
      <c r="B108" s="59"/>
      <c r="C108" s="59"/>
      <c r="D108" s="59"/>
      <c r="E108" s="60"/>
      <c r="F108" s="59"/>
      <c r="G108" s="59"/>
      <c r="H108" s="60"/>
      <c r="I108" s="59"/>
      <c r="J108" s="59"/>
      <c r="K108" s="197"/>
      <c r="L108" s="197"/>
      <c r="M108" s="61"/>
      <c r="N108" s="10"/>
      <c r="R108" s="2"/>
    </row>
    <row r="109" spans="1:18" ht="15" customHeight="1" x14ac:dyDescent="0.25">
      <c r="A109" s="19" t="s">
        <v>55</v>
      </c>
      <c r="B109" s="20">
        <f>DATE(2020,7,1)</f>
        <v>44013</v>
      </c>
      <c r="C109" s="21">
        <v>43226</v>
      </c>
      <c r="D109" s="21">
        <v>61327</v>
      </c>
      <c r="E109" s="23">
        <f t="shared" ref="E109:E115" si="50">(+C109-D109)/D109</f>
        <v>-0.29515547801131636</v>
      </c>
      <c r="F109" s="21">
        <f>+C109-22161</f>
        <v>21065</v>
      </c>
      <c r="G109" s="21">
        <f>+D109-29380</f>
        <v>31947</v>
      </c>
      <c r="H109" s="23">
        <f t="shared" ref="H109:H115" si="51">(+F109-G109)/G109</f>
        <v>-0.34062666291044541</v>
      </c>
      <c r="I109" s="24">
        <f t="shared" ref="I109:I115" si="52">K109/C109</f>
        <v>68.785856891685569</v>
      </c>
      <c r="J109" s="24">
        <f t="shared" ref="J109:J115" si="53">K109/F109</f>
        <v>141.15060289579873</v>
      </c>
      <c r="K109" s="21">
        <v>2973337.45</v>
      </c>
      <c r="L109" s="21">
        <v>2748922.94</v>
      </c>
      <c r="M109" s="25">
        <f t="shared" ref="M109:M115" si="54">(+K109-L109)/L109</f>
        <v>8.1637250260642169E-2</v>
      </c>
      <c r="N109" s="10"/>
      <c r="R109" s="2"/>
    </row>
    <row r="110" spans="1:18" ht="15" customHeight="1" x14ac:dyDescent="0.25">
      <c r="A110" s="19"/>
      <c r="B110" s="20">
        <f>DATE(2020,8,1)</f>
        <v>44044</v>
      </c>
      <c r="C110" s="21">
        <v>46706</v>
      </c>
      <c r="D110" s="21">
        <v>62887</v>
      </c>
      <c r="E110" s="23">
        <f t="shared" si="50"/>
        <v>-0.25730278117894001</v>
      </c>
      <c r="F110" s="21">
        <f>+C110-23797</f>
        <v>22909</v>
      </c>
      <c r="G110" s="21">
        <f>+D110-30695</f>
        <v>32192</v>
      </c>
      <c r="H110" s="23">
        <f t="shared" si="51"/>
        <v>-0.28836356858846918</v>
      </c>
      <c r="I110" s="24">
        <f t="shared" si="52"/>
        <v>65.788545797113855</v>
      </c>
      <c r="J110" s="24">
        <f t="shared" si="53"/>
        <v>134.12719106028197</v>
      </c>
      <c r="K110" s="21">
        <v>3072719.82</v>
      </c>
      <c r="L110" s="21">
        <v>2960495.62</v>
      </c>
      <c r="M110" s="25">
        <f t="shared" si="54"/>
        <v>3.7907233924568254E-2</v>
      </c>
      <c r="N110" s="10"/>
      <c r="R110" s="2"/>
    </row>
    <row r="111" spans="1:18" ht="15" customHeight="1" x14ac:dyDescent="0.25">
      <c r="A111" s="19"/>
      <c r="B111" s="20">
        <f>DATE(2020,9,1)</f>
        <v>44075</v>
      </c>
      <c r="C111" s="21">
        <v>44655</v>
      </c>
      <c r="D111" s="21">
        <v>59108</v>
      </c>
      <c r="E111" s="23">
        <f t="shared" si="50"/>
        <v>-0.24451850849292819</v>
      </c>
      <c r="F111" s="21">
        <f>+C111-22941</f>
        <v>21714</v>
      </c>
      <c r="G111" s="21">
        <f>+D111-28508</f>
        <v>30600</v>
      </c>
      <c r="H111" s="23">
        <f t="shared" si="51"/>
        <v>-0.29039215686274511</v>
      </c>
      <c r="I111" s="24">
        <f t="shared" si="52"/>
        <v>63.064807748292466</v>
      </c>
      <c r="J111" s="24">
        <f t="shared" si="53"/>
        <v>129.69323892419638</v>
      </c>
      <c r="K111" s="21">
        <v>2816158.99</v>
      </c>
      <c r="L111" s="21">
        <v>2697791.52</v>
      </c>
      <c r="M111" s="25">
        <f t="shared" si="54"/>
        <v>4.3875692069786108E-2</v>
      </c>
      <c r="N111" s="10"/>
      <c r="R111" s="2"/>
    </row>
    <row r="112" spans="1:18" ht="15" customHeight="1" x14ac:dyDescent="0.25">
      <c r="A112" s="19"/>
      <c r="B112" s="20">
        <f>DATE(2020,10,1)</f>
        <v>44105</v>
      </c>
      <c r="C112" s="21">
        <v>42403</v>
      </c>
      <c r="D112" s="21">
        <v>56197</v>
      </c>
      <c r="E112" s="23">
        <f t="shared" si="50"/>
        <v>-0.24545794259480044</v>
      </c>
      <c r="F112" s="21">
        <f>+C112-22277</f>
        <v>20126</v>
      </c>
      <c r="G112" s="21">
        <f>+D112-27661</f>
        <v>28536</v>
      </c>
      <c r="H112" s="23">
        <f t="shared" si="51"/>
        <v>-0.29471544715447157</v>
      </c>
      <c r="I112" s="24">
        <f t="shared" si="52"/>
        <v>67.736065136900692</v>
      </c>
      <c r="J112" s="24">
        <f t="shared" si="53"/>
        <v>142.71153582430688</v>
      </c>
      <c r="K112" s="21">
        <v>2872212.37</v>
      </c>
      <c r="L112" s="21">
        <v>2815045.18</v>
      </c>
      <c r="M112" s="25">
        <f t="shared" si="54"/>
        <v>2.0307734457036295E-2</v>
      </c>
      <c r="N112" s="10"/>
      <c r="R112" s="2"/>
    </row>
    <row r="113" spans="1:18" ht="15" customHeight="1" x14ac:dyDescent="0.25">
      <c r="A113" s="19"/>
      <c r="B113" s="20">
        <f>DATE(2020,11,1)</f>
        <v>44136</v>
      </c>
      <c r="C113" s="21">
        <v>37816</v>
      </c>
      <c r="D113" s="21">
        <v>56040</v>
      </c>
      <c r="E113" s="23">
        <f t="shared" si="50"/>
        <v>-0.32519628836545322</v>
      </c>
      <c r="F113" s="21">
        <f>+C113-19316</f>
        <v>18500</v>
      </c>
      <c r="G113" s="21">
        <f>+D113-27978</f>
        <v>28062</v>
      </c>
      <c r="H113" s="23">
        <f t="shared" si="51"/>
        <v>-0.34074549212458127</v>
      </c>
      <c r="I113" s="24">
        <f t="shared" si="52"/>
        <v>70.016627882377819</v>
      </c>
      <c r="J113" s="24">
        <f t="shared" si="53"/>
        <v>143.12155675675675</v>
      </c>
      <c r="K113" s="21">
        <v>2647748.7999999998</v>
      </c>
      <c r="L113" s="21">
        <v>2921369.96</v>
      </c>
      <c r="M113" s="25">
        <f t="shared" si="54"/>
        <v>-9.3661933868862041E-2</v>
      </c>
      <c r="N113" s="10"/>
      <c r="R113" s="2"/>
    </row>
    <row r="114" spans="1:18" ht="15" customHeight="1" x14ac:dyDescent="0.25">
      <c r="A114" s="19"/>
      <c r="B114" s="20">
        <f>DATE(2020,12,1)</f>
        <v>44166</v>
      </c>
      <c r="C114" s="21">
        <v>48198</v>
      </c>
      <c r="D114" s="21">
        <v>57797</v>
      </c>
      <c r="E114" s="23">
        <f t="shared" si="50"/>
        <v>-0.16608128449573506</v>
      </c>
      <c r="F114" s="21">
        <f>+C114-24463</f>
        <v>23735</v>
      </c>
      <c r="G114" s="21">
        <f>+D114-28840</f>
        <v>28957</v>
      </c>
      <c r="H114" s="23">
        <f t="shared" si="51"/>
        <v>-0.18033636081085747</v>
      </c>
      <c r="I114" s="24">
        <f t="shared" si="52"/>
        <v>68.945855222208394</v>
      </c>
      <c r="J114" s="24">
        <f t="shared" si="53"/>
        <v>140.00641794817781</v>
      </c>
      <c r="K114" s="21">
        <v>3323052.33</v>
      </c>
      <c r="L114" s="21">
        <v>2789521.62</v>
      </c>
      <c r="M114" s="25">
        <f t="shared" si="54"/>
        <v>0.1912624394716109</v>
      </c>
      <c r="N114" s="10"/>
      <c r="R114" s="2"/>
    </row>
    <row r="115" spans="1:18" ht="15" customHeight="1" x14ac:dyDescent="0.25">
      <c r="A115" s="19"/>
      <c r="B115" s="20">
        <f>DATE(2021,1,1)</f>
        <v>44197</v>
      </c>
      <c r="C115" s="21">
        <v>49456</v>
      </c>
      <c r="D115" s="21">
        <v>48934</v>
      </c>
      <c r="E115" s="23">
        <f t="shared" si="50"/>
        <v>1.0667429599051785E-2</v>
      </c>
      <c r="F115" s="21">
        <f>+C115-25797</f>
        <v>23659</v>
      </c>
      <c r="G115" s="21">
        <f>+D115-24962</f>
        <v>23972</v>
      </c>
      <c r="H115" s="23">
        <f t="shared" si="51"/>
        <v>-1.3056899716335725E-2</v>
      </c>
      <c r="I115" s="24">
        <f t="shared" si="52"/>
        <v>70.99026670171466</v>
      </c>
      <c r="J115" s="24">
        <f t="shared" si="53"/>
        <v>148.39573227947082</v>
      </c>
      <c r="K115" s="21">
        <v>3510894.63</v>
      </c>
      <c r="L115" s="21">
        <v>2557164.2999999998</v>
      </c>
      <c r="M115" s="25">
        <f t="shared" si="54"/>
        <v>0.37296404067583772</v>
      </c>
      <c r="N115" s="10"/>
      <c r="R115" s="2"/>
    </row>
    <row r="116" spans="1:18" ht="15.75" thickBot="1" x14ac:dyDescent="0.25">
      <c r="A116" s="38"/>
      <c r="B116" s="20"/>
      <c r="C116" s="21"/>
      <c r="D116" s="21"/>
      <c r="E116" s="23"/>
      <c r="F116" s="21"/>
      <c r="G116" s="21"/>
      <c r="H116" s="23"/>
      <c r="I116" s="24"/>
      <c r="J116" s="24"/>
      <c r="K116" s="21"/>
      <c r="L116" s="21"/>
      <c r="M116" s="25"/>
      <c r="N116" s="10"/>
      <c r="R116" s="2"/>
    </row>
    <row r="117" spans="1:18" ht="17.25" thickTop="1" thickBot="1" x14ac:dyDescent="0.3">
      <c r="A117" s="62" t="s">
        <v>14</v>
      </c>
      <c r="B117" s="52"/>
      <c r="C117" s="48">
        <f>SUM(C109:C116)</f>
        <v>312460</v>
      </c>
      <c r="D117" s="48">
        <f>SUM(D109:D116)</f>
        <v>402290</v>
      </c>
      <c r="E117" s="280">
        <f>(+C117-D117)/D117</f>
        <v>-0.22329662681150414</v>
      </c>
      <c r="F117" s="48">
        <f>SUM(F109:F116)</f>
        <v>151708</v>
      </c>
      <c r="G117" s="48">
        <f>SUM(G109:G116)</f>
        <v>204266</v>
      </c>
      <c r="H117" s="42">
        <f>(+F117-G117)/G117</f>
        <v>-0.25730175359580154</v>
      </c>
      <c r="I117" s="50">
        <f>K117/C117</f>
        <v>67.900289285028478</v>
      </c>
      <c r="J117" s="50">
        <f>K117/F117</f>
        <v>139.84842190260235</v>
      </c>
      <c r="K117" s="48">
        <f>SUM(K109:K116)</f>
        <v>21216124.389999997</v>
      </c>
      <c r="L117" s="48">
        <f>SUM(L109:L116)</f>
        <v>19490311.140000001</v>
      </c>
      <c r="M117" s="44">
        <f>(+K117-L117)/L117</f>
        <v>8.8547239579880629E-2</v>
      </c>
      <c r="N117" s="10"/>
      <c r="R117" s="2"/>
    </row>
    <row r="118" spans="1:18" ht="15.75" customHeight="1" thickTop="1" x14ac:dyDescent="0.25">
      <c r="A118" s="19"/>
      <c r="B118" s="45"/>
      <c r="C118" s="21"/>
      <c r="D118" s="21"/>
      <c r="E118" s="23"/>
      <c r="F118" s="21"/>
      <c r="G118" s="21"/>
      <c r="H118" s="23"/>
      <c r="I118" s="24"/>
      <c r="J118" s="24"/>
      <c r="K118" s="21"/>
      <c r="L118" s="21"/>
      <c r="M118" s="25"/>
      <c r="N118" s="10"/>
      <c r="R118" s="2"/>
    </row>
    <row r="119" spans="1:18" ht="15.75" x14ac:dyDescent="0.25">
      <c r="A119" s="19" t="s">
        <v>17</v>
      </c>
      <c r="B119" s="20">
        <f>DATE(2020,7,1)</f>
        <v>44013</v>
      </c>
      <c r="C119" s="21">
        <v>316439</v>
      </c>
      <c r="D119" s="21">
        <v>447474</v>
      </c>
      <c r="E119" s="23">
        <f t="shared" ref="E119:E125" si="55">(+C119-D119)/D119</f>
        <v>-0.29283265619901938</v>
      </c>
      <c r="F119" s="21">
        <f>+C119-163690</f>
        <v>152749</v>
      </c>
      <c r="G119" s="21">
        <f>+D119-208413</f>
        <v>239061</v>
      </c>
      <c r="H119" s="23">
        <f t="shared" ref="H119:H125" si="56">(+F119-G119)/G119</f>
        <v>-0.36104592551691828</v>
      </c>
      <c r="I119" s="24">
        <f t="shared" ref="I119:I125" si="57">K119/C119</f>
        <v>71.817670419891343</v>
      </c>
      <c r="J119" s="24">
        <f t="shared" ref="J119:J125" si="58">K119/F119</f>
        <v>148.77944739409094</v>
      </c>
      <c r="K119" s="21">
        <v>22725911.809999999</v>
      </c>
      <c r="L119" s="21">
        <v>22798067.890000001</v>
      </c>
      <c r="M119" s="25">
        <f t="shared" ref="M119:M125" si="59">(+K119-L119)/L119</f>
        <v>-3.1650085589775799E-3</v>
      </c>
      <c r="N119" s="10"/>
      <c r="R119" s="2"/>
    </row>
    <row r="120" spans="1:18" ht="15.75" x14ac:dyDescent="0.25">
      <c r="A120" s="19"/>
      <c r="B120" s="20">
        <f>DATE(2020,8,1)</f>
        <v>44044</v>
      </c>
      <c r="C120" s="21">
        <v>305395</v>
      </c>
      <c r="D120" s="21">
        <v>463395</v>
      </c>
      <c r="E120" s="23">
        <f t="shared" si="55"/>
        <v>-0.34096181443476947</v>
      </c>
      <c r="F120" s="21">
        <f>+C120-155433</f>
        <v>149962</v>
      </c>
      <c r="G120" s="21">
        <f>+D120-219743</f>
        <v>243652</v>
      </c>
      <c r="H120" s="23">
        <f t="shared" si="56"/>
        <v>-0.38452382906768667</v>
      </c>
      <c r="I120" s="24">
        <f t="shared" si="57"/>
        <v>68.028956891894097</v>
      </c>
      <c r="J120" s="24">
        <f t="shared" si="58"/>
        <v>138.53978534562088</v>
      </c>
      <c r="K120" s="21">
        <v>20775703.289999999</v>
      </c>
      <c r="L120" s="21">
        <v>23200828.350000001</v>
      </c>
      <c r="M120" s="25">
        <f t="shared" si="59"/>
        <v>-0.10452752045812201</v>
      </c>
      <c r="N120" s="10"/>
      <c r="R120" s="2"/>
    </row>
    <row r="121" spans="1:18" ht="15.75" x14ac:dyDescent="0.25">
      <c r="A121" s="19"/>
      <c r="B121" s="20">
        <f>DATE(2020,9,1)</f>
        <v>44075</v>
      </c>
      <c r="C121" s="21">
        <v>318330</v>
      </c>
      <c r="D121" s="21">
        <v>425892</v>
      </c>
      <c r="E121" s="23">
        <f t="shared" si="55"/>
        <v>-0.25255698627821138</v>
      </c>
      <c r="F121" s="21">
        <f>+C121-166686</f>
        <v>151644</v>
      </c>
      <c r="G121" s="21">
        <f>+D121-202215</f>
        <v>223677</v>
      </c>
      <c r="H121" s="23">
        <f t="shared" si="56"/>
        <v>-0.32204026341555009</v>
      </c>
      <c r="I121" s="24">
        <f t="shared" si="57"/>
        <v>64.07588870040523</v>
      </c>
      <c r="J121" s="24">
        <f t="shared" si="58"/>
        <v>134.50764718683232</v>
      </c>
      <c r="K121" s="21">
        <v>20397277.649999999</v>
      </c>
      <c r="L121" s="21">
        <v>21530902.170000002</v>
      </c>
      <c r="M121" s="25">
        <f t="shared" si="59"/>
        <v>-5.2651045973332901E-2</v>
      </c>
      <c r="N121" s="10"/>
      <c r="R121" s="2"/>
    </row>
    <row r="122" spans="1:18" ht="15.75" x14ac:dyDescent="0.25">
      <c r="A122" s="19"/>
      <c r="B122" s="20">
        <f>DATE(2020,10,1)</f>
        <v>44105</v>
      </c>
      <c r="C122" s="21">
        <v>335355</v>
      </c>
      <c r="D122" s="21">
        <v>405696</v>
      </c>
      <c r="E122" s="23">
        <f t="shared" si="55"/>
        <v>-0.17338351869380028</v>
      </c>
      <c r="F122" s="21">
        <f>+C122-175973</f>
        <v>159382</v>
      </c>
      <c r="G122" s="21">
        <f>+D122-186355</f>
        <v>219341</v>
      </c>
      <c r="H122" s="23">
        <f t="shared" si="56"/>
        <v>-0.27335974578396194</v>
      </c>
      <c r="I122" s="24">
        <f t="shared" si="57"/>
        <v>65.370092558631896</v>
      </c>
      <c r="J122" s="24">
        <f t="shared" si="58"/>
        <v>137.54493851250456</v>
      </c>
      <c r="K122" s="21">
        <v>21922187.390000001</v>
      </c>
      <c r="L122" s="21">
        <v>21798172.190000001</v>
      </c>
      <c r="M122" s="25">
        <f t="shared" si="59"/>
        <v>5.6892476543006542E-3</v>
      </c>
      <c r="N122" s="10"/>
      <c r="R122" s="2"/>
    </row>
    <row r="123" spans="1:18" ht="15.75" x14ac:dyDescent="0.25">
      <c r="A123" s="19"/>
      <c r="B123" s="20">
        <f>DATE(2020,11,1)</f>
        <v>44136</v>
      </c>
      <c r="C123" s="21">
        <v>293538</v>
      </c>
      <c r="D123" s="21">
        <v>410474</v>
      </c>
      <c r="E123" s="23">
        <f t="shared" si="55"/>
        <v>-0.28488040655437374</v>
      </c>
      <c r="F123" s="21">
        <f>+C123-151202</f>
        <v>142336</v>
      </c>
      <c r="G123" s="21">
        <f>+D123-191079</f>
        <v>219395</v>
      </c>
      <c r="H123" s="23">
        <f t="shared" si="56"/>
        <v>-0.35123407552587799</v>
      </c>
      <c r="I123" s="24">
        <f t="shared" si="57"/>
        <v>64.933159624988917</v>
      </c>
      <c r="J123" s="24">
        <f t="shared" si="58"/>
        <v>133.91095583689298</v>
      </c>
      <c r="K123" s="21">
        <v>19060349.809999999</v>
      </c>
      <c r="L123" s="21">
        <v>20825709.969999999</v>
      </c>
      <c r="M123" s="25">
        <f t="shared" si="59"/>
        <v>-8.4768306220678644E-2</v>
      </c>
      <c r="N123" s="10"/>
      <c r="R123" s="2"/>
    </row>
    <row r="124" spans="1:18" ht="15.75" x14ac:dyDescent="0.25">
      <c r="A124" s="19"/>
      <c r="B124" s="20">
        <f>DATE(2020,12,1)</f>
        <v>44166</v>
      </c>
      <c r="C124" s="21">
        <v>344056</v>
      </c>
      <c r="D124" s="21">
        <v>436988</v>
      </c>
      <c r="E124" s="23">
        <f t="shared" si="55"/>
        <v>-0.21266487866943715</v>
      </c>
      <c r="F124" s="21">
        <f>+C124-176597</f>
        <v>167459</v>
      </c>
      <c r="G124" s="21">
        <f>+D124-202156</f>
        <v>234832</v>
      </c>
      <c r="H124" s="23">
        <f t="shared" si="56"/>
        <v>-0.28689871908428155</v>
      </c>
      <c r="I124" s="24">
        <f t="shared" si="57"/>
        <v>69.410434028181456</v>
      </c>
      <c r="J124" s="24">
        <f t="shared" si="58"/>
        <v>142.60849694552098</v>
      </c>
      <c r="K124" s="21">
        <v>23881076.289999999</v>
      </c>
      <c r="L124" s="21">
        <v>22010059.18</v>
      </c>
      <c r="M124" s="25">
        <f t="shared" si="59"/>
        <v>8.5007363892058346E-2</v>
      </c>
      <c r="N124" s="10"/>
      <c r="R124" s="2"/>
    </row>
    <row r="125" spans="1:18" ht="15.75" x14ac:dyDescent="0.25">
      <c r="A125" s="19"/>
      <c r="B125" s="20">
        <f>DATE(2021,1,1)</f>
        <v>44197</v>
      </c>
      <c r="C125" s="21">
        <v>393510</v>
      </c>
      <c r="D125" s="21">
        <v>413705</v>
      </c>
      <c r="E125" s="23">
        <f t="shared" si="55"/>
        <v>-4.8814976855488815E-2</v>
      </c>
      <c r="F125" s="21">
        <f>+C125-207236</f>
        <v>186274</v>
      </c>
      <c r="G125" s="21">
        <f>+D125-196166</f>
        <v>217539</v>
      </c>
      <c r="H125" s="23">
        <f t="shared" si="56"/>
        <v>-0.14372135571093</v>
      </c>
      <c r="I125" s="24">
        <f t="shared" si="57"/>
        <v>66.007952860156038</v>
      </c>
      <c r="J125" s="24">
        <f t="shared" si="58"/>
        <v>139.44398858670561</v>
      </c>
      <c r="K125" s="21">
        <v>25974789.530000001</v>
      </c>
      <c r="L125" s="21">
        <v>21171280.829999998</v>
      </c>
      <c r="M125" s="25">
        <f t="shared" si="59"/>
        <v>0.22688795914479415</v>
      </c>
      <c r="N125" s="10"/>
      <c r="R125" s="2"/>
    </row>
    <row r="126" spans="1:18" ht="15.75" thickBot="1" x14ac:dyDescent="0.25">
      <c r="A126" s="38"/>
      <c r="B126" s="45"/>
      <c r="C126" s="21"/>
      <c r="D126" s="21"/>
      <c r="E126" s="23"/>
      <c r="F126" s="21"/>
      <c r="G126" s="21"/>
      <c r="H126" s="23"/>
      <c r="I126" s="24"/>
      <c r="J126" s="24"/>
      <c r="K126" s="21"/>
      <c r="L126" s="21"/>
      <c r="M126" s="25"/>
      <c r="N126" s="10"/>
      <c r="R126" s="2"/>
    </row>
    <row r="127" spans="1:18" ht="17.25" thickTop="1" thickBot="1" x14ac:dyDescent="0.3">
      <c r="A127" s="39" t="s">
        <v>14</v>
      </c>
      <c r="B127" s="40"/>
      <c r="C127" s="41">
        <f>SUM(C119:C126)</f>
        <v>2306623</v>
      </c>
      <c r="D127" s="41">
        <f>SUM(D119:D126)</f>
        <v>3003624</v>
      </c>
      <c r="E127" s="280">
        <f>(+C127-D127)/D127</f>
        <v>-0.23205334622442755</v>
      </c>
      <c r="F127" s="41">
        <f>SUM(F119:F126)</f>
        <v>1109806</v>
      </c>
      <c r="G127" s="41">
        <f>SUM(G119:G126)</f>
        <v>1597497</v>
      </c>
      <c r="H127" s="42">
        <f>(+F127-G127)/G127</f>
        <v>-0.30528445436830243</v>
      </c>
      <c r="I127" s="43">
        <f>K127/C127</f>
        <v>67.083912615975819</v>
      </c>
      <c r="J127" s="43">
        <f>K127/F127</f>
        <v>139.42733754367879</v>
      </c>
      <c r="K127" s="41">
        <f>SUM(K119:K126)</f>
        <v>154737295.76999998</v>
      </c>
      <c r="L127" s="41">
        <f>SUM(L119:L126)</f>
        <v>153335020.57999998</v>
      </c>
      <c r="M127" s="44">
        <f>(+K127-L127)/L127</f>
        <v>9.145172346772432E-3</v>
      </c>
      <c r="N127" s="10"/>
      <c r="R127" s="2"/>
    </row>
    <row r="128" spans="1:18" ht="15.75" customHeight="1" thickTop="1" x14ac:dyDescent="0.25">
      <c r="A128" s="19"/>
      <c r="B128" s="45"/>
      <c r="C128" s="21"/>
      <c r="D128" s="21"/>
      <c r="E128" s="23"/>
      <c r="F128" s="21"/>
      <c r="G128" s="21"/>
      <c r="H128" s="23"/>
      <c r="I128" s="24"/>
      <c r="J128" s="24"/>
      <c r="K128" s="21"/>
      <c r="L128" s="21"/>
      <c r="M128" s="25"/>
      <c r="N128" s="10"/>
      <c r="R128" s="2"/>
    </row>
    <row r="129" spans="1:18" ht="15.75" x14ac:dyDescent="0.25">
      <c r="A129" s="19" t="s">
        <v>57</v>
      </c>
      <c r="B129" s="20">
        <f>DATE(2020,7,1)</f>
        <v>44013</v>
      </c>
      <c r="C129" s="21">
        <v>61338</v>
      </c>
      <c r="D129" s="21">
        <v>77431</v>
      </c>
      <c r="E129" s="23">
        <f t="shared" ref="E129:E135" si="60">(+C129-D129)/D129</f>
        <v>-0.2078366545698751</v>
      </c>
      <c r="F129" s="21">
        <f>+C129-27914</f>
        <v>33424</v>
      </c>
      <c r="G129" s="21">
        <f>+D129-35761</f>
        <v>41670</v>
      </c>
      <c r="H129" s="23">
        <f t="shared" ref="H129:H135" si="61">(+F129-G129)/G129</f>
        <v>-0.19788816894648428</v>
      </c>
      <c r="I129" s="24">
        <f t="shared" ref="I129:I135" si="62">K129/C129</f>
        <v>57.274320812546875</v>
      </c>
      <c r="J129" s="24">
        <f t="shared" ref="J129:J135" si="63">K129/F129</f>
        <v>105.10687799186213</v>
      </c>
      <c r="K129" s="21">
        <v>3513092.29</v>
      </c>
      <c r="L129" s="21">
        <v>3396657.88</v>
      </c>
      <c r="M129" s="25">
        <f t="shared" ref="M129:M135" si="64">(+K129-L129)/L129</f>
        <v>3.4279110264705301E-2</v>
      </c>
      <c r="N129" s="10"/>
      <c r="R129" s="2"/>
    </row>
    <row r="130" spans="1:18" ht="15.75" x14ac:dyDescent="0.25">
      <c r="A130" s="19"/>
      <c r="B130" s="20">
        <f>DATE(2020,8,1)</f>
        <v>44044</v>
      </c>
      <c r="C130" s="21">
        <v>61855</v>
      </c>
      <c r="D130" s="21">
        <v>83032</v>
      </c>
      <c r="E130" s="23">
        <f t="shared" si="60"/>
        <v>-0.25504624722998365</v>
      </c>
      <c r="F130" s="21">
        <f>+C130-27562</f>
        <v>34293</v>
      </c>
      <c r="G130" s="21">
        <f>+D130-37844</f>
        <v>45188</v>
      </c>
      <c r="H130" s="23">
        <f t="shared" si="61"/>
        <v>-0.24110383287598477</v>
      </c>
      <c r="I130" s="24">
        <f t="shared" si="62"/>
        <v>57.364789265217041</v>
      </c>
      <c r="J130" s="24">
        <f t="shared" si="63"/>
        <v>103.47006794389526</v>
      </c>
      <c r="K130" s="21">
        <v>3548299.04</v>
      </c>
      <c r="L130" s="21">
        <v>3491800.49</v>
      </c>
      <c r="M130" s="25">
        <f t="shared" si="64"/>
        <v>1.618034883774239E-2</v>
      </c>
      <c r="N130" s="10"/>
      <c r="R130" s="2"/>
    </row>
    <row r="131" spans="1:18" ht="15.75" x14ac:dyDescent="0.25">
      <c r="A131" s="19"/>
      <c r="B131" s="20">
        <f>DATE(2020,9,1)</f>
        <v>44075</v>
      </c>
      <c r="C131" s="21">
        <v>58255</v>
      </c>
      <c r="D131" s="21">
        <v>70924</v>
      </c>
      <c r="E131" s="23">
        <f t="shared" si="60"/>
        <v>-0.17862782696971405</v>
      </c>
      <c r="F131" s="21">
        <f>+C131-26013</f>
        <v>32242</v>
      </c>
      <c r="G131" s="21">
        <f>+D131-32729</f>
        <v>38195</v>
      </c>
      <c r="H131" s="23">
        <f t="shared" si="61"/>
        <v>-0.15585809660950387</v>
      </c>
      <c r="I131" s="24">
        <f t="shared" si="62"/>
        <v>55.064059394043426</v>
      </c>
      <c r="J131" s="24">
        <f t="shared" si="63"/>
        <v>99.490006203089138</v>
      </c>
      <c r="K131" s="21">
        <v>3207756.78</v>
      </c>
      <c r="L131" s="21">
        <v>3371438.75</v>
      </c>
      <c r="M131" s="25">
        <f t="shared" si="64"/>
        <v>-4.8549590289902259E-2</v>
      </c>
      <c r="N131" s="10"/>
      <c r="R131" s="2"/>
    </row>
    <row r="132" spans="1:18" ht="15.75" x14ac:dyDescent="0.25">
      <c r="A132" s="19"/>
      <c r="B132" s="20">
        <f>DATE(2020,10,1)</f>
        <v>44105</v>
      </c>
      <c r="C132" s="21">
        <v>55328</v>
      </c>
      <c r="D132" s="21">
        <v>70482</v>
      </c>
      <c r="E132" s="23">
        <f t="shared" si="60"/>
        <v>-0.21500524956726541</v>
      </c>
      <c r="F132" s="21">
        <f>+C132-22799</f>
        <v>32529</v>
      </c>
      <c r="G132" s="21">
        <f>+D132-33635</f>
        <v>36847</v>
      </c>
      <c r="H132" s="23">
        <f t="shared" si="61"/>
        <v>-0.11718728797459765</v>
      </c>
      <c r="I132" s="24">
        <f t="shared" si="62"/>
        <v>52.386605696934645</v>
      </c>
      <c r="J132" s="24">
        <f t="shared" si="63"/>
        <v>89.103449844753911</v>
      </c>
      <c r="K132" s="21">
        <v>2898446.12</v>
      </c>
      <c r="L132" s="21">
        <v>3274009.79</v>
      </c>
      <c r="M132" s="25">
        <f t="shared" si="64"/>
        <v>-0.11471061300644428</v>
      </c>
      <c r="N132" s="10"/>
      <c r="R132" s="2"/>
    </row>
    <row r="133" spans="1:18" ht="15.75" x14ac:dyDescent="0.25">
      <c r="A133" s="19"/>
      <c r="B133" s="20">
        <f>DATE(2020,11,1)</f>
        <v>44136</v>
      </c>
      <c r="C133" s="21">
        <v>49882</v>
      </c>
      <c r="D133" s="21">
        <v>73056</v>
      </c>
      <c r="E133" s="23">
        <f t="shared" si="60"/>
        <v>-0.31720871660096367</v>
      </c>
      <c r="F133" s="21">
        <f>+C133-20773</f>
        <v>29109</v>
      </c>
      <c r="G133" s="21">
        <f>+D133-35437</f>
        <v>37619</v>
      </c>
      <c r="H133" s="23">
        <f t="shared" si="61"/>
        <v>-0.22621547622212179</v>
      </c>
      <c r="I133" s="24">
        <f t="shared" si="62"/>
        <v>51.305875065153764</v>
      </c>
      <c r="J133" s="24">
        <f t="shared" si="63"/>
        <v>87.919188567109828</v>
      </c>
      <c r="K133" s="21">
        <v>2559239.66</v>
      </c>
      <c r="L133" s="21">
        <v>3377500.2</v>
      </c>
      <c r="M133" s="25">
        <f t="shared" si="64"/>
        <v>-0.24226809520248141</v>
      </c>
      <c r="N133" s="10"/>
      <c r="R133" s="2"/>
    </row>
    <row r="134" spans="1:18" ht="15.75" x14ac:dyDescent="0.25">
      <c r="A134" s="19"/>
      <c r="B134" s="20">
        <f>DATE(2020,12,1)</f>
        <v>44166</v>
      </c>
      <c r="C134" s="21">
        <v>53490</v>
      </c>
      <c r="D134" s="21">
        <v>74995</v>
      </c>
      <c r="E134" s="23">
        <f t="shared" si="60"/>
        <v>-0.28675245016334422</v>
      </c>
      <c r="F134" s="21">
        <f>+C134-22512</f>
        <v>30978</v>
      </c>
      <c r="G134" s="21">
        <f>+D134-35471</f>
        <v>39524</v>
      </c>
      <c r="H134" s="23">
        <f t="shared" si="61"/>
        <v>-0.21622305434672603</v>
      </c>
      <c r="I134" s="24">
        <f t="shared" si="62"/>
        <v>52.612236118900725</v>
      </c>
      <c r="J134" s="24">
        <f t="shared" si="63"/>
        <v>90.846036219252369</v>
      </c>
      <c r="K134" s="21">
        <v>2814228.51</v>
      </c>
      <c r="L134" s="21">
        <v>3534603.49</v>
      </c>
      <c r="M134" s="25">
        <f t="shared" si="64"/>
        <v>-0.20380644732515679</v>
      </c>
      <c r="N134" s="10"/>
      <c r="R134" s="2"/>
    </row>
    <row r="135" spans="1:18" ht="15.75" x14ac:dyDescent="0.25">
      <c r="A135" s="19"/>
      <c r="B135" s="20">
        <f>DATE(2021,1,1)</f>
        <v>44197</v>
      </c>
      <c r="C135" s="21">
        <v>60656</v>
      </c>
      <c r="D135" s="21">
        <v>73278</v>
      </c>
      <c r="E135" s="23">
        <f t="shared" si="60"/>
        <v>-0.17224815087748027</v>
      </c>
      <c r="F135" s="21">
        <f>+C135-26102</f>
        <v>34554</v>
      </c>
      <c r="G135" s="21">
        <f>+D135-33277</f>
        <v>40001</v>
      </c>
      <c r="H135" s="23">
        <f t="shared" si="61"/>
        <v>-0.13617159571010726</v>
      </c>
      <c r="I135" s="24">
        <f t="shared" si="62"/>
        <v>51.859267838301243</v>
      </c>
      <c r="J135" s="24">
        <f t="shared" si="63"/>
        <v>91.033621288418132</v>
      </c>
      <c r="K135" s="21">
        <v>3145575.75</v>
      </c>
      <c r="L135" s="21">
        <v>3413407.42</v>
      </c>
      <c r="M135" s="25">
        <f t="shared" si="64"/>
        <v>-7.8464606489898572E-2</v>
      </c>
      <c r="N135" s="10"/>
      <c r="R135" s="2"/>
    </row>
    <row r="136" spans="1:18" ht="15.75" thickBot="1" x14ac:dyDescent="0.25">
      <c r="A136" s="38"/>
      <c r="B136" s="45"/>
      <c r="C136" s="21"/>
      <c r="D136" s="21"/>
      <c r="E136" s="23"/>
      <c r="F136" s="21"/>
      <c r="G136" s="21"/>
      <c r="H136" s="23"/>
      <c r="I136" s="24"/>
      <c r="J136" s="24"/>
      <c r="K136" s="21"/>
      <c r="L136" s="21"/>
      <c r="M136" s="25"/>
      <c r="N136" s="10"/>
      <c r="R136" s="2"/>
    </row>
    <row r="137" spans="1:18" ht="17.25" thickTop="1" thickBot="1" x14ac:dyDescent="0.3">
      <c r="A137" s="26" t="s">
        <v>14</v>
      </c>
      <c r="B137" s="27"/>
      <c r="C137" s="28">
        <f>SUM(C129:C136)</f>
        <v>400804</v>
      </c>
      <c r="D137" s="28">
        <f>SUM(D129:D136)</f>
        <v>523198</v>
      </c>
      <c r="E137" s="280">
        <f>(+C137-D137)/D137</f>
        <v>-0.23393438048310583</v>
      </c>
      <c r="F137" s="28">
        <f>SUM(F129:F136)</f>
        <v>227129</v>
      </c>
      <c r="G137" s="28">
        <f>SUM(G129:G136)</f>
        <v>279044</v>
      </c>
      <c r="H137" s="42">
        <f>(+F137-G137)/G137</f>
        <v>-0.18604592824070756</v>
      </c>
      <c r="I137" s="43">
        <f>K137/C137</f>
        <v>54.107838619375052</v>
      </c>
      <c r="J137" s="43">
        <f>K137/F137</f>
        <v>95.481590417780197</v>
      </c>
      <c r="K137" s="28">
        <f>SUM(K129:K136)</f>
        <v>21686638.149999999</v>
      </c>
      <c r="L137" s="28">
        <f>SUM(L129:L136)</f>
        <v>23859418.020000003</v>
      </c>
      <c r="M137" s="44">
        <f>(+K137-L137)/L137</f>
        <v>-9.1065920726929969E-2</v>
      </c>
      <c r="N137" s="10"/>
      <c r="R137" s="2"/>
    </row>
    <row r="138" spans="1:18" ht="16.5" thickTop="1" thickBot="1" x14ac:dyDescent="0.25">
      <c r="A138" s="63"/>
      <c r="B138" s="34"/>
      <c r="C138" s="35"/>
      <c r="D138" s="35"/>
      <c r="E138" s="29"/>
      <c r="F138" s="35"/>
      <c r="G138" s="35"/>
      <c r="H138" s="29"/>
      <c r="I138" s="36"/>
      <c r="J138" s="36"/>
      <c r="K138" s="35"/>
      <c r="L138" s="35"/>
      <c r="M138" s="37"/>
      <c r="N138" s="10"/>
      <c r="R138" s="2"/>
    </row>
    <row r="139" spans="1:18" ht="17.25" thickTop="1" thickBot="1" x14ac:dyDescent="0.3">
      <c r="A139" s="64" t="s">
        <v>18</v>
      </c>
      <c r="B139" s="65"/>
      <c r="C139" s="28">
        <f>C137+C127+C57+C77+C87+C37+C17+C97+C107+C47+C117+C27+C67</f>
        <v>15059344</v>
      </c>
      <c r="D139" s="28">
        <f>D137+D127+D57+D77+D87+D37+D17+D97+D107+D47+D117+D27+D67</f>
        <v>21359145</v>
      </c>
      <c r="E139" s="279">
        <f>(+C139-D139)/D139</f>
        <v>-0.29494630988272236</v>
      </c>
      <c r="F139" s="28">
        <f>F137+F127+F57+F77+F87+F37+F17+F97+F107+F47+F117+F27+F67</f>
        <v>7664214</v>
      </c>
      <c r="G139" s="28">
        <f>G137+G127+G57+G77+G87+G37+G17+G97+G107+G47+G117+G27+G67</f>
        <v>11303671</v>
      </c>
      <c r="H139" s="30">
        <f>(+F139-G139)/G139</f>
        <v>-0.32197124279360217</v>
      </c>
      <c r="I139" s="31">
        <f>K139/C139</f>
        <v>61.510975314064133</v>
      </c>
      <c r="J139" s="31">
        <f>K139/F139</f>
        <v>120.86235288184801</v>
      </c>
      <c r="K139" s="28">
        <f>K137+K127+K57+K77+K87+K37+K17+K97+K107+K47+K117+K27+K67</f>
        <v>926314937.02999985</v>
      </c>
      <c r="L139" s="28">
        <f>L137+L127+L57+L77+L87+L37+L17+L97+L107+L47+L117+L27+L67</f>
        <v>1006618783.67</v>
      </c>
      <c r="M139" s="32">
        <f>(+K139-L139)/L139</f>
        <v>-7.9775827694395715E-2</v>
      </c>
      <c r="N139" s="10"/>
      <c r="R139" s="2"/>
    </row>
    <row r="140" spans="1:18" ht="17.25" thickTop="1" thickBot="1" x14ac:dyDescent="0.3">
      <c r="A140" s="64"/>
      <c r="B140" s="65"/>
      <c r="C140" s="28"/>
      <c r="D140" s="28"/>
      <c r="E140" s="29"/>
      <c r="F140" s="28"/>
      <c r="G140" s="28"/>
      <c r="H140" s="30"/>
      <c r="I140" s="31"/>
      <c r="J140" s="31"/>
      <c r="K140" s="28"/>
      <c r="L140" s="28"/>
      <c r="M140" s="32"/>
      <c r="N140" s="10"/>
      <c r="R140" s="2"/>
    </row>
    <row r="141" spans="1:18" ht="17.25" thickTop="1" thickBot="1" x14ac:dyDescent="0.3">
      <c r="A141" s="64" t="s">
        <v>19</v>
      </c>
      <c r="B141" s="65"/>
      <c r="C141" s="28">
        <f>SUM(C15+C25+C35+C45+C55+C65+C75+C85+C95+C105+C115+C125+C135)</f>
        <v>2398663</v>
      </c>
      <c r="D141" s="28">
        <f>SUM(D15+D25+D35+D45+D55+D65+D75+D85+D95+D105+D115+D125+D135)</f>
        <v>2885023</v>
      </c>
      <c r="E141" s="279">
        <f>(+C141-D141)/D141</f>
        <v>-0.16858097838388117</v>
      </c>
      <c r="F141" s="28">
        <f>SUM(F15+F25+F35+F45+F55+F65+F75+F85+F95+F105+F115+F125+F135)</f>
        <v>1206855</v>
      </c>
      <c r="G141" s="28">
        <f>SUM(G15+G25+G35+G45+G55+G65+G75+G85+G95+G105+G115+G125+G135)</f>
        <v>1500088</v>
      </c>
      <c r="H141" s="30">
        <f>(+F141-G141)/G141</f>
        <v>-0.19547719867101129</v>
      </c>
      <c r="I141" s="31">
        <f>K141/C141</f>
        <v>61.410532621714665</v>
      </c>
      <c r="J141" s="31">
        <f>K141/F141</f>
        <v>122.05540218998965</v>
      </c>
      <c r="K141" s="28">
        <f>SUM(K15+K25+K35+K45+K55+K65+K75+K85+K95+K105+K115+K125+K135)</f>
        <v>147303172.40999997</v>
      </c>
      <c r="L141" s="28">
        <f>SUM(L15+L25+L35+L45+L55+L65+L75+L85+L95+L105+L115+L125+L135)</f>
        <v>138895490.36999997</v>
      </c>
      <c r="M141" s="44">
        <f>(+K141-L141)/L141</f>
        <v>6.0532433541240202E-2</v>
      </c>
      <c r="N141" s="10"/>
      <c r="R141" s="2"/>
    </row>
    <row r="142" spans="1:18" ht="15.75" thickTop="1" x14ac:dyDescent="0.2">
      <c r="A142" s="66"/>
      <c r="B142" s="67"/>
      <c r="C142" s="68"/>
      <c r="D142" s="67"/>
      <c r="E142" s="67"/>
      <c r="F142" s="67"/>
      <c r="G142" s="67"/>
      <c r="H142" s="67"/>
      <c r="I142" s="67"/>
      <c r="J142" s="67"/>
      <c r="K142" s="68"/>
      <c r="L142" s="68"/>
      <c r="M142" s="67"/>
      <c r="R142" s="2"/>
    </row>
    <row r="143" spans="1:18" ht="18.75" x14ac:dyDescent="0.3">
      <c r="A143" s="264" t="s">
        <v>20</v>
      </c>
      <c r="B143" s="70"/>
      <c r="C143" s="71"/>
      <c r="D143" s="71"/>
      <c r="E143" s="71"/>
      <c r="F143" s="71"/>
      <c r="G143" s="71"/>
      <c r="H143" s="71"/>
      <c r="I143" s="71"/>
      <c r="J143" s="71"/>
      <c r="K143" s="198"/>
      <c r="L143" s="198"/>
      <c r="M143" s="71"/>
      <c r="N143" s="2"/>
      <c r="O143" s="2"/>
      <c r="P143" s="2"/>
      <c r="Q143" s="2"/>
      <c r="R143" s="2"/>
    </row>
    <row r="144" spans="1:18" ht="18" x14ac:dyDescent="0.25">
      <c r="A144" s="69"/>
      <c r="B144" s="70"/>
      <c r="C144" s="71"/>
      <c r="D144" s="71"/>
      <c r="E144" s="71"/>
      <c r="F144" s="71"/>
      <c r="G144" s="71"/>
      <c r="H144" s="71"/>
      <c r="I144" s="71"/>
      <c r="J144" s="71"/>
      <c r="K144" s="198"/>
      <c r="L144" s="198"/>
      <c r="M144" s="71"/>
      <c r="N144" s="2"/>
      <c r="O144" s="2"/>
      <c r="P144" s="2"/>
      <c r="Q144" s="2"/>
      <c r="R144" s="2"/>
    </row>
    <row r="145" spans="1:18" ht="15.75" x14ac:dyDescent="0.25">
      <c r="A145" s="72"/>
      <c r="B145" s="73"/>
      <c r="C145" s="74"/>
      <c r="D145" s="74"/>
      <c r="E145" s="74"/>
      <c r="F145" s="74"/>
      <c r="G145" s="74"/>
      <c r="H145" s="74"/>
      <c r="I145" s="74"/>
      <c r="J145" s="74"/>
      <c r="K145" s="192"/>
      <c r="L145" s="192"/>
      <c r="M145" s="75"/>
      <c r="N145" s="2"/>
      <c r="O145" s="2"/>
      <c r="P145" s="2"/>
      <c r="Q145" s="2"/>
      <c r="R145" s="2"/>
    </row>
    <row r="146" spans="1:18" x14ac:dyDescent="0.2">
      <c r="A146" s="2"/>
      <c r="B146" s="73"/>
      <c r="C146" s="74"/>
      <c r="D146" s="74"/>
      <c r="E146" s="74"/>
      <c r="F146" s="74"/>
      <c r="G146" s="74"/>
      <c r="H146" s="74"/>
      <c r="I146" s="74"/>
      <c r="J146" s="74"/>
      <c r="K146" s="192"/>
      <c r="L146" s="192"/>
      <c r="M146" s="75"/>
      <c r="N146" s="2"/>
      <c r="O146" s="2"/>
      <c r="P146" s="2"/>
      <c r="Q146" s="2"/>
      <c r="R146" s="2"/>
    </row>
    <row r="147" spans="1:18" x14ac:dyDescent="0.2">
      <c r="A147" s="2"/>
      <c r="B147" s="73"/>
      <c r="C147" s="74"/>
      <c r="D147" s="74"/>
      <c r="E147" s="74"/>
      <c r="F147" s="74"/>
      <c r="G147" s="74"/>
      <c r="H147" s="74"/>
      <c r="I147" s="74"/>
      <c r="J147" s="74"/>
      <c r="K147" s="192"/>
      <c r="L147" s="192"/>
      <c r="M147" s="75"/>
      <c r="N147" s="2"/>
      <c r="O147" s="2"/>
      <c r="P147" s="2"/>
      <c r="Q147" s="2"/>
      <c r="R147" s="2"/>
    </row>
    <row r="148" spans="1:18" x14ac:dyDescent="0.2">
      <c r="A148" s="2"/>
      <c r="B148" s="73"/>
      <c r="C148" s="74"/>
      <c r="D148" s="74"/>
      <c r="E148" s="74"/>
      <c r="F148" s="74"/>
      <c r="G148" s="74"/>
      <c r="H148" s="74"/>
      <c r="I148" s="74"/>
      <c r="J148" s="74"/>
      <c r="K148" s="192"/>
      <c r="L148" s="192"/>
      <c r="M148" s="75"/>
      <c r="N148" s="2"/>
      <c r="O148" s="2"/>
      <c r="P148" s="2"/>
      <c r="Q148" s="2"/>
      <c r="R148" s="2"/>
    </row>
    <row r="149" spans="1:18" x14ac:dyDescent="0.2">
      <c r="A149" s="2"/>
      <c r="B149" s="73"/>
      <c r="C149" s="74"/>
      <c r="D149" s="74"/>
      <c r="E149" s="74"/>
      <c r="F149" s="74"/>
      <c r="G149" s="74"/>
      <c r="H149" s="74"/>
      <c r="I149" s="74"/>
      <c r="J149" s="74"/>
      <c r="K149" s="192"/>
      <c r="L149" s="192"/>
      <c r="M149" s="75"/>
      <c r="N149" s="2"/>
      <c r="O149" s="2"/>
      <c r="P149" s="2"/>
      <c r="Q149" s="2"/>
      <c r="R149" s="2"/>
    </row>
    <row r="150" spans="1:18" x14ac:dyDescent="0.2">
      <c r="A150" s="2"/>
      <c r="B150" s="73"/>
      <c r="C150" s="74"/>
      <c r="D150" s="74"/>
      <c r="E150" s="74"/>
      <c r="F150" s="74"/>
      <c r="G150" s="74"/>
      <c r="H150" s="74"/>
      <c r="I150" s="74"/>
      <c r="J150" s="74"/>
      <c r="K150" s="192"/>
      <c r="L150" s="192"/>
      <c r="M150" s="75"/>
      <c r="N150" s="2"/>
      <c r="O150" s="2"/>
      <c r="P150" s="2"/>
      <c r="Q150" s="2"/>
      <c r="R150" s="2"/>
    </row>
    <row r="151" spans="1:18" x14ac:dyDescent="0.2">
      <c r="A151" s="2"/>
      <c r="B151" s="73"/>
      <c r="C151" s="74"/>
      <c r="D151" s="74"/>
      <c r="E151" s="74"/>
      <c r="F151" s="74"/>
      <c r="G151" s="74"/>
      <c r="H151" s="74"/>
      <c r="I151" s="74"/>
      <c r="J151" s="74"/>
      <c r="K151" s="192"/>
      <c r="L151" s="192"/>
      <c r="M151" s="75"/>
      <c r="N151" s="2"/>
      <c r="O151" s="2"/>
      <c r="P151" s="2"/>
      <c r="Q151" s="2"/>
      <c r="R151" s="2"/>
    </row>
    <row r="152" spans="1:18" x14ac:dyDescent="0.2">
      <c r="A152" s="2"/>
      <c r="B152" s="73"/>
      <c r="C152" s="74"/>
      <c r="D152" s="74"/>
      <c r="E152" s="74"/>
      <c r="F152" s="74"/>
      <c r="G152" s="74"/>
      <c r="H152" s="74"/>
      <c r="I152" s="74"/>
      <c r="J152" s="74"/>
      <c r="K152" s="192"/>
      <c r="L152" s="192"/>
      <c r="M152" s="75"/>
      <c r="N152" s="2"/>
      <c r="O152" s="2"/>
      <c r="P152" s="2"/>
      <c r="Q152" s="2"/>
      <c r="R152" s="2"/>
    </row>
    <row r="153" spans="1:18" x14ac:dyDescent="0.2">
      <c r="A153" s="2"/>
      <c r="B153" s="73"/>
      <c r="C153" s="74"/>
      <c r="D153" s="74"/>
      <c r="E153" s="74"/>
      <c r="F153" s="74"/>
      <c r="G153" s="74"/>
      <c r="H153" s="74"/>
      <c r="I153" s="74"/>
      <c r="J153" s="74"/>
      <c r="K153" s="192"/>
      <c r="L153" s="192"/>
      <c r="M153" s="75"/>
      <c r="N153" s="2"/>
      <c r="O153" s="2"/>
      <c r="P153" s="2"/>
      <c r="Q153" s="2"/>
      <c r="R153" s="2"/>
    </row>
    <row r="154" spans="1:18" x14ac:dyDescent="0.2">
      <c r="A154" s="2"/>
      <c r="B154" s="73"/>
      <c r="C154" s="74"/>
      <c r="D154" s="74"/>
      <c r="E154" s="74"/>
      <c r="F154" s="74"/>
      <c r="G154" s="74"/>
      <c r="H154" s="74"/>
      <c r="I154" s="74"/>
      <c r="J154" s="74"/>
      <c r="K154" s="192"/>
      <c r="L154" s="192"/>
      <c r="M154" s="74"/>
      <c r="N154" s="2"/>
      <c r="O154" s="2"/>
      <c r="P154" s="2"/>
      <c r="Q154" s="2"/>
      <c r="R154" s="2"/>
    </row>
    <row r="155" spans="1:18" x14ac:dyDescent="0.2">
      <c r="A155" s="2"/>
      <c r="B155" s="73"/>
      <c r="C155" s="74"/>
      <c r="D155" s="74"/>
      <c r="E155" s="74"/>
      <c r="F155" s="74"/>
      <c r="G155" s="74"/>
      <c r="H155" s="74"/>
      <c r="I155" s="74"/>
      <c r="J155" s="74"/>
      <c r="K155" s="192"/>
      <c r="L155" s="192"/>
      <c r="M155" s="74"/>
      <c r="N155" s="2"/>
      <c r="O155" s="2"/>
      <c r="P155" s="2"/>
      <c r="Q155" s="2"/>
      <c r="R155" s="2"/>
    </row>
    <row r="156" spans="1:18" x14ac:dyDescent="0.2">
      <c r="A156" s="2"/>
      <c r="B156" s="70"/>
      <c r="C156" s="74"/>
      <c r="D156" s="74"/>
      <c r="E156" s="74"/>
      <c r="F156" s="74"/>
      <c r="G156" s="74"/>
      <c r="H156" s="74"/>
      <c r="I156" s="74"/>
      <c r="J156" s="74"/>
      <c r="K156" s="192"/>
      <c r="L156" s="192"/>
      <c r="M156" s="74"/>
      <c r="N156" s="2"/>
      <c r="O156" s="2"/>
      <c r="P156" s="2"/>
      <c r="Q156" s="2"/>
      <c r="R156" s="2"/>
    </row>
    <row r="157" spans="1:18" ht="15.75" x14ac:dyDescent="0.25">
      <c r="A157" s="76"/>
      <c r="B157" s="70"/>
      <c r="C157" s="74"/>
      <c r="D157" s="74"/>
      <c r="E157" s="74"/>
      <c r="F157" s="74"/>
      <c r="G157" s="74"/>
      <c r="H157" s="74"/>
      <c r="I157" s="74"/>
      <c r="J157" s="74"/>
      <c r="K157" s="192"/>
      <c r="L157" s="192"/>
      <c r="M157" s="75"/>
      <c r="N157" s="2"/>
      <c r="O157" s="2"/>
      <c r="P157" s="2"/>
      <c r="Q157" s="2"/>
      <c r="R157" s="2"/>
    </row>
    <row r="158" spans="1:18" ht="15.75" x14ac:dyDescent="0.25">
      <c r="A158" s="76"/>
      <c r="B158" s="70"/>
      <c r="C158" s="74"/>
      <c r="D158" s="74"/>
      <c r="E158" s="74"/>
      <c r="F158" s="74"/>
      <c r="G158" s="74"/>
      <c r="H158" s="74"/>
      <c r="I158" s="74"/>
      <c r="J158" s="74"/>
      <c r="K158" s="192"/>
      <c r="L158" s="192"/>
      <c r="M158" s="75"/>
      <c r="N158" s="2"/>
      <c r="O158" s="2"/>
      <c r="P158" s="2"/>
      <c r="Q158" s="2"/>
      <c r="R158" s="2"/>
    </row>
    <row r="159" spans="1:18" ht="15.75" x14ac:dyDescent="0.25">
      <c r="A159" s="76"/>
      <c r="B159" s="70"/>
      <c r="C159" s="74"/>
      <c r="D159" s="74"/>
      <c r="E159" s="74"/>
      <c r="F159" s="74"/>
      <c r="G159" s="74"/>
      <c r="H159" s="74"/>
      <c r="I159" s="74"/>
      <c r="J159" s="74"/>
      <c r="K159" s="192"/>
      <c r="L159" s="192"/>
      <c r="M159" s="75"/>
      <c r="N159" s="2"/>
      <c r="O159" s="2"/>
      <c r="P159" s="2"/>
      <c r="Q159" s="2"/>
      <c r="R159" s="2"/>
    </row>
    <row r="160" spans="1:18" x14ac:dyDescent="0.2">
      <c r="A160" s="2"/>
      <c r="B160" s="70"/>
      <c r="C160" s="74"/>
      <c r="D160" s="74"/>
      <c r="E160" s="74"/>
      <c r="F160" s="74"/>
      <c r="G160" s="74"/>
      <c r="H160" s="74"/>
      <c r="I160" s="74"/>
      <c r="J160" s="74"/>
      <c r="K160" s="192"/>
      <c r="L160" s="192"/>
      <c r="M160" s="75"/>
      <c r="N160" s="2"/>
      <c r="O160" s="2"/>
      <c r="P160" s="2"/>
      <c r="Q160" s="2"/>
      <c r="R160" s="2"/>
    </row>
    <row r="161" spans="1:18" ht="15.75" x14ac:dyDescent="0.25">
      <c r="A161" s="76"/>
      <c r="B161" s="73"/>
      <c r="C161" s="74"/>
      <c r="D161" s="74"/>
      <c r="E161" s="74"/>
      <c r="F161" s="74"/>
      <c r="G161" s="74"/>
      <c r="H161" s="74"/>
      <c r="I161" s="74"/>
      <c r="J161" s="74"/>
      <c r="K161" s="192"/>
      <c r="L161" s="192"/>
      <c r="M161" s="75"/>
      <c r="N161" s="2"/>
      <c r="O161" s="2"/>
      <c r="P161" s="2"/>
      <c r="Q161" s="2"/>
      <c r="R161" s="2"/>
    </row>
    <row r="162" spans="1:18" x14ac:dyDescent="0.2">
      <c r="A162" s="2"/>
      <c r="B162" s="73"/>
      <c r="C162" s="74"/>
      <c r="D162" s="74"/>
      <c r="E162" s="74"/>
      <c r="F162" s="74"/>
      <c r="G162" s="74"/>
      <c r="H162" s="74"/>
      <c r="I162" s="74"/>
      <c r="J162" s="74"/>
      <c r="K162" s="192"/>
      <c r="L162" s="192"/>
      <c r="M162" s="75"/>
      <c r="N162" s="2"/>
      <c r="O162" s="2"/>
      <c r="P162" s="2"/>
      <c r="Q162" s="2"/>
      <c r="R162" s="2"/>
    </row>
    <row r="163" spans="1:18" x14ac:dyDescent="0.2">
      <c r="A163" s="2"/>
      <c r="B163" s="73"/>
      <c r="C163" s="74"/>
      <c r="D163" s="74"/>
      <c r="E163" s="74"/>
      <c r="F163" s="74"/>
      <c r="G163" s="74"/>
      <c r="H163" s="74"/>
      <c r="I163" s="74"/>
      <c r="J163" s="74"/>
      <c r="K163" s="192"/>
      <c r="L163" s="192"/>
      <c r="M163" s="75"/>
      <c r="N163" s="2"/>
      <c r="O163" s="2"/>
      <c r="P163" s="2"/>
      <c r="Q163" s="2"/>
      <c r="R163" s="2"/>
    </row>
    <row r="164" spans="1:18" x14ac:dyDescent="0.2">
      <c r="A164" s="2"/>
      <c r="B164" s="77"/>
      <c r="C164" s="74"/>
      <c r="D164" s="74"/>
      <c r="E164" s="74"/>
      <c r="F164" s="74"/>
      <c r="G164" s="74"/>
      <c r="H164" s="74"/>
      <c r="I164" s="74"/>
      <c r="J164" s="74"/>
      <c r="K164" s="192"/>
      <c r="L164" s="192"/>
      <c r="M164" s="75"/>
      <c r="N164" s="2"/>
      <c r="O164" s="2"/>
      <c r="P164" s="2"/>
      <c r="Q164" s="2"/>
      <c r="R164" s="2"/>
    </row>
    <row r="165" spans="1:18" x14ac:dyDescent="0.2">
      <c r="A165" s="2"/>
      <c r="B165" s="77"/>
      <c r="C165" s="74"/>
      <c r="D165" s="74"/>
      <c r="E165" s="74"/>
      <c r="F165" s="74"/>
      <c r="G165" s="74"/>
      <c r="H165" s="74"/>
      <c r="I165" s="74"/>
      <c r="J165" s="74"/>
      <c r="K165" s="192"/>
      <c r="L165" s="192"/>
      <c r="M165" s="75"/>
      <c r="N165" s="2"/>
      <c r="O165" s="2"/>
      <c r="P165" s="2"/>
      <c r="Q165" s="2"/>
      <c r="R165" s="2"/>
    </row>
    <row r="166" spans="1:18" x14ac:dyDescent="0.2">
      <c r="A166" s="2"/>
      <c r="B166" s="77"/>
      <c r="C166" s="74"/>
      <c r="D166" s="74"/>
      <c r="E166" s="74"/>
      <c r="F166" s="74"/>
      <c r="G166" s="74"/>
      <c r="H166" s="74"/>
      <c r="I166" s="74"/>
      <c r="J166" s="74"/>
      <c r="K166" s="192"/>
      <c r="L166" s="192"/>
      <c r="M166" s="75"/>
      <c r="N166" s="2"/>
      <c r="O166" s="2"/>
      <c r="P166" s="2"/>
      <c r="Q166" s="2"/>
      <c r="R166" s="2"/>
    </row>
    <row r="167" spans="1:18" x14ac:dyDescent="0.2">
      <c r="A167" s="2"/>
      <c r="B167" s="77"/>
      <c r="C167" s="74"/>
      <c r="D167" s="74"/>
      <c r="E167" s="74"/>
      <c r="F167" s="74"/>
      <c r="G167" s="74"/>
      <c r="H167" s="74"/>
      <c r="I167" s="74"/>
      <c r="J167" s="74"/>
      <c r="K167" s="192"/>
      <c r="L167" s="192"/>
      <c r="M167" s="75"/>
      <c r="N167" s="2"/>
      <c r="O167" s="2"/>
      <c r="P167" s="2"/>
      <c r="Q167" s="2"/>
      <c r="R167" s="2"/>
    </row>
    <row r="168" spans="1:18" x14ac:dyDescent="0.2">
      <c r="A168" s="2"/>
      <c r="B168" s="77"/>
      <c r="C168" s="74"/>
      <c r="D168" s="74"/>
      <c r="E168" s="74"/>
      <c r="F168" s="74"/>
      <c r="G168" s="74"/>
      <c r="H168" s="74"/>
      <c r="I168" s="74"/>
      <c r="J168" s="74"/>
      <c r="K168" s="192"/>
      <c r="L168" s="192"/>
      <c r="M168" s="75"/>
      <c r="N168" s="2"/>
      <c r="O168" s="2"/>
      <c r="P168" s="2"/>
      <c r="Q168" s="2"/>
      <c r="R168" s="2"/>
    </row>
    <row r="169" spans="1:18" x14ac:dyDescent="0.2">
      <c r="A169" s="2"/>
      <c r="B169" s="77"/>
      <c r="C169" s="74"/>
      <c r="D169" s="74"/>
      <c r="E169" s="74"/>
      <c r="F169" s="74"/>
      <c r="G169" s="74"/>
      <c r="H169" s="74"/>
      <c r="I169" s="74"/>
      <c r="J169" s="74"/>
      <c r="K169" s="192"/>
      <c r="L169" s="192"/>
      <c r="M169" s="75"/>
      <c r="N169" s="2"/>
      <c r="O169" s="2"/>
      <c r="P169" s="2"/>
      <c r="Q169" s="2"/>
      <c r="R169" s="2"/>
    </row>
    <row r="170" spans="1:18" x14ac:dyDescent="0.2">
      <c r="A170" s="2"/>
      <c r="B170" s="77"/>
      <c r="C170" s="74"/>
      <c r="D170" s="74"/>
      <c r="E170" s="74"/>
      <c r="F170" s="74"/>
      <c r="G170" s="74"/>
      <c r="H170" s="74"/>
      <c r="I170" s="74"/>
      <c r="J170" s="74"/>
      <c r="K170" s="192"/>
      <c r="L170" s="192"/>
      <c r="M170" s="75"/>
      <c r="N170" s="2"/>
      <c r="O170" s="2"/>
      <c r="P170" s="2"/>
      <c r="Q170" s="2"/>
      <c r="R170" s="2"/>
    </row>
    <row r="171" spans="1:18" x14ac:dyDescent="0.2">
      <c r="A171" s="2"/>
      <c r="B171" s="77"/>
      <c r="C171" s="74"/>
      <c r="D171" s="74"/>
      <c r="E171" s="74"/>
      <c r="F171" s="74"/>
      <c r="G171" s="74"/>
      <c r="H171" s="74"/>
      <c r="I171" s="74"/>
      <c r="J171" s="74"/>
      <c r="K171" s="192"/>
      <c r="L171" s="192"/>
      <c r="M171" s="75"/>
      <c r="N171" s="2"/>
      <c r="O171" s="2"/>
      <c r="P171" s="2"/>
      <c r="Q171" s="2"/>
      <c r="R171" s="2"/>
    </row>
    <row r="172" spans="1:18" x14ac:dyDescent="0.2">
      <c r="A172" s="2"/>
      <c r="B172" s="77"/>
      <c r="C172" s="74"/>
      <c r="D172" s="74"/>
      <c r="E172" s="74"/>
      <c r="F172" s="74"/>
      <c r="G172" s="74"/>
      <c r="H172" s="74"/>
      <c r="I172" s="74"/>
      <c r="J172" s="74"/>
      <c r="K172" s="192"/>
      <c r="L172" s="192"/>
      <c r="M172" s="75"/>
      <c r="N172" s="2"/>
      <c r="O172" s="2"/>
      <c r="P172" s="2"/>
      <c r="Q172" s="2"/>
      <c r="R172" s="2"/>
    </row>
    <row r="173" spans="1:18" x14ac:dyDescent="0.2">
      <c r="A173" s="2"/>
      <c r="B173" s="2"/>
      <c r="C173" s="74"/>
      <c r="D173" s="74"/>
      <c r="E173" s="74"/>
      <c r="F173" s="74"/>
      <c r="G173" s="74"/>
      <c r="H173" s="74"/>
      <c r="I173" s="74"/>
      <c r="J173" s="74"/>
      <c r="K173" s="192"/>
      <c r="L173" s="192"/>
      <c r="M173" s="75"/>
      <c r="N173" s="2"/>
      <c r="O173" s="2"/>
      <c r="P173" s="2"/>
      <c r="Q173" s="2"/>
      <c r="R173" s="2"/>
    </row>
    <row r="174" spans="1:18" ht="15.75" x14ac:dyDescent="0.25">
      <c r="A174" s="76"/>
      <c r="B174" s="2"/>
      <c r="C174" s="74"/>
      <c r="D174" s="74"/>
      <c r="E174" s="74"/>
      <c r="F174" s="74"/>
      <c r="G174" s="74"/>
      <c r="H174" s="74"/>
      <c r="I174" s="74"/>
      <c r="J174" s="74"/>
      <c r="K174" s="192"/>
      <c r="L174" s="192"/>
      <c r="M174" s="75"/>
      <c r="N174" s="2"/>
      <c r="O174" s="2"/>
      <c r="P174" s="2"/>
      <c r="Q174" s="2"/>
      <c r="R174" s="2"/>
    </row>
    <row r="175" spans="1:18" x14ac:dyDescent="0.2">
      <c r="A175" s="2"/>
      <c r="B175" s="2"/>
      <c r="C175" s="74"/>
      <c r="D175" s="74"/>
      <c r="E175" s="74"/>
      <c r="F175" s="74"/>
      <c r="G175" s="74"/>
      <c r="H175" s="74"/>
      <c r="I175" s="74"/>
      <c r="J175" s="74"/>
      <c r="K175" s="192"/>
      <c r="L175" s="192"/>
      <c r="M175" s="75"/>
      <c r="N175" s="2"/>
      <c r="O175" s="2"/>
      <c r="P175" s="2"/>
      <c r="Q175" s="2"/>
      <c r="R175" s="2"/>
    </row>
    <row r="176" spans="1:18" x14ac:dyDescent="0.2">
      <c r="A176" s="2"/>
      <c r="B176" s="2"/>
      <c r="C176" s="74"/>
      <c r="D176" s="74"/>
      <c r="E176" s="74"/>
      <c r="F176" s="74"/>
      <c r="G176" s="74"/>
      <c r="H176" s="74"/>
      <c r="I176" s="74"/>
      <c r="J176" s="74"/>
      <c r="K176" s="192"/>
      <c r="L176" s="192"/>
      <c r="M176" s="75"/>
      <c r="N176" s="2"/>
      <c r="O176" s="2"/>
      <c r="P176" s="2"/>
      <c r="Q176" s="2"/>
      <c r="R176" s="2"/>
    </row>
    <row r="177" spans="1:18" ht="15.75" x14ac:dyDescent="0.25">
      <c r="A177" s="76"/>
      <c r="B177" s="2"/>
      <c r="C177" s="74"/>
      <c r="D177" s="74"/>
      <c r="E177" s="74"/>
      <c r="F177" s="74"/>
      <c r="G177" s="74"/>
      <c r="H177" s="74"/>
      <c r="I177" s="74"/>
      <c r="J177" s="74"/>
      <c r="K177" s="192"/>
      <c r="L177" s="192"/>
      <c r="M177" s="75"/>
      <c r="N177" s="2"/>
      <c r="O177" s="2"/>
      <c r="P177" s="2"/>
      <c r="Q177" s="2"/>
      <c r="R177" s="2"/>
    </row>
    <row r="178" spans="1:18" ht="15.75" x14ac:dyDescent="0.25">
      <c r="A178" s="76"/>
      <c r="B178" s="2"/>
      <c r="C178" s="74"/>
      <c r="D178" s="74"/>
      <c r="E178" s="74"/>
      <c r="F178" s="74"/>
      <c r="G178" s="74"/>
      <c r="H178" s="74"/>
      <c r="I178" s="74"/>
      <c r="J178" s="74"/>
      <c r="K178" s="192"/>
      <c r="L178" s="192"/>
      <c r="M178" s="75"/>
      <c r="N178" s="2"/>
      <c r="O178" s="2"/>
      <c r="P178" s="2"/>
      <c r="Q178" s="2"/>
      <c r="R178" s="2"/>
    </row>
    <row r="179" spans="1:18" ht="15.75" x14ac:dyDescent="0.25">
      <c r="A179" s="76"/>
      <c r="B179" s="77"/>
      <c r="C179" s="74"/>
      <c r="D179" s="74"/>
      <c r="E179" s="74"/>
      <c r="F179" s="74"/>
      <c r="G179" s="74"/>
      <c r="H179" s="74"/>
      <c r="I179" s="74"/>
      <c r="J179" s="74"/>
      <c r="K179" s="192"/>
      <c r="L179" s="192"/>
      <c r="M179" s="75"/>
      <c r="N179" s="2"/>
      <c r="O179" s="2"/>
      <c r="P179" s="2"/>
      <c r="Q179" s="2"/>
      <c r="R179" s="2"/>
    </row>
    <row r="180" spans="1:18" x14ac:dyDescent="0.2">
      <c r="A180" s="2"/>
      <c r="B180" s="77"/>
      <c r="C180" s="74"/>
      <c r="D180" s="74"/>
      <c r="E180" s="74"/>
      <c r="F180" s="74"/>
      <c r="G180" s="74"/>
      <c r="H180" s="74"/>
      <c r="I180" s="74"/>
      <c r="J180" s="74"/>
      <c r="K180" s="192"/>
      <c r="L180" s="192"/>
      <c r="M180" s="75"/>
      <c r="N180" s="2"/>
      <c r="O180" s="2"/>
      <c r="P180" s="2"/>
      <c r="Q180" s="2"/>
      <c r="R180" s="2"/>
    </row>
    <row r="181" spans="1:18" x14ac:dyDescent="0.2">
      <c r="A181" s="2"/>
      <c r="B181" s="77"/>
      <c r="C181" s="74"/>
      <c r="D181" s="74"/>
      <c r="E181" s="74"/>
      <c r="F181" s="74"/>
      <c r="G181" s="74"/>
      <c r="H181" s="74"/>
      <c r="I181" s="74"/>
      <c r="J181" s="74"/>
      <c r="K181" s="192"/>
      <c r="L181" s="192"/>
      <c r="M181" s="75"/>
      <c r="N181" s="2"/>
      <c r="O181" s="2"/>
      <c r="P181" s="2"/>
      <c r="Q181" s="2"/>
      <c r="R181" s="2"/>
    </row>
    <row r="182" spans="1:18" x14ac:dyDescent="0.2">
      <c r="A182" s="2"/>
      <c r="B182" s="77"/>
      <c r="C182" s="74"/>
      <c r="D182" s="74"/>
      <c r="E182" s="74"/>
      <c r="F182" s="74"/>
      <c r="G182" s="74"/>
      <c r="H182" s="74"/>
      <c r="I182" s="74"/>
      <c r="J182" s="74"/>
      <c r="K182" s="192"/>
      <c r="L182" s="192"/>
      <c r="M182" s="75"/>
      <c r="N182" s="2"/>
      <c r="O182" s="2"/>
      <c r="P182" s="2"/>
      <c r="Q182" s="2"/>
      <c r="R182" s="2"/>
    </row>
    <row r="183" spans="1:18" x14ac:dyDescent="0.2">
      <c r="A183" s="2"/>
      <c r="B183" s="77"/>
      <c r="C183" s="74"/>
      <c r="D183" s="74"/>
      <c r="E183" s="74"/>
      <c r="F183" s="74"/>
      <c r="G183" s="74"/>
      <c r="H183" s="74"/>
      <c r="I183" s="74"/>
      <c r="J183" s="74"/>
      <c r="K183" s="192"/>
      <c r="L183" s="192"/>
      <c r="M183" s="75"/>
      <c r="N183" s="2"/>
      <c r="O183" s="2"/>
      <c r="P183" s="2"/>
      <c r="Q183" s="2"/>
      <c r="R183" s="2"/>
    </row>
    <row r="184" spans="1:18" x14ac:dyDescent="0.2">
      <c r="A184" s="2"/>
      <c r="B184" s="77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x14ac:dyDescent="0.2">
      <c r="A185" s="2"/>
      <c r="B185" s="77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77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x14ac:dyDescent="0.2">
      <c r="A187" s="2"/>
      <c r="B187" s="77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x14ac:dyDescent="0.2">
      <c r="A188" s="2"/>
      <c r="B188" s="77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77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x14ac:dyDescent="0.2">
      <c r="A190" s="2"/>
      <c r="B190" s="77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x14ac:dyDescent="0.2">
      <c r="A191" s="2"/>
      <c r="B191" s="2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ht="15.75" x14ac:dyDescent="0.25">
      <c r="A192" s="76"/>
      <c r="B192" s="2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2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5"/>
      <c r="N193" s="2"/>
      <c r="O193" s="2"/>
      <c r="P193" s="2"/>
      <c r="Q193" s="2"/>
      <c r="R193" s="2"/>
    </row>
    <row r="194" spans="1:18" x14ac:dyDescent="0.2">
      <c r="A194" s="2"/>
      <c r="B194" s="2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5"/>
      <c r="N194" s="2"/>
      <c r="O194" s="2"/>
      <c r="P194" s="2"/>
      <c r="Q194" s="2"/>
      <c r="R194" s="2"/>
    </row>
    <row r="195" spans="1:18" ht="15.75" x14ac:dyDescent="0.25">
      <c r="A195" s="76"/>
      <c r="B195" s="77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5"/>
      <c r="N195" s="2"/>
      <c r="O195" s="2"/>
      <c r="P195" s="2"/>
      <c r="Q195" s="2"/>
      <c r="R195" s="2"/>
    </row>
    <row r="196" spans="1:18" x14ac:dyDescent="0.2">
      <c r="A196" s="2"/>
      <c r="B196" s="77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x14ac:dyDescent="0.2">
      <c r="A197" s="2"/>
      <c r="B197" s="77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2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2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x14ac:dyDescent="0.2">
      <c r="A200" s="2"/>
      <c r="B200" s="2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ht="15.75" x14ac:dyDescent="0.25">
      <c r="A201" s="76"/>
      <c r="B201" s="2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2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2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ht="15.75" x14ac:dyDescent="0.25">
      <c r="A204" s="76"/>
      <c r="B204" s="76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x14ac:dyDescent="0.2">
      <c r="A205" s="2"/>
      <c r="B205" s="2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2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2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x14ac:dyDescent="0.2">
      <c r="A208" s="2"/>
      <c r="B208" s="2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2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2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2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2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2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2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2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2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2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2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2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2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2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2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2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2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2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2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2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74"/>
      <c r="D275" s="74"/>
      <c r="E275" s="74"/>
      <c r="F275" s="74"/>
      <c r="G275" s="74"/>
      <c r="H275" s="74"/>
      <c r="I275" s="74"/>
      <c r="J275" s="74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74"/>
      <c r="D276" s="74"/>
      <c r="E276" s="74"/>
      <c r="F276" s="74"/>
      <c r="G276" s="74"/>
      <c r="H276" s="74"/>
      <c r="I276" s="74"/>
      <c r="J276" s="74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74"/>
      <c r="D277" s="74"/>
      <c r="E277" s="74"/>
      <c r="F277" s="74"/>
      <c r="G277" s="74"/>
      <c r="H277" s="74"/>
      <c r="I277" s="74"/>
      <c r="J277" s="74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74"/>
      <c r="D278" s="74"/>
      <c r="E278" s="74"/>
      <c r="F278" s="74"/>
      <c r="G278" s="74"/>
      <c r="H278" s="74"/>
      <c r="I278" s="74"/>
      <c r="J278" s="74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74"/>
      <c r="D279" s="74"/>
      <c r="E279" s="74"/>
      <c r="F279" s="74"/>
      <c r="G279" s="74"/>
      <c r="H279" s="74"/>
      <c r="I279" s="74"/>
      <c r="J279" s="74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74"/>
      <c r="D280" s="74"/>
      <c r="E280" s="74"/>
      <c r="F280" s="74"/>
      <c r="G280" s="74"/>
      <c r="H280" s="74"/>
      <c r="I280" s="74"/>
      <c r="J280" s="74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74"/>
      <c r="D281" s="74"/>
      <c r="E281" s="74"/>
      <c r="F281" s="74"/>
      <c r="G281" s="74"/>
      <c r="H281" s="74"/>
      <c r="I281" s="74"/>
      <c r="J281" s="74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74"/>
      <c r="D282" s="74"/>
      <c r="E282" s="74"/>
      <c r="F282" s="74"/>
      <c r="G282" s="74"/>
      <c r="H282" s="74"/>
      <c r="I282" s="74"/>
      <c r="J282" s="74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74"/>
      <c r="D283" s="74"/>
      <c r="E283" s="74"/>
      <c r="F283" s="74"/>
      <c r="G283" s="74"/>
      <c r="H283" s="74"/>
      <c r="I283" s="74"/>
      <c r="J283" s="74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74"/>
      <c r="D284" s="74"/>
      <c r="E284" s="74"/>
      <c r="F284" s="74"/>
      <c r="G284" s="74"/>
      <c r="H284" s="74"/>
      <c r="I284" s="74"/>
      <c r="J284" s="74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74"/>
      <c r="D285" s="74"/>
      <c r="E285" s="74"/>
      <c r="F285" s="74"/>
      <c r="G285" s="74"/>
      <c r="H285" s="74"/>
      <c r="I285" s="74"/>
      <c r="J285" s="74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74"/>
      <c r="D286" s="74"/>
      <c r="E286" s="74"/>
      <c r="F286" s="74"/>
      <c r="G286" s="74"/>
      <c r="H286" s="74"/>
      <c r="I286" s="74"/>
      <c r="J286" s="74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74"/>
      <c r="D287" s="74"/>
      <c r="E287" s="74"/>
      <c r="F287" s="74"/>
      <c r="G287" s="74"/>
      <c r="H287" s="74"/>
      <c r="I287" s="74"/>
      <c r="J287" s="74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2"/>
      <c r="L401" s="192"/>
      <c r="M401" s="75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2"/>
      <c r="L402" s="192"/>
      <c r="M402" s="75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2"/>
      <c r="L403" s="192"/>
      <c r="M403" s="75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2"/>
      <c r="L404" s="192"/>
      <c r="M404" s="75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2"/>
      <c r="L405" s="192"/>
      <c r="M405" s="75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2"/>
      <c r="L406" s="192"/>
      <c r="M406" s="75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2"/>
      <c r="L407" s="192"/>
      <c r="M407" s="75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2"/>
      <c r="L408" s="192"/>
      <c r="M408" s="75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2"/>
      <c r="L409" s="192"/>
      <c r="M409" s="75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2"/>
      <c r="L410" s="192"/>
      <c r="M410" s="75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2"/>
      <c r="L411" s="192"/>
      <c r="M411" s="75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2"/>
      <c r="L412" s="192"/>
      <c r="M412" s="75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2"/>
      <c r="L413" s="192"/>
      <c r="M413" s="75"/>
      <c r="N413" s="2"/>
      <c r="O413" s="2"/>
      <c r="P413" s="2"/>
      <c r="Q413" s="2"/>
      <c r="R413" s="2"/>
    </row>
  </sheetData>
  <phoneticPr fontId="0" type="noConversion"/>
  <printOptions horizontalCentered="1"/>
  <pageMargins left="0.45" right="0.25" top="0.31944444444444398" bottom="0.2" header="0.5" footer="0.5"/>
  <pageSetup scale="64" orientation="landscape" r:id="rId1"/>
  <headerFooter alignWithMargins="0"/>
  <rowBreaks count="3" manualBreakCount="3">
    <brk id="47" max="12" man="1"/>
    <brk id="87" max="12" man="1"/>
    <brk id="1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1"/>
  <sheetViews>
    <sheetView showOutlineSymbols="0" view="pageBreakPreview" zoomScale="60" zoomScaleNormal="100" workbookViewId="0">
      <selection activeCell="A4" sqref="A4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4414062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9.44140625" style="80" customWidth="1"/>
    <col min="15" max="15" width="13.8867187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73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65</v>
      </c>
      <c r="E7" s="275" t="s">
        <v>56</v>
      </c>
      <c r="F7" s="84" t="s">
        <v>63</v>
      </c>
      <c r="G7" s="84" t="s">
        <v>67</v>
      </c>
      <c r="H7" s="84" t="s">
        <v>66</v>
      </c>
      <c r="I7" s="84" t="s">
        <v>52</v>
      </c>
      <c r="J7" s="84" t="s">
        <v>25</v>
      </c>
      <c r="K7" s="84" t="s">
        <v>53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DATE(2020,7,1)</f>
        <v>44013</v>
      </c>
      <c r="B10" s="89">
        <f>'MONTHLY STATS'!$C$9*2</f>
        <v>376666</v>
      </c>
      <c r="C10" s="89">
        <f>'MONTHLY STATS'!$C$19*2</f>
        <v>158942</v>
      </c>
      <c r="D10" s="89">
        <f>'MONTHLY STATS'!$C$29*2</f>
        <v>106210</v>
      </c>
      <c r="E10" s="89">
        <f>'MONTHLY STATS'!$C$39*2</f>
        <v>452472</v>
      </c>
      <c r="F10" s="89">
        <f>'MONTHLY STATS'!$C$49*2</f>
        <v>521570</v>
      </c>
      <c r="G10" s="89">
        <f>'MONTHLY STATS'!$C$59*2</f>
        <v>151956</v>
      </c>
      <c r="H10" s="89">
        <f>'MONTHLY STATS'!$C$69*2</f>
        <v>179564</v>
      </c>
      <c r="I10" s="89">
        <f>'MONTHLY STATS'!$C$79*2</f>
        <v>396916</v>
      </c>
      <c r="J10" s="89">
        <f>'MONTHLY STATS'!$C$89*2</f>
        <v>422892</v>
      </c>
      <c r="K10" s="89">
        <f>'MONTHLY STATS'!$C$99*2</f>
        <v>446984</v>
      </c>
      <c r="L10" s="89">
        <f>'MONTHLY STATS'!$C$109*2</f>
        <v>86452</v>
      </c>
      <c r="M10" s="89">
        <f>'MONTHLY STATS'!$C$119*2</f>
        <v>632878</v>
      </c>
      <c r="N10" s="89">
        <f>'MONTHLY STATS'!$C$129*2</f>
        <v>122676</v>
      </c>
      <c r="O10" s="90">
        <f t="shared" ref="O10:O15" si="0">SUM(B10:N10)</f>
        <v>4056178</v>
      </c>
      <c r="P10" s="83"/>
    </row>
    <row r="11" spans="1:16" ht="15.75" x14ac:dyDescent="0.25">
      <c r="A11" s="88">
        <f>DATE(2020,8,1)</f>
        <v>44044</v>
      </c>
      <c r="B11" s="89">
        <f>'MONTHLY STATS'!$C$10*2</f>
        <v>386252</v>
      </c>
      <c r="C11" s="89">
        <f>'MONTHLY STATS'!$C$20*2</f>
        <v>176468</v>
      </c>
      <c r="D11" s="89">
        <f>'MONTHLY STATS'!$C$30*2</f>
        <v>105220</v>
      </c>
      <c r="E11" s="89">
        <f>'MONTHLY STATS'!$C$40*2</f>
        <v>497732</v>
      </c>
      <c r="F11" s="89">
        <f>'MONTHLY STATS'!$C$50*2</f>
        <v>535796</v>
      </c>
      <c r="G11" s="89">
        <f>'MONTHLY STATS'!$C$60*2</f>
        <v>150102</v>
      </c>
      <c r="H11" s="89">
        <f>'MONTHLY STATS'!$C$70*2</f>
        <v>181532</v>
      </c>
      <c r="I11" s="89">
        <f>'MONTHLY STATS'!$C$80*2</f>
        <v>414340</v>
      </c>
      <c r="J11" s="89">
        <f>'MONTHLY STATS'!$C$90*2</f>
        <v>451102</v>
      </c>
      <c r="K11" s="89">
        <f>'MONTHLY STATS'!$C$100*2</f>
        <v>486344</v>
      </c>
      <c r="L11" s="89">
        <f>'MONTHLY STATS'!$C$110*2</f>
        <v>93412</v>
      </c>
      <c r="M11" s="89">
        <f>'MONTHLY STATS'!$C$120*2</f>
        <v>610790</v>
      </c>
      <c r="N11" s="89">
        <f>'MONTHLY STATS'!$C$130*2</f>
        <v>123710</v>
      </c>
      <c r="O11" s="90">
        <f t="shared" si="0"/>
        <v>4212800</v>
      </c>
      <c r="P11" s="83"/>
    </row>
    <row r="12" spans="1:16" ht="15.75" x14ac:dyDescent="0.25">
      <c r="A12" s="88">
        <f>DATE(2020,9,1)</f>
        <v>44075</v>
      </c>
      <c r="B12" s="89">
        <f>'MONTHLY STATS'!$C$11*2</f>
        <v>393508</v>
      </c>
      <c r="C12" s="89">
        <f>'MONTHLY STATS'!$C$21*2</f>
        <v>181896</v>
      </c>
      <c r="D12" s="89">
        <f>'MONTHLY STATS'!$C$31*2</f>
        <v>101704</v>
      </c>
      <c r="E12" s="89">
        <f>'MONTHLY STATS'!$C$41*2</f>
        <v>499142</v>
      </c>
      <c r="F12" s="89">
        <f>'MONTHLY STATS'!$C$51*2</f>
        <v>491416</v>
      </c>
      <c r="G12" s="89">
        <f>'MONTHLY STATS'!$C$61*2</f>
        <v>152116</v>
      </c>
      <c r="H12" s="89">
        <f>'MONTHLY STATS'!$C$71*2</f>
        <v>227798</v>
      </c>
      <c r="I12" s="89">
        <f>'MONTHLY STATS'!$C$81*2</f>
        <v>429358</v>
      </c>
      <c r="J12" s="89">
        <f>'MONTHLY STATS'!$C$91*2</f>
        <v>449654</v>
      </c>
      <c r="K12" s="89">
        <f>'MONTHLY STATS'!$C$101*2</f>
        <v>517978</v>
      </c>
      <c r="L12" s="89">
        <f>'MONTHLY STATS'!$C$111*2</f>
        <v>89310</v>
      </c>
      <c r="M12" s="89">
        <f>'MONTHLY STATS'!$C$121*2</f>
        <v>636660</v>
      </c>
      <c r="N12" s="89">
        <f>'MONTHLY STATS'!$C$131*2</f>
        <v>116510</v>
      </c>
      <c r="O12" s="90">
        <f t="shared" si="0"/>
        <v>4287050</v>
      </c>
      <c r="P12" s="83"/>
    </row>
    <row r="13" spans="1:16" ht="15.75" x14ac:dyDescent="0.25">
      <c r="A13" s="88">
        <f>DATE(2020,10,1)</f>
        <v>44105</v>
      </c>
      <c r="B13" s="89">
        <f>'MONTHLY STATS'!$C$12*2</f>
        <v>407654</v>
      </c>
      <c r="C13" s="89">
        <f>'MONTHLY STATS'!$C$22*2</f>
        <v>174198</v>
      </c>
      <c r="D13" s="89">
        <f>'MONTHLY STATS'!$C$32*2</f>
        <v>103276</v>
      </c>
      <c r="E13" s="89">
        <f>'MONTHLY STATS'!$C$42*2</f>
        <v>544168</v>
      </c>
      <c r="F13" s="89">
        <f>'MONTHLY STATS'!$C$52*2</f>
        <v>504572</v>
      </c>
      <c r="G13" s="89">
        <f>'MONTHLY STATS'!$C$62*2</f>
        <v>158558</v>
      </c>
      <c r="H13" s="89">
        <f>'MONTHLY STATS'!$C$72*2</f>
        <v>266504</v>
      </c>
      <c r="I13" s="89">
        <f>'MONTHLY STATS'!$C$82*2</f>
        <v>427356</v>
      </c>
      <c r="J13" s="89">
        <f>'MONTHLY STATS'!$C$92*2</f>
        <v>473378</v>
      </c>
      <c r="K13" s="89">
        <f>'MONTHLY STATS'!$C$102*2</f>
        <v>545318</v>
      </c>
      <c r="L13" s="89">
        <f>'MONTHLY STATS'!$C$112*2</f>
        <v>84806</v>
      </c>
      <c r="M13" s="89">
        <f>'MONTHLY STATS'!$C$122*2</f>
        <v>670710</v>
      </c>
      <c r="N13" s="89">
        <f>'MONTHLY STATS'!$C$132*2</f>
        <v>110656</v>
      </c>
      <c r="O13" s="90">
        <f t="shared" si="0"/>
        <v>4471154</v>
      </c>
      <c r="P13" s="83"/>
    </row>
    <row r="14" spans="1:16" ht="15.75" x14ac:dyDescent="0.25">
      <c r="A14" s="88">
        <f>DATE(2020,11,1)</f>
        <v>44136</v>
      </c>
      <c r="B14" s="89">
        <f>'MONTHLY STATS'!$C$13*2</f>
        <v>378296</v>
      </c>
      <c r="C14" s="89">
        <f>'MONTHLY STATS'!$C$23*2</f>
        <v>155566</v>
      </c>
      <c r="D14" s="89">
        <f>'MONTHLY STATS'!$C$33*2</f>
        <v>91494</v>
      </c>
      <c r="E14" s="89">
        <f>'MONTHLY STATS'!$C$43*2</f>
        <v>465798</v>
      </c>
      <c r="F14" s="89">
        <f>'MONTHLY STATS'!$C$53*2</f>
        <v>459294</v>
      </c>
      <c r="G14" s="89">
        <f>'MONTHLY STATS'!$C$63*2</f>
        <v>148234</v>
      </c>
      <c r="H14" s="89">
        <f>'MONTHLY STATS'!$C$73*2</f>
        <v>257284</v>
      </c>
      <c r="I14" s="89">
        <f>'MONTHLY STATS'!$C$83*2</f>
        <v>364402</v>
      </c>
      <c r="J14" s="89">
        <f>'MONTHLY STATS'!$C$93*2</f>
        <v>435666</v>
      </c>
      <c r="K14" s="89">
        <f>'MONTHLY STATS'!$C$103*2</f>
        <v>458632</v>
      </c>
      <c r="L14" s="89">
        <f>'MONTHLY STATS'!$C$113*2</f>
        <v>75632</v>
      </c>
      <c r="M14" s="89">
        <f>'MONTHLY STATS'!$C$123*2</f>
        <v>587076</v>
      </c>
      <c r="N14" s="89">
        <f>'MONTHLY STATS'!$C$133*2</f>
        <v>99764</v>
      </c>
      <c r="O14" s="90">
        <f t="shared" si="0"/>
        <v>3977138</v>
      </c>
      <c r="P14" s="83"/>
    </row>
    <row r="15" spans="1:16" ht="15.75" x14ac:dyDescent="0.25">
      <c r="A15" s="88">
        <f>DATE(2020,12,1)</f>
        <v>44166</v>
      </c>
      <c r="B15" s="89">
        <f>'MONTHLY STATS'!$C$14*2</f>
        <v>392152</v>
      </c>
      <c r="C15" s="89">
        <f>'MONTHLY STATS'!$C$24*2</f>
        <v>164878</v>
      </c>
      <c r="D15" s="89">
        <f>'MONTHLY STATS'!$C$34*2</f>
        <v>100036</v>
      </c>
      <c r="E15" s="89">
        <f>'MONTHLY STATS'!$C$44*2</f>
        <v>453314</v>
      </c>
      <c r="F15" s="89">
        <f>'MONTHLY STATS'!$C$54*2</f>
        <v>474630</v>
      </c>
      <c r="G15" s="89">
        <f>'MONTHLY STATS'!$C$64*2</f>
        <v>180110</v>
      </c>
      <c r="H15" s="89">
        <f>'MONTHLY STATS'!$C$74*2</f>
        <v>272648</v>
      </c>
      <c r="I15" s="89">
        <f>'MONTHLY STATS'!$C$84*2</f>
        <v>473172</v>
      </c>
      <c r="J15" s="89">
        <f>'MONTHLY STATS'!$C$94*2</f>
        <v>465676</v>
      </c>
      <c r="K15" s="89">
        <f>'MONTHLY STATS'!$C$104*2</f>
        <v>448938</v>
      </c>
      <c r="L15" s="89">
        <f>'MONTHLY STATS'!$C$114*2</f>
        <v>96396</v>
      </c>
      <c r="M15" s="89">
        <f>'MONTHLY STATS'!$C$124*2</f>
        <v>688112</v>
      </c>
      <c r="N15" s="89">
        <f>'MONTHLY STATS'!$C$134*2</f>
        <v>106980</v>
      </c>
      <c r="O15" s="90">
        <f t="shared" si="0"/>
        <v>4317042</v>
      </c>
      <c r="P15" s="83"/>
    </row>
    <row r="16" spans="1:16" ht="15.75" x14ac:dyDescent="0.25">
      <c r="A16" s="88">
        <f>DATE(2021,1,1)</f>
        <v>44197</v>
      </c>
      <c r="B16" s="89">
        <f>'MONTHLY STATS'!$C$15*2</f>
        <v>421458</v>
      </c>
      <c r="C16" s="89">
        <f>'MONTHLY STATS'!$C$25*2</f>
        <v>208314</v>
      </c>
      <c r="D16" s="89">
        <f>'MONTHLY STATS'!$C$35*2</f>
        <v>126504</v>
      </c>
      <c r="E16" s="89">
        <f>'MONTHLY STATS'!$C$45*2</f>
        <v>475812</v>
      </c>
      <c r="F16" s="89">
        <f>'MONTHLY STATS'!$C$55*2</f>
        <v>507458</v>
      </c>
      <c r="G16" s="89">
        <f>'MONTHLY STATS'!$C$65*2</f>
        <v>205936</v>
      </c>
      <c r="H16" s="89">
        <f>'MONTHLY STATS'!$C$75*2</f>
        <v>297882</v>
      </c>
      <c r="I16" s="89">
        <f>'MONTHLY STATS'!$C$85*2</f>
        <v>535226</v>
      </c>
      <c r="J16" s="89">
        <f>'MONTHLY STATS'!$C$95*2</f>
        <v>521048</v>
      </c>
      <c r="K16" s="89">
        <f>'MONTHLY STATS'!$C$105*2</f>
        <v>490444</v>
      </c>
      <c r="L16" s="89">
        <f>'MONTHLY STATS'!$C$115*2</f>
        <v>98912</v>
      </c>
      <c r="M16" s="89">
        <f>'MONTHLY STATS'!$C$125*2</f>
        <v>787020</v>
      </c>
      <c r="N16" s="89">
        <f>'MONTHLY STATS'!$C$135*2</f>
        <v>121312</v>
      </c>
      <c r="O16" s="90">
        <f>SUM(B16:N16)</f>
        <v>4797326</v>
      </c>
      <c r="P16" s="83"/>
    </row>
    <row r="17" spans="1:16" ht="15.75" x14ac:dyDescent="0.2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83"/>
    </row>
    <row r="18" spans="1:16" ht="15.75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83"/>
    </row>
    <row r="19" spans="1:16" ht="15.75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1">SUM(B10:B21)</f>
        <v>2755986</v>
      </c>
      <c r="C23" s="90">
        <f t="shared" si="1"/>
        <v>1220262</v>
      </c>
      <c r="D23" s="90">
        <f t="shared" si="1"/>
        <v>734444</v>
      </c>
      <c r="E23" s="90">
        <f t="shared" si="1"/>
        <v>3388438</v>
      </c>
      <c r="F23" s="90">
        <f t="shared" si="1"/>
        <v>3494736</v>
      </c>
      <c r="G23" s="90">
        <f>SUM(G10:G21)</f>
        <v>1147012</v>
      </c>
      <c r="H23" s="90">
        <f t="shared" si="1"/>
        <v>1683212</v>
      </c>
      <c r="I23" s="90">
        <f>SUM(I10:I21)</f>
        <v>3040770</v>
      </c>
      <c r="J23" s="90">
        <f t="shared" si="1"/>
        <v>3219416</v>
      </c>
      <c r="K23" s="90">
        <f>SUM(K10:K21)</f>
        <v>3394638</v>
      </c>
      <c r="L23" s="90">
        <f t="shared" si="1"/>
        <v>624920</v>
      </c>
      <c r="M23" s="90">
        <f t="shared" si="1"/>
        <v>4613246</v>
      </c>
      <c r="N23" s="90">
        <f t="shared" si="1"/>
        <v>801608</v>
      </c>
      <c r="O23" s="90">
        <f t="shared" si="1"/>
        <v>30118688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65</v>
      </c>
      <c r="E28" s="275" t="s">
        <v>56</v>
      </c>
      <c r="F28" s="84" t="s">
        <v>63</v>
      </c>
      <c r="G28" s="84" t="s">
        <v>67</v>
      </c>
      <c r="H28" s="84" t="s">
        <v>66</v>
      </c>
      <c r="I28" s="84" t="s">
        <v>52</v>
      </c>
      <c r="J28" s="84" t="s">
        <v>25</v>
      </c>
      <c r="K28" s="106" t="s">
        <v>53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DATE(2020,7,1)</f>
        <v>44013</v>
      </c>
      <c r="B31" s="89">
        <f>'MONTHLY STATS'!$K$9*0.21</f>
        <v>2859195.1269</v>
      </c>
      <c r="C31" s="89">
        <f>'MONTHLY STATS'!$K$19*0.21</f>
        <v>1178796.7863</v>
      </c>
      <c r="D31" s="89">
        <f>'MONTHLY STATS'!$K$29*0.21</f>
        <v>728228.88599999994</v>
      </c>
      <c r="E31" s="89">
        <f>'MONTHLY STATS'!$K$39*0.21</f>
        <v>3061575.4994999999</v>
      </c>
      <c r="F31" s="89">
        <f>'MONTHLY STATS'!$K$49*0.21</f>
        <v>3317763.2228999999</v>
      </c>
      <c r="G31" s="89">
        <f>'MONTHLY STATS'!$K$59*0.21</f>
        <v>1051497.2097</v>
      </c>
      <c r="H31" s="89">
        <f>'MONTHLY STATS'!$K$69*0.21</f>
        <v>955953.50549999997</v>
      </c>
      <c r="I31" s="89">
        <f>'MONTHLY STATS'!$K$79*0.21</f>
        <v>2398867.7516999999</v>
      </c>
      <c r="J31" s="89">
        <f>'MONTHLY STATS'!$K$89*0.21</f>
        <v>2903763.5780999996</v>
      </c>
      <c r="K31" s="89">
        <f>'MONTHLY STATS'!$K$99*0.21</f>
        <v>3157890.0107999998</v>
      </c>
      <c r="L31" s="89">
        <f>'MONTHLY STATS'!$K$109*0.21</f>
        <v>624400.86450000003</v>
      </c>
      <c r="M31" s="89">
        <f>'MONTHLY STATS'!$K$119*0.21</f>
        <v>4772441.4800999993</v>
      </c>
      <c r="N31" s="89">
        <f>'MONTHLY STATS'!$K$129*0.21</f>
        <v>737749.38089999999</v>
      </c>
      <c r="O31" s="90">
        <f t="shared" ref="O31:O36" si="2">SUM(B31:N31)</f>
        <v>27748123.302899998</v>
      </c>
      <c r="P31" s="83"/>
    </row>
    <row r="32" spans="1:16" ht="15.75" x14ac:dyDescent="0.25">
      <c r="A32" s="88">
        <f>DATE(2020,8,1)</f>
        <v>44044</v>
      </c>
      <c r="B32" s="89">
        <f>'MONTHLY STATS'!$K$10*0.21</f>
        <v>2651031.0833999999</v>
      </c>
      <c r="C32" s="89">
        <f>'MONTHLY STATS'!$K$20*0.21</f>
        <v>1258855.9683000001</v>
      </c>
      <c r="D32" s="89">
        <f>'MONTHLY STATS'!$K$30*0.21</f>
        <v>692227.40999999992</v>
      </c>
      <c r="E32" s="89">
        <f>'MONTHLY STATS'!$K$40*0.21</f>
        <v>3170806.4156999998</v>
      </c>
      <c r="F32" s="89">
        <f>'MONTHLY STATS'!$K$50*0.21</f>
        <v>3274393.2648</v>
      </c>
      <c r="G32" s="89">
        <f>'MONTHLY STATS'!$K$60*0.21</f>
        <v>1042214.6279999999</v>
      </c>
      <c r="H32" s="89">
        <f>'MONTHLY STATS'!$K$70*0.21</f>
        <v>924689.3459999999</v>
      </c>
      <c r="I32" s="89">
        <f>'MONTHLY STATS'!$K$80*0.21</f>
        <v>2536431.8153999997</v>
      </c>
      <c r="J32" s="89">
        <f>'MONTHLY STATS'!$K$90*0.21</f>
        <v>3012089.7827999997</v>
      </c>
      <c r="K32" s="89">
        <f>'MONTHLY STATS'!$K$100*0.21</f>
        <v>3330930.0780000002</v>
      </c>
      <c r="L32" s="89">
        <f>'MONTHLY STATS'!$K$110*0.21</f>
        <v>645271.1621999999</v>
      </c>
      <c r="M32" s="89">
        <f>'MONTHLY STATS'!$K$120*0.21</f>
        <v>4362897.6908999998</v>
      </c>
      <c r="N32" s="89">
        <f>'MONTHLY STATS'!$K$130*0.21</f>
        <v>745142.79839999997</v>
      </c>
      <c r="O32" s="90">
        <f t="shared" si="2"/>
        <v>27646981.443900004</v>
      </c>
      <c r="P32" s="83"/>
    </row>
    <row r="33" spans="1:16" ht="15.75" x14ac:dyDescent="0.25">
      <c r="A33" s="88">
        <f>DATE(2020,9,1)</f>
        <v>44075</v>
      </c>
      <c r="B33" s="89">
        <f>'MONTHLY STATS'!$K$11*0.21</f>
        <v>2610141.7838999997</v>
      </c>
      <c r="C33" s="89">
        <f>'MONTHLY STATS'!$K$21*0.21</f>
        <v>1240836.3785999999</v>
      </c>
      <c r="D33" s="89">
        <f>'MONTHLY STATS'!$K$31*0.21</f>
        <v>651075.1128</v>
      </c>
      <c r="E33" s="89">
        <f>'MONTHLY STATS'!$K$41*0.21</f>
        <v>3135831.1277999999</v>
      </c>
      <c r="F33" s="89">
        <f>'MONTHLY STATS'!$K$51*0.21</f>
        <v>3087248.5980000002</v>
      </c>
      <c r="G33" s="89">
        <f>'MONTHLY STATS'!$K$61*0.21</f>
        <v>1046144.2025999998</v>
      </c>
      <c r="H33" s="89">
        <f>'MONTHLY STATS'!$K$71*0.21</f>
        <v>1124784.6645</v>
      </c>
      <c r="I33" s="89">
        <f>'MONTHLY STATS'!$K$81*0.21</f>
        <v>2423322.0983999996</v>
      </c>
      <c r="J33" s="89">
        <f>'MONTHLY STATS'!$K$91*0.21</f>
        <v>2854444.1562000001</v>
      </c>
      <c r="K33" s="89">
        <f>'MONTHLY STATS'!$K$101*0.21</f>
        <v>3445275.7394999997</v>
      </c>
      <c r="L33" s="89">
        <f>'MONTHLY STATS'!$K$111*0.21</f>
        <v>591393.38789999997</v>
      </c>
      <c r="M33" s="89">
        <f>'MONTHLY STATS'!$K$121*0.21</f>
        <v>4283428.3064999999</v>
      </c>
      <c r="N33" s="89">
        <f>'MONTHLY STATS'!$K$131*0.21</f>
        <v>673628.92379999999</v>
      </c>
      <c r="O33" s="90">
        <f t="shared" si="2"/>
        <v>27167554.480499998</v>
      </c>
      <c r="P33" s="83"/>
    </row>
    <row r="34" spans="1:16" ht="15.75" x14ac:dyDescent="0.25">
      <c r="A34" s="88">
        <f>DATE(2020,10,1)</f>
        <v>44105</v>
      </c>
      <c r="B34" s="89">
        <f>'MONTHLY STATS'!$K$12*0.21</f>
        <v>2714785.8443999998</v>
      </c>
      <c r="C34" s="89">
        <f>'MONTHLY STATS'!$K$22*0.21</f>
        <v>1200866.0769</v>
      </c>
      <c r="D34" s="89">
        <f>'MONTHLY STATS'!$K$32*0.21</f>
        <v>709462.30530000001</v>
      </c>
      <c r="E34" s="89">
        <f>'MONTHLY STATS'!$K$42*0.21</f>
        <v>3335083.5335999997</v>
      </c>
      <c r="F34" s="89">
        <f>'MONTHLY STATS'!$K$52*0.21</f>
        <v>3141400.1598</v>
      </c>
      <c r="G34" s="89">
        <f>'MONTHLY STATS'!$K$62*0.21</f>
        <v>1048776.6218999999</v>
      </c>
      <c r="H34" s="89">
        <f>'MONTHLY STATS'!$K$72*0.21</f>
        <v>1287500.6172</v>
      </c>
      <c r="I34" s="89">
        <f>'MONTHLY STATS'!$K$82*0.21</f>
        <v>2376266.1993</v>
      </c>
      <c r="J34" s="89">
        <f>'MONTHLY STATS'!$K$92*0.21</f>
        <v>3034260.8792999997</v>
      </c>
      <c r="K34" s="89">
        <f>'MONTHLY STATS'!$K$102*0.21</f>
        <v>3440683.6001999998</v>
      </c>
      <c r="L34" s="89">
        <f>'MONTHLY STATS'!$K$112*0.21</f>
        <v>603164.59770000004</v>
      </c>
      <c r="M34" s="89">
        <f>'MONTHLY STATS'!$K$122*0.21</f>
        <v>4603659.3519000001</v>
      </c>
      <c r="N34" s="89">
        <f>'MONTHLY STATS'!$K$132*0.21</f>
        <v>608673.68519999995</v>
      </c>
      <c r="O34" s="90">
        <f t="shared" si="2"/>
        <v>28104583.4727</v>
      </c>
      <c r="P34" s="83"/>
    </row>
    <row r="35" spans="1:16" ht="15.75" x14ac:dyDescent="0.25">
      <c r="A35" s="88">
        <f>DATE(2020,11,1)</f>
        <v>44136</v>
      </c>
      <c r="B35" s="89">
        <f>'MONTHLY STATS'!$K$13*0.21</f>
        <v>2368268.8722000001</v>
      </c>
      <c r="C35" s="89">
        <f>'MONTHLY STATS'!$K$23*0.21</f>
        <v>1123386.5726999999</v>
      </c>
      <c r="D35" s="89">
        <f>'MONTHLY STATS'!$K$33*0.21</f>
        <v>640084.75020000001</v>
      </c>
      <c r="E35" s="89">
        <f>'MONTHLY STATS'!$K$43*0.21</f>
        <v>2849597.9798999997</v>
      </c>
      <c r="F35" s="89">
        <f>'MONTHLY STATS'!$K$53*0.21</f>
        <v>2626045.7244000002</v>
      </c>
      <c r="G35" s="89">
        <f>'MONTHLY STATS'!$K$63*0.21</f>
        <v>944126.72549999994</v>
      </c>
      <c r="H35" s="89">
        <f>'MONTHLY STATS'!$K$73*0.21</f>
        <v>1210198.3550999998</v>
      </c>
      <c r="I35" s="89">
        <f>'MONTHLY STATS'!$K$83*0.21</f>
        <v>2217628.3709999998</v>
      </c>
      <c r="J35" s="89">
        <f>'MONTHLY STATS'!$K$93*0.21</f>
        <v>2642759.2442999999</v>
      </c>
      <c r="K35" s="89">
        <f>'MONTHLY STATS'!$K$103*0.21</f>
        <v>3042247.1498999996</v>
      </c>
      <c r="L35" s="89">
        <f>'MONTHLY STATS'!$K$113*0.21</f>
        <v>556027.24799999991</v>
      </c>
      <c r="M35" s="89">
        <f>'MONTHLY STATS'!$K$123*0.21</f>
        <v>4002673.4600999998</v>
      </c>
      <c r="N35" s="89">
        <f>'MONTHLY STATS'!$K$133*0.21</f>
        <v>537440.32860000001</v>
      </c>
      <c r="O35" s="90">
        <f t="shared" si="2"/>
        <v>24760484.7819</v>
      </c>
      <c r="P35" s="83"/>
    </row>
    <row r="36" spans="1:16" ht="15.75" x14ac:dyDescent="0.25">
      <c r="A36" s="88">
        <f>DATE(2020,12,1)</f>
        <v>44166</v>
      </c>
      <c r="B36" s="89">
        <f>'MONTHLY STATS'!$K$14*0.21</f>
        <v>2627025.0530999997</v>
      </c>
      <c r="C36" s="89">
        <f>'MONTHLY STATS'!$K$24*0.21</f>
        <v>1210539.8529000001</v>
      </c>
      <c r="D36" s="89">
        <f>'MONTHLY STATS'!$K$34*0.21</f>
        <v>705852.34649999999</v>
      </c>
      <c r="E36" s="89">
        <f>'MONTHLY STATS'!$K$44*0.21</f>
        <v>3089789.0141999996</v>
      </c>
      <c r="F36" s="89">
        <f>'MONTHLY STATS'!$K$54*0.21</f>
        <v>2771255.1782999998</v>
      </c>
      <c r="G36" s="89">
        <f>'MONTHLY STATS'!$K$64*0.21</f>
        <v>1288720.1523</v>
      </c>
      <c r="H36" s="89">
        <f>'MONTHLY STATS'!$K$74*0.21</f>
        <v>1340633.1225000001</v>
      </c>
      <c r="I36" s="89">
        <f>'MONTHLY STATS'!$K$84*0.21</f>
        <v>2902140.3725999999</v>
      </c>
      <c r="J36" s="89">
        <f>'MONTHLY STATS'!$K$94*0.21</f>
        <v>2965104.7376999999</v>
      </c>
      <c r="K36" s="89">
        <f>'MONTHLY STATS'!$K$104*0.21</f>
        <v>2959828.2608999996</v>
      </c>
      <c r="L36" s="89">
        <f>'MONTHLY STATS'!$K$114*0.21</f>
        <v>697840.98930000002</v>
      </c>
      <c r="M36" s="89">
        <f>'MONTHLY STATS'!$K$124*0.21</f>
        <v>5015026.0208999999</v>
      </c>
      <c r="N36" s="89">
        <f>'MONTHLY STATS'!$K$134*0.21</f>
        <v>590987.98709999991</v>
      </c>
      <c r="O36" s="90">
        <f t="shared" si="2"/>
        <v>28164743.088300001</v>
      </c>
      <c r="P36" s="83"/>
    </row>
    <row r="37" spans="1:16" ht="15.75" x14ac:dyDescent="0.25">
      <c r="A37" s="88">
        <f>DATE(2021,1,1)</f>
        <v>44197</v>
      </c>
      <c r="B37" s="89">
        <f>'MONTHLY STATS'!$K$15*0.21</f>
        <v>2688803.0274</v>
      </c>
      <c r="C37" s="89">
        <f>'MONTHLY STATS'!$K$25*0.21</f>
        <v>1489277.7479999999</v>
      </c>
      <c r="D37" s="89">
        <f>'MONTHLY STATS'!$K$35*0.21</f>
        <v>858947.24789999996</v>
      </c>
      <c r="E37" s="89">
        <f>'MONTHLY STATS'!$K$45*0.21</f>
        <v>3050253.3641999997</v>
      </c>
      <c r="F37" s="89">
        <f>'MONTHLY STATS'!$K$55*0.21</f>
        <v>3163924.9068</v>
      </c>
      <c r="G37" s="89">
        <f>'MONTHLY STATS'!$K$65*0.21</f>
        <v>1431021.4652999998</v>
      </c>
      <c r="H37" s="89">
        <f>'MONTHLY STATS'!$K$75*0.21</f>
        <v>1452439.8084</v>
      </c>
      <c r="I37" s="89">
        <f>'MONTHLY STATS'!$K$85*0.21</f>
        <v>3345981.1329000001</v>
      </c>
      <c r="J37" s="89">
        <f>'MONTHLY STATS'!$K$95*0.21</f>
        <v>3305764.3583999998</v>
      </c>
      <c r="K37" s="89">
        <f>'MONTHLY STATS'!$K$105*0.21</f>
        <v>3294688.5656999997</v>
      </c>
      <c r="L37" s="89">
        <f>'MONTHLY STATS'!$K$115*0.21</f>
        <v>737287.87229999993</v>
      </c>
      <c r="M37" s="89">
        <f>'MONTHLY STATS'!$K$125*0.21</f>
        <v>5454705.8013000004</v>
      </c>
      <c r="N37" s="89">
        <f>'MONTHLY STATS'!$K$135*0.21</f>
        <v>660570.90749999997</v>
      </c>
      <c r="O37" s="90">
        <f>SUM(B37:N37)</f>
        <v>30933666.206099994</v>
      </c>
      <c r="P37" s="83"/>
    </row>
    <row r="38" spans="1:16" ht="15.75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83"/>
    </row>
    <row r="39" spans="1:16" ht="15.75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83"/>
    </row>
    <row r="40" spans="1:16" ht="15.75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3">SUM(B31:B42)</f>
        <v>18519250.791299999</v>
      </c>
      <c r="C44" s="90">
        <f t="shared" si="3"/>
        <v>8702559.3837000001</v>
      </c>
      <c r="D44" s="90">
        <f t="shared" si="3"/>
        <v>4985878.0586999999</v>
      </c>
      <c r="E44" s="90">
        <f t="shared" si="3"/>
        <v>21692936.934899997</v>
      </c>
      <c r="F44" s="90">
        <f t="shared" si="3"/>
        <v>21382031.055</v>
      </c>
      <c r="G44" s="90">
        <f t="shared" si="3"/>
        <v>7852501.0053000003</v>
      </c>
      <c r="H44" s="90">
        <f t="shared" si="3"/>
        <v>8296199.4191999994</v>
      </c>
      <c r="I44" s="90">
        <f>SUM(I31:I42)</f>
        <v>18200637.741299998</v>
      </c>
      <c r="J44" s="90">
        <f t="shared" si="3"/>
        <v>20718186.736799996</v>
      </c>
      <c r="K44" s="90">
        <f>SUM(K31:K42)</f>
        <v>22671543.404999994</v>
      </c>
      <c r="L44" s="90">
        <f t="shared" si="3"/>
        <v>4455386.1218999997</v>
      </c>
      <c r="M44" s="90">
        <f t="shared" si="3"/>
        <v>32494832.111699998</v>
      </c>
      <c r="N44" s="90">
        <f t="shared" si="3"/>
        <v>4554194.0115</v>
      </c>
      <c r="O44" s="90">
        <f t="shared" si="3"/>
        <v>194526136.77629998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</row>
    <row r="49" spans="1:9" ht="15.75" x14ac:dyDescent="0.25">
      <c r="A49" s="115" t="s">
        <v>29</v>
      </c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115"/>
      <c r="B50" s="98"/>
      <c r="C50" s="98"/>
      <c r="D50" s="98"/>
      <c r="E50" s="98"/>
      <c r="F50" s="98"/>
      <c r="G50" s="98"/>
      <c r="H50" s="98"/>
      <c r="I50" s="98"/>
    </row>
    <row r="51" spans="1:9" ht="15.75" x14ac:dyDescent="0.25">
      <c r="A51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44"/>
  <sheetViews>
    <sheetView showOutlineSymbols="0" view="pageBreakPreview" topLeftCell="A98" zoomScale="60" zoomScaleNormal="100" workbookViewId="0">
      <selection activeCell="A5" sqref="A5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74</v>
      </c>
      <c r="B3" s="117"/>
      <c r="C3" s="200"/>
      <c r="D3" s="200"/>
      <c r="E3" s="200"/>
      <c r="F3" s="117"/>
      <c r="G3" s="210"/>
    </row>
    <row r="4" spans="1:8" x14ac:dyDescent="0.2">
      <c r="A4" s="284" t="s">
        <v>75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DATE(2020,7,1)</f>
        <v>44013</v>
      </c>
      <c r="C9" s="204">
        <v>9990468.4100000001</v>
      </c>
      <c r="D9" s="204">
        <v>1959351.91</v>
      </c>
      <c r="E9" s="204">
        <v>2192281.5</v>
      </c>
      <c r="F9" s="132">
        <f t="shared" ref="F9:F15" si="0">(+D9-E9)/E9</f>
        <v>-0.10624985431843496</v>
      </c>
      <c r="G9" s="215">
        <f t="shared" ref="G9:G15" si="1">D9/C9</f>
        <v>0.19612212657003936</v>
      </c>
      <c r="H9" s="123"/>
    </row>
    <row r="10" spans="1:8" ht="15.75" x14ac:dyDescent="0.25">
      <c r="A10" s="130"/>
      <c r="B10" s="131">
        <f>DATE(2020,8,1)</f>
        <v>44044</v>
      </c>
      <c r="C10" s="204">
        <v>8751467</v>
      </c>
      <c r="D10" s="204">
        <v>1567013</v>
      </c>
      <c r="E10" s="204">
        <v>1845303</v>
      </c>
      <c r="F10" s="132">
        <f t="shared" si="0"/>
        <v>-0.1508099211890947</v>
      </c>
      <c r="G10" s="215">
        <f t="shared" si="1"/>
        <v>0.17905717978482921</v>
      </c>
      <c r="H10" s="123"/>
    </row>
    <row r="11" spans="1:8" ht="15.75" x14ac:dyDescent="0.25">
      <c r="A11" s="130"/>
      <c r="B11" s="131">
        <f>DATE(2020,9,1)</f>
        <v>44075</v>
      </c>
      <c r="C11" s="204">
        <v>8691740</v>
      </c>
      <c r="D11" s="204">
        <v>1378249</v>
      </c>
      <c r="E11" s="204">
        <v>1703371</v>
      </c>
      <c r="F11" s="132">
        <f t="shared" si="0"/>
        <v>-0.19086975180392293</v>
      </c>
      <c r="G11" s="215">
        <f t="shared" si="1"/>
        <v>0.15856997563203684</v>
      </c>
      <c r="H11" s="123"/>
    </row>
    <row r="12" spans="1:8" ht="15.75" x14ac:dyDescent="0.25">
      <c r="A12" s="130"/>
      <c r="B12" s="131">
        <f>DATE(2020,10,1)</f>
        <v>44105</v>
      </c>
      <c r="C12" s="204">
        <v>8802128</v>
      </c>
      <c r="D12" s="204">
        <v>1495832.5</v>
      </c>
      <c r="E12" s="204">
        <v>1844628</v>
      </c>
      <c r="F12" s="132">
        <f t="shared" si="0"/>
        <v>-0.18908717638461522</v>
      </c>
      <c r="G12" s="215">
        <f t="shared" si="1"/>
        <v>0.16993987135838062</v>
      </c>
      <c r="H12" s="123"/>
    </row>
    <row r="13" spans="1:8" ht="15.75" x14ac:dyDescent="0.25">
      <c r="A13" s="130"/>
      <c r="B13" s="131">
        <f>DATE(2020,11,1)</f>
        <v>44136</v>
      </c>
      <c r="C13" s="204">
        <v>8465916</v>
      </c>
      <c r="D13" s="204">
        <v>1446618</v>
      </c>
      <c r="E13" s="204">
        <v>1695412.5</v>
      </c>
      <c r="F13" s="132">
        <f t="shared" si="0"/>
        <v>-0.14674570347924179</v>
      </c>
      <c r="G13" s="215">
        <f t="shared" si="1"/>
        <v>0.17087554376868375</v>
      </c>
      <c r="H13" s="123"/>
    </row>
    <row r="14" spans="1:8" ht="15.75" x14ac:dyDescent="0.25">
      <c r="A14" s="130"/>
      <c r="B14" s="131">
        <f>DATE(2020,12,1)</f>
        <v>44166</v>
      </c>
      <c r="C14" s="204">
        <v>9313724</v>
      </c>
      <c r="D14" s="204">
        <v>1661463</v>
      </c>
      <c r="E14" s="204">
        <v>1854155.5</v>
      </c>
      <c r="F14" s="132">
        <f t="shared" si="0"/>
        <v>-0.10392467082723104</v>
      </c>
      <c r="G14" s="215">
        <f t="shared" si="1"/>
        <v>0.17838868748955841</v>
      </c>
      <c r="H14" s="123"/>
    </row>
    <row r="15" spans="1:8" ht="15.75" x14ac:dyDescent="0.25">
      <c r="A15" s="130"/>
      <c r="B15" s="131">
        <f>DATE(2021,1,1)</f>
        <v>44197</v>
      </c>
      <c r="C15" s="204">
        <v>9656853</v>
      </c>
      <c r="D15" s="204">
        <v>1430188</v>
      </c>
      <c r="E15" s="204">
        <v>1814739</v>
      </c>
      <c r="F15" s="132">
        <f t="shared" si="0"/>
        <v>-0.21190430138989683</v>
      </c>
      <c r="G15" s="215">
        <f t="shared" si="1"/>
        <v>0.14810083574845759</v>
      </c>
      <c r="H15" s="123"/>
    </row>
    <row r="16" spans="1:8" ht="15.75" thickBot="1" x14ac:dyDescent="0.25">
      <c r="A16" s="133"/>
      <c r="B16" s="134"/>
      <c r="C16" s="204"/>
      <c r="D16" s="204"/>
      <c r="E16" s="204"/>
      <c r="F16" s="132"/>
      <c r="G16" s="215"/>
      <c r="H16" s="123"/>
    </row>
    <row r="17" spans="1:8" ht="17.25" thickTop="1" thickBot="1" x14ac:dyDescent="0.3">
      <c r="A17" s="135" t="s">
        <v>14</v>
      </c>
      <c r="B17" s="136"/>
      <c r="C17" s="201">
        <f>SUM(C9:C16)</f>
        <v>63672296.409999996</v>
      </c>
      <c r="D17" s="201">
        <f>SUM(D9:D16)</f>
        <v>10938715.41</v>
      </c>
      <c r="E17" s="201">
        <f>SUM(E9:E16)</f>
        <v>12949890.5</v>
      </c>
      <c r="F17" s="137">
        <f>(+D17-E17)/E17</f>
        <v>-0.15530440894461617</v>
      </c>
      <c r="G17" s="212">
        <f>D17/C17</f>
        <v>0.17179709271930751</v>
      </c>
      <c r="H17" s="123"/>
    </row>
    <row r="18" spans="1:8" ht="15.75" customHeight="1" thickTop="1" x14ac:dyDescent="0.25">
      <c r="A18" s="138"/>
      <c r="B18" s="139"/>
      <c r="C18" s="205"/>
      <c r="D18" s="205"/>
      <c r="E18" s="205"/>
      <c r="F18" s="140"/>
      <c r="G18" s="216"/>
      <c r="H18" s="123"/>
    </row>
    <row r="19" spans="1:8" ht="15.75" x14ac:dyDescent="0.25">
      <c r="A19" s="19" t="s">
        <v>15</v>
      </c>
      <c r="B19" s="131">
        <f>DATE(2020,7,1)</f>
        <v>44013</v>
      </c>
      <c r="C19" s="204">
        <v>1658177</v>
      </c>
      <c r="D19" s="204">
        <v>547209</v>
      </c>
      <c r="E19" s="204">
        <v>728719</v>
      </c>
      <c r="F19" s="132">
        <f t="shared" ref="F19:F25" si="2">(+D19-E19)/E19</f>
        <v>-0.24908092145257638</v>
      </c>
      <c r="G19" s="215">
        <f t="shared" ref="G19:G25" si="3">D19/C19</f>
        <v>0.33000638653171527</v>
      </c>
      <c r="H19" s="123"/>
    </row>
    <row r="20" spans="1:8" ht="15.75" x14ac:dyDescent="0.25">
      <c r="A20" s="19"/>
      <c r="B20" s="131">
        <f>DATE(2020,8,1)</f>
        <v>44044</v>
      </c>
      <c r="C20" s="204">
        <v>1982325</v>
      </c>
      <c r="D20" s="204">
        <v>526001.5</v>
      </c>
      <c r="E20" s="204">
        <v>718107.5</v>
      </c>
      <c r="F20" s="132">
        <f t="shared" si="2"/>
        <v>-0.2675170500238474</v>
      </c>
      <c r="G20" s="215">
        <f t="shared" si="3"/>
        <v>0.26534574300379604</v>
      </c>
      <c r="H20" s="123"/>
    </row>
    <row r="21" spans="1:8" ht="15.75" x14ac:dyDescent="0.25">
      <c r="A21" s="19"/>
      <c r="B21" s="131">
        <f>DATE(2020,9,1)</f>
        <v>44075</v>
      </c>
      <c r="C21" s="204">
        <v>1922059</v>
      </c>
      <c r="D21" s="204">
        <v>401819.5</v>
      </c>
      <c r="E21" s="204">
        <v>573243</v>
      </c>
      <c r="F21" s="132">
        <f t="shared" si="2"/>
        <v>-0.29904159318125123</v>
      </c>
      <c r="G21" s="215">
        <f t="shared" si="3"/>
        <v>0.20905679794428786</v>
      </c>
      <c r="H21" s="123"/>
    </row>
    <row r="22" spans="1:8" ht="15.75" x14ac:dyDescent="0.25">
      <c r="A22" s="19"/>
      <c r="B22" s="131">
        <f>DATE(2020,10,1)</f>
        <v>44105</v>
      </c>
      <c r="C22" s="204">
        <v>2326336</v>
      </c>
      <c r="D22" s="204">
        <v>614154.5</v>
      </c>
      <c r="E22" s="204">
        <v>591260.5</v>
      </c>
      <c r="F22" s="132">
        <f t="shared" si="2"/>
        <v>3.872066542581485E-2</v>
      </c>
      <c r="G22" s="215">
        <f t="shared" si="3"/>
        <v>0.26400077202949185</v>
      </c>
      <c r="H22" s="123"/>
    </row>
    <row r="23" spans="1:8" ht="15.75" x14ac:dyDescent="0.25">
      <c r="A23" s="19"/>
      <c r="B23" s="131">
        <f>DATE(2020,11,1)</f>
        <v>44136</v>
      </c>
      <c r="C23" s="204">
        <v>2058779</v>
      </c>
      <c r="D23" s="204">
        <v>534831.5</v>
      </c>
      <c r="E23" s="204">
        <v>527573</v>
      </c>
      <c r="F23" s="132">
        <f t="shared" si="2"/>
        <v>1.3758285583227345E-2</v>
      </c>
      <c r="G23" s="215">
        <f t="shared" si="3"/>
        <v>0.25978091869015568</v>
      </c>
      <c r="H23" s="123"/>
    </row>
    <row r="24" spans="1:8" ht="15.75" x14ac:dyDescent="0.25">
      <c r="A24" s="19"/>
      <c r="B24" s="131">
        <f>DATE(2020,12,1)</f>
        <v>44166</v>
      </c>
      <c r="C24" s="204">
        <v>1993699</v>
      </c>
      <c r="D24" s="204">
        <v>508771</v>
      </c>
      <c r="E24" s="204">
        <v>731643</v>
      </c>
      <c r="F24" s="132">
        <f t="shared" si="2"/>
        <v>-0.30461850930030082</v>
      </c>
      <c r="G24" s="215">
        <f t="shared" si="3"/>
        <v>0.25518947443922074</v>
      </c>
      <c r="H24" s="123"/>
    </row>
    <row r="25" spans="1:8" ht="15.75" x14ac:dyDescent="0.25">
      <c r="A25" s="19"/>
      <c r="B25" s="131">
        <f>DATE(2021,1,1)</f>
        <v>44197</v>
      </c>
      <c r="C25" s="204">
        <v>2392071</v>
      </c>
      <c r="D25" s="204">
        <v>717489.5</v>
      </c>
      <c r="E25" s="204">
        <v>617104</v>
      </c>
      <c r="F25" s="132">
        <f t="shared" si="2"/>
        <v>0.1626719321216521</v>
      </c>
      <c r="G25" s="215">
        <f t="shared" si="3"/>
        <v>0.29994490130100654</v>
      </c>
      <c r="H25" s="123"/>
    </row>
    <row r="26" spans="1:8" ht="15.75" thickBot="1" x14ac:dyDescent="0.25">
      <c r="A26" s="133"/>
      <c r="B26" s="131"/>
      <c r="C26" s="204"/>
      <c r="D26" s="204"/>
      <c r="E26" s="204"/>
      <c r="F26" s="132"/>
      <c r="G26" s="215"/>
      <c r="H26" s="123"/>
    </row>
    <row r="27" spans="1:8" ht="17.25" thickTop="1" thickBot="1" x14ac:dyDescent="0.3">
      <c r="A27" s="135" t="s">
        <v>14</v>
      </c>
      <c r="B27" s="136"/>
      <c r="C27" s="201">
        <f>SUM(C19:C26)</f>
        <v>14333446</v>
      </c>
      <c r="D27" s="201">
        <f>SUM(D19:D26)</f>
        <v>3850276.5</v>
      </c>
      <c r="E27" s="201">
        <f>SUM(E19:E26)</f>
        <v>4487650</v>
      </c>
      <c r="F27" s="137">
        <f>(+D27-E27)/E27</f>
        <v>-0.14202834445645271</v>
      </c>
      <c r="G27" s="212">
        <f>D27/C27</f>
        <v>0.26862183036793802</v>
      </c>
      <c r="H27" s="123"/>
    </row>
    <row r="28" spans="1:8" ht="15.75" customHeight="1" thickTop="1" x14ac:dyDescent="0.25">
      <c r="A28" s="255"/>
      <c r="B28" s="139"/>
      <c r="C28" s="205"/>
      <c r="D28" s="205"/>
      <c r="E28" s="205"/>
      <c r="F28" s="140"/>
      <c r="G28" s="219"/>
      <c r="H28" s="123"/>
    </row>
    <row r="29" spans="1:8" ht="15.75" x14ac:dyDescent="0.25">
      <c r="A29" s="19" t="s">
        <v>65</v>
      </c>
      <c r="B29" s="131">
        <f>DATE(2020,7,1)</f>
        <v>44013</v>
      </c>
      <c r="C29" s="204">
        <v>1270413</v>
      </c>
      <c r="D29" s="204">
        <v>362069</v>
      </c>
      <c r="E29" s="204">
        <v>293379.5</v>
      </c>
      <c r="F29" s="132">
        <f t="shared" ref="F29:F35" si="4">(+D29-E29)/E29</f>
        <v>0.23413190083151686</v>
      </c>
      <c r="G29" s="215">
        <f t="shared" ref="G29:G35" si="5">D29/C29</f>
        <v>0.28500101935354882</v>
      </c>
      <c r="H29" s="123"/>
    </row>
    <row r="30" spans="1:8" ht="15.75" x14ac:dyDescent="0.25">
      <c r="A30" s="19"/>
      <c r="B30" s="131">
        <f>DATE(2020,8,1)</f>
        <v>44044</v>
      </c>
      <c r="C30" s="204">
        <v>1273813</v>
      </c>
      <c r="D30" s="204">
        <v>264520</v>
      </c>
      <c r="E30" s="204">
        <v>306469</v>
      </c>
      <c r="F30" s="132">
        <f t="shared" si="4"/>
        <v>-0.13687844447562397</v>
      </c>
      <c r="G30" s="215">
        <f t="shared" si="5"/>
        <v>0.20765999404936203</v>
      </c>
      <c r="H30" s="123"/>
    </row>
    <row r="31" spans="1:8" ht="15.75" x14ac:dyDescent="0.25">
      <c r="A31" s="19"/>
      <c r="B31" s="131">
        <f>DATE(2020,9,1)</f>
        <v>44075</v>
      </c>
      <c r="C31" s="204">
        <v>1439276</v>
      </c>
      <c r="D31" s="204">
        <v>282126.5</v>
      </c>
      <c r="E31" s="204">
        <v>301048.5</v>
      </c>
      <c r="F31" s="132">
        <f t="shared" si="4"/>
        <v>-6.2853659792359032E-2</v>
      </c>
      <c r="G31" s="215">
        <f t="shared" si="5"/>
        <v>0.19601973492228036</v>
      </c>
      <c r="H31" s="123"/>
    </row>
    <row r="32" spans="1:8" ht="15.75" x14ac:dyDescent="0.25">
      <c r="A32" s="19"/>
      <c r="B32" s="131">
        <f>DATE(2020,10,1)</f>
        <v>44105</v>
      </c>
      <c r="C32" s="204">
        <v>1274380</v>
      </c>
      <c r="D32" s="204">
        <v>409251</v>
      </c>
      <c r="E32" s="204">
        <v>332474</v>
      </c>
      <c r="F32" s="132">
        <f t="shared" si="4"/>
        <v>0.2309263280737742</v>
      </c>
      <c r="G32" s="215">
        <f t="shared" si="5"/>
        <v>0.32113733737189848</v>
      </c>
      <c r="H32" s="123"/>
    </row>
    <row r="33" spans="1:8" ht="15.75" x14ac:dyDescent="0.25">
      <c r="A33" s="19"/>
      <c r="B33" s="131">
        <f>DATE(2020,11,1)</f>
        <v>44136</v>
      </c>
      <c r="C33" s="204">
        <v>1032984</v>
      </c>
      <c r="D33" s="204">
        <v>302858</v>
      </c>
      <c r="E33" s="204">
        <v>408121.5</v>
      </c>
      <c r="F33" s="132">
        <f t="shared" si="4"/>
        <v>-0.25792196686525948</v>
      </c>
      <c r="G33" s="215">
        <f t="shared" si="5"/>
        <v>0.29318750338824223</v>
      </c>
      <c r="H33" s="123"/>
    </row>
    <row r="34" spans="1:8" ht="15.75" x14ac:dyDescent="0.25">
      <c r="A34" s="19"/>
      <c r="B34" s="131">
        <f>DATE(2020,12,1)</f>
        <v>44166</v>
      </c>
      <c r="C34" s="204">
        <v>1323876</v>
      </c>
      <c r="D34" s="204">
        <v>403813</v>
      </c>
      <c r="E34" s="204">
        <v>350849</v>
      </c>
      <c r="F34" s="132">
        <f t="shared" si="4"/>
        <v>0.15095952959820322</v>
      </c>
      <c r="G34" s="215">
        <f t="shared" si="5"/>
        <v>0.30502328012593327</v>
      </c>
      <c r="H34" s="123"/>
    </row>
    <row r="35" spans="1:8" ht="15.75" x14ac:dyDescent="0.25">
      <c r="A35" s="19"/>
      <c r="B35" s="131">
        <f>DATE(2021,1,1)</f>
        <v>44197</v>
      </c>
      <c r="C35" s="204">
        <v>1355483</v>
      </c>
      <c r="D35" s="204">
        <v>351038</v>
      </c>
      <c r="E35" s="204">
        <v>350509</v>
      </c>
      <c r="F35" s="132">
        <f t="shared" si="4"/>
        <v>1.5092337143982038E-3</v>
      </c>
      <c r="G35" s="215">
        <f t="shared" si="5"/>
        <v>0.25897632061781667</v>
      </c>
      <c r="H35" s="123"/>
    </row>
    <row r="36" spans="1:8" ht="15.75" thickBot="1" x14ac:dyDescent="0.25">
      <c r="A36" s="133"/>
      <c r="B36" s="131"/>
      <c r="C36" s="204"/>
      <c r="D36" s="204"/>
      <c r="E36" s="204"/>
      <c r="F36" s="132"/>
      <c r="G36" s="215"/>
      <c r="H36" s="123"/>
    </row>
    <row r="37" spans="1:8" ht="17.25" thickTop="1" thickBot="1" x14ac:dyDescent="0.3">
      <c r="A37" s="141" t="s">
        <v>14</v>
      </c>
      <c r="B37" s="142"/>
      <c r="C37" s="206">
        <f>SUM(C29:C36)</f>
        <v>8970225</v>
      </c>
      <c r="D37" s="206">
        <f>SUM(D29:D36)</f>
        <v>2375675.5</v>
      </c>
      <c r="E37" s="206">
        <f>SUM(E29:E36)</f>
        <v>2342850.5</v>
      </c>
      <c r="F37" s="143">
        <f>(+D37-E37)/E37</f>
        <v>1.4010710457197333E-2</v>
      </c>
      <c r="G37" s="217">
        <f>D37/C37</f>
        <v>0.26484012385419542</v>
      </c>
      <c r="H37" s="123"/>
    </row>
    <row r="38" spans="1:8" ht="15.75" thickTop="1" x14ac:dyDescent="0.2">
      <c r="A38" s="133"/>
      <c r="B38" s="134"/>
      <c r="C38" s="204"/>
      <c r="D38" s="204"/>
      <c r="E38" s="204"/>
      <c r="F38" s="132"/>
      <c r="G38" s="218"/>
      <c r="H38" s="123"/>
    </row>
    <row r="39" spans="1:8" ht="15.75" x14ac:dyDescent="0.25">
      <c r="A39" s="177" t="s">
        <v>59</v>
      </c>
      <c r="B39" s="131">
        <f>DATE(2020,7,1)</f>
        <v>44013</v>
      </c>
      <c r="C39" s="204">
        <v>10382905</v>
      </c>
      <c r="D39" s="204">
        <v>1708169.06</v>
      </c>
      <c r="E39" s="204">
        <v>3167330.9</v>
      </c>
      <c r="F39" s="132">
        <f t="shared" ref="F39:F45" si="6">(+D39-E39)/E39</f>
        <v>-0.46069131583315148</v>
      </c>
      <c r="G39" s="215">
        <f t="shared" ref="G39:G45" si="7">D39/C39</f>
        <v>0.16451745055935696</v>
      </c>
      <c r="H39" s="123"/>
    </row>
    <row r="40" spans="1:8" ht="15.75" x14ac:dyDescent="0.25">
      <c r="A40" s="177"/>
      <c r="B40" s="131">
        <f>DATE(2020,8,1)</f>
        <v>44044</v>
      </c>
      <c r="C40" s="204">
        <v>11468634</v>
      </c>
      <c r="D40" s="204">
        <v>2028826.5</v>
      </c>
      <c r="E40" s="204">
        <v>3869820.12</v>
      </c>
      <c r="F40" s="132">
        <f t="shared" si="6"/>
        <v>-0.47573105801103749</v>
      </c>
      <c r="G40" s="215">
        <f t="shared" si="7"/>
        <v>0.17690219253661771</v>
      </c>
      <c r="H40" s="123"/>
    </row>
    <row r="41" spans="1:8" ht="15.75" x14ac:dyDescent="0.25">
      <c r="A41" s="177"/>
      <c r="B41" s="131">
        <f>DATE(2020,9,1)</f>
        <v>44075</v>
      </c>
      <c r="C41" s="204">
        <v>10567803</v>
      </c>
      <c r="D41" s="204">
        <v>2149169</v>
      </c>
      <c r="E41" s="204">
        <v>2776000.96</v>
      </c>
      <c r="F41" s="132">
        <f t="shared" si="6"/>
        <v>-0.22580394208509205</v>
      </c>
      <c r="G41" s="215">
        <f t="shared" si="7"/>
        <v>0.20336951777015524</v>
      </c>
      <c r="H41" s="123"/>
    </row>
    <row r="42" spans="1:8" ht="15.75" x14ac:dyDescent="0.25">
      <c r="A42" s="177"/>
      <c r="B42" s="131">
        <f>DATE(2020,10,1)</f>
        <v>44105</v>
      </c>
      <c r="C42" s="204">
        <v>11375206</v>
      </c>
      <c r="D42" s="204">
        <v>2042559.98</v>
      </c>
      <c r="E42" s="204">
        <v>3235048.5</v>
      </c>
      <c r="F42" s="132">
        <f t="shared" si="6"/>
        <v>-0.3686153453340808</v>
      </c>
      <c r="G42" s="215">
        <f t="shared" si="7"/>
        <v>0.17956246067104192</v>
      </c>
      <c r="H42" s="123"/>
    </row>
    <row r="43" spans="1:8" ht="15.75" x14ac:dyDescent="0.25">
      <c r="A43" s="177"/>
      <c r="B43" s="131">
        <f>DATE(2020,11,1)</f>
        <v>44136</v>
      </c>
      <c r="C43" s="204">
        <v>10584433</v>
      </c>
      <c r="D43" s="204">
        <v>2060677.45</v>
      </c>
      <c r="E43" s="204">
        <v>3242492.5</v>
      </c>
      <c r="F43" s="132">
        <f t="shared" si="6"/>
        <v>-0.36447734266154819</v>
      </c>
      <c r="G43" s="215">
        <f t="shared" si="7"/>
        <v>0.19468945100790944</v>
      </c>
      <c r="H43" s="123"/>
    </row>
    <row r="44" spans="1:8" ht="15.75" x14ac:dyDescent="0.25">
      <c r="A44" s="177"/>
      <c r="B44" s="131">
        <f>DATE(2020,12,1)</f>
        <v>44166</v>
      </c>
      <c r="C44" s="204">
        <v>10535486</v>
      </c>
      <c r="D44" s="204">
        <v>2612129.91</v>
      </c>
      <c r="E44" s="204">
        <v>2919239.74</v>
      </c>
      <c r="F44" s="132">
        <f t="shared" si="6"/>
        <v>-0.10520199002223779</v>
      </c>
      <c r="G44" s="215">
        <f t="shared" si="7"/>
        <v>0.24793634674280809</v>
      </c>
      <c r="H44" s="123"/>
    </row>
    <row r="45" spans="1:8" ht="15.75" x14ac:dyDescent="0.25">
      <c r="A45" s="177"/>
      <c r="B45" s="131">
        <f>DATE(2021,1,1)</f>
        <v>44197</v>
      </c>
      <c r="C45" s="204">
        <v>11133992</v>
      </c>
      <c r="D45" s="204">
        <v>2320369.71</v>
      </c>
      <c r="E45" s="204">
        <v>2925730.5</v>
      </c>
      <c r="F45" s="132">
        <f t="shared" si="6"/>
        <v>-0.20690927957992031</v>
      </c>
      <c r="G45" s="215">
        <f t="shared" si="7"/>
        <v>0.20840411148130877</v>
      </c>
      <c r="H45" s="123"/>
    </row>
    <row r="46" spans="1:8" ht="15.75" customHeight="1" thickBot="1" x14ac:dyDescent="0.25">
      <c r="A46" s="133"/>
      <c r="B46" s="134"/>
      <c r="C46" s="204"/>
      <c r="D46" s="204"/>
      <c r="E46" s="204"/>
      <c r="F46" s="132"/>
      <c r="G46" s="215"/>
      <c r="H46" s="123"/>
    </row>
    <row r="47" spans="1:8" ht="17.25" customHeight="1" thickTop="1" thickBot="1" x14ac:dyDescent="0.3">
      <c r="A47" s="141" t="s">
        <v>14</v>
      </c>
      <c r="B47" s="142"/>
      <c r="C47" s="206">
        <f>SUM(C39:C46)</f>
        <v>76048459</v>
      </c>
      <c r="D47" s="206">
        <f>SUM(D39:D46)</f>
        <v>14921901.609999999</v>
      </c>
      <c r="E47" s="206">
        <f>SUM(E39:E46)</f>
        <v>22135663.219999999</v>
      </c>
      <c r="F47" s="143">
        <f>(+D47-E47)/E47</f>
        <v>-0.32588865932339567</v>
      </c>
      <c r="G47" s="217">
        <f>D47/C47</f>
        <v>0.19621569991313037</v>
      </c>
      <c r="H47" s="123"/>
    </row>
    <row r="48" spans="1:8" ht="15.75" customHeight="1" thickTop="1" x14ac:dyDescent="0.2">
      <c r="A48" s="133"/>
      <c r="B48" s="134"/>
      <c r="C48" s="204"/>
      <c r="D48" s="204"/>
      <c r="E48" s="204"/>
      <c r="F48" s="132"/>
      <c r="G48" s="218"/>
      <c r="H48" s="123"/>
    </row>
    <row r="49" spans="1:8" ht="15" customHeight="1" x14ac:dyDescent="0.25">
      <c r="A49" s="130" t="s">
        <v>63</v>
      </c>
      <c r="B49" s="131">
        <f>DATE(2020,7,1)</f>
        <v>44013</v>
      </c>
      <c r="C49" s="204">
        <v>12794651</v>
      </c>
      <c r="D49" s="204">
        <v>2410424.5</v>
      </c>
      <c r="E49" s="204">
        <v>2665528.5</v>
      </c>
      <c r="F49" s="132">
        <f t="shared" ref="F49:F55" si="8">(+D49-E49)/E49</f>
        <v>-9.5704848025447861E-2</v>
      </c>
      <c r="G49" s="215">
        <f t="shared" ref="G49:G55" si="9">D49/C49</f>
        <v>0.18839314179026845</v>
      </c>
      <c r="H49" s="123"/>
    </row>
    <row r="50" spans="1:8" ht="15" customHeight="1" x14ac:dyDescent="0.25">
      <c r="A50" s="130"/>
      <c r="B50" s="131">
        <f>DATE(2020,8,1)</f>
        <v>44044</v>
      </c>
      <c r="C50" s="204">
        <v>14515756</v>
      </c>
      <c r="D50" s="204">
        <v>3089216</v>
      </c>
      <c r="E50" s="204">
        <v>3359489.5</v>
      </c>
      <c r="F50" s="132">
        <f t="shared" si="8"/>
        <v>-8.0450764915324186E-2</v>
      </c>
      <c r="G50" s="215">
        <f t="shared" si="9"/>
        <v>0.21281812673070558</v>
      </c>
      <c r="H50" s="123"/>
    </row>
    <row r="51" spans="1:8" ht="15" customHeight="1" x14ac:dyDescent="0.25">
      <c r="A51" s="130"/>
      <c r="B51" s="131">
        <f>DATE(2020,9,1)</f>
        <v>44075</v>
      </c>
      <c r="C51" s="204">
        <v>14427547.390000001</v>
      </c>
      <c r="D51" s="204">
        <v>3482647.89</v>
      </c>
      <c r="E51" s="204">
        <v>3201605.5</v>
      </c>
      <c r="F51" s="132">
        <f t="shared" si="8"/>
        <v>8.7781705147620515E-2</v>
      </c>
      <c r="G51" s="215">
        <f t="shared" si="9"/>
        <v>0.24138876801845666</v>
      </c>
      <c r="H51" s="123"/>
    </row>
    <row r="52" spans="1:8" ht="15" customHeight="1" x14ac:dyDescent="0.25">
      <c r="A52" s="130"/>
      <c r="B52" s="131">
        <f>DATE(2020,10,1)</f>
        <v>44105</v>
      </c>
      <c r="C52" s="204">
        <v>13869107</v>
      </c>
      <c r="D52" s="204">
        <v>3519544</v>
      </c>
      <c r="E52" s="204">
        <v>3223827</v>
      </c>
      <c r="F52" s="132">
        <f t="shared" si="8"/>
        <v>9.1728557394674087E-2</v>
      </c>
      <c r="G52" s="215">
        <f t="shared" si="9"/>
        <v>0.25376860961560105</v>
      </c>
      <c r="H52" s="123"/>
    </row>
    <row r="53" spans="1:8" ht="15" customHeight="1" x14ac:dyDescent="0.25">
      <c r="A53" s="130"/>
      <c r="B53" s="131">
        <f>DATE(2020,11,1)</f>
        <v>44136</v>
      </c>
      <c r="C53" s="204">
        <v>12007892</v>
      </c>
      <c r="D53" s="204">
        <v>2437183.5</v>
      </c>
      <c r="E53" s="204">
        <v>2721670</v>
      </c>
      <c r="F53" s="132">
        <f t="shared" si="8"/>
        <v>-0.1045264488347228</v>
      </c>
      <c r="G53" s="215">
        <f t="shared" si="9"/>
        <v>0.20296514159187973</v>
      </c>
      <c r="H53" s="123"/>
    </row>
    <row r="54" spans="1:8" ht="15" customHeight="1" x14ac:dyDescent="0.25">
      <c r="A54" s="130"/>
      <c r="B54" s="131">
        <f>DATE(2020,12,1)</f>
        <v>44166</v>
      </c>
      <c r="C54" s="204">
        <v>12703424</v>
      </c>
      <c r="D54" s="204">
        <v>2589172</v>
      </c>
      <c r="E54" s="204">
        <v>2841867</v>
      </c>
      <c r="F54" s="132">
        <f t="shared" si="8"/>
        <v>-8.8918658051203664E-2</v>
      </c>
      <c r="G54" s="215">
        <f t="shared" si="9"/>
        <v>0.20381686071408781</v>
      </c>
      <c r="H54" s="123"/>
    </row>
    <row r="55" spans="1:8" ht="15" customHeight="1" x14ac:dyDescent="0.25">
      <c r="A55" s="130"/>
      <c r="B55" s="131">
        <f>DATE(2021,1,1)</f>
        <v>44197</v>
      </c>
      <c r="C55" s="204">
        <v>14127995</v>
      </c>
      <c r="D55" s="204">
        <v>3152749</v>
      </c>
      <c r="E55" s="204">
        <v>3701292</v>
      </c>
      <c r="F55" s="132">
        <f t="shared" si="8"/>
        <v>-0.14820311393967295</v>
      </c>
      <c r="G55" s="215">
        <f t="shared" si="9"/>
        <v>0.223156152022987</v>
      </c>
      <c r="H55" s="123"/>
    </row>
    <row r="56" spans="1:8" ht="15.75" thickBot="1" x14ac:dyDescent="0.25">
      <c r="A56" s="133"/>
      <c r="B56" s="131"/>
      <c r="C56" s="204"/>
      <c r="D56" s="204"/>
      <c r="E56" s="204"/>
      <c r="F56" s="132"/>
      <c r="G56" s="215"/>
      <c r="H56" s="123"/>
    </row>
    <row r="57" spans="1:8" ht="17.25" customHeight="1" thickTop="1" thickBot="1" x14ac:dyDescent="0.3">
      <c r="A57" s="141" t="s">
        <v>14</v>
      </c>
      <c r="B57" s="142"/>
      <c r="C57" s="207">
        <f>SUM(C49:C56)</f>
        <v>94446372.390000001</v>
      </c>
      <c r="D57" s="261">
        <f>SUM(D49:D56)</f>
        <v>20680936.890000001</v>
      </c>
      <c r="E57" s="206">
        <f>SUM(E49:E56)</f>
        <v>21715279.5</v>
      </c>
      <c r="F57" s="268">
        <f>(+D57-E57)/E57</f>
        <v>-4.7632019196437211E-2</v>
      </c>
      <c r="G57" s="267">
        <f>D57/C57</f>
        <v>0.21897015593782299</v>
      </c>
      <c r="H57" s="123"/>
    </row>
    <row r="58" spans="1:8" ht="15.75" customHeight="1" thickTop="1" x14ac:dyDescent="0.25">
      <c r="A58" s="130"/>
      <c r="B58" s="134"/>
      <c r="C58" s="204"/>
      <c r="D58" s="204"/>
      <c r="E58" s="204"/>
      <c r="F58" s="132"/>
      <c r="G58" s="218"/>
      <c r="H58" s="123"/>
    </row>
    <row r="59" spans="1:8" ht="15.75" x14ac:dyDescent="0.25">
      <c r="A59" s="130" t="s">
        <v>68</v>
      </c>
      <c r="B59" s="131">
        <f>DATE(2020,7,1)</f>
        <v>44013</v>
      </c>
      <c r="C59" s="204">
        <v>2263375</v>
      </c>
      <c r="D59" s="204">
        <v>572750</v>
      </c>
      <c r="E59" s="204">
        <v>550912.5</v>
      </c>
      <c r="F59" s="132">
        <f t="shared" ref="F59:F65" si="10">(+D59-E59)/E59</f>
        <v>3.9638781113153179E-2</v>
      </c>
      <c r="G59" s="215">
        <f t="shared" ref="G59:G65" si="11">D59/C59</f>
        <v>0.25305130612470317</v>
      </c>
      <c r="H59" s="123"/>
    </row>
    <row r="60" spans="1:8" ht="15.75" x14ac:dyDescent="0.25">
      <c r="A60" s="130"/>
      <c r="B60" s="131">
        <f>DATE(2020,8,1)</f>
        <v>44044</v>
      </c>
      <c r="C60" s="204">
        <v>2272442</v>
      </c>
      <c r="D60" s="204">
        <v>629353.5</v>
      </c>
      <c r="E60" s="204">
        <v>544892.5</v>
      </c>
      <c r="F60" s="132">
        <f t="shared" si="10"/>
        <v>0.15500488628490941</v>
      </c>
      <c r="G60" s="215">
        <f t="shared" si="11"/>
        <v>0.27695030280200772</v>
      </c>
      <c r="H60" s="123"/>
    </row>
    <row r="61" spans="1:8" ht="15.75" x14ac:dyDescent="0.25">
      <c r="A61" s="130"/>
      <c r="B61" s="131">
        <f>DATE(2020,9,1)</f>
        <v>44075</v>
      </c>
      <c r="C61" s="204">
        <v>1993931</v>
      </c>
      <c r="D61" s="204">
        <v>564621.5</v>
      </c>
      <c r="E61" s="204">
        <v>648210.4</v>
      </c>
      <c r="F61" s="132">
        <f t="shared" si="10"/>
        <v>-0.12895334601234418</v>
      </c>
      <c r="G61" s="215">
        <f t="shared" si="11"/>
        <v>0.2831700294543793</v>
      </c>
      <c r="H61" s="123"/>
    </row>
    <row r="62" spans="1:8" ht="15.75" x14ac:dyDescent="0.25">
      <c r="A62" s="130"/>
      <c r="B62" s="131">
        <f>DATE(2020,10,1)</f>
        <v>44105</v>
      </c>
      <c r="C62" s="204">
        <v>1898010</v>
      </c>
      <c r="D62" s="204">
        <v>553335.5</v>
      </c>
      <c r="E62" s="204">
        <v>633881.5</v>
      </c>
      <c r="F62" s="132">
        <f t="shared" si="10"/>
        <v>-0.12706791411328458</v>
      </c>
      <c r="G62" s="215">
        <f t="shared" si="11"/>
        <v>0.29153455461246253</v>
      </c>
      <c r="H62" s="123"/>
    </row>
    <row r="63" spans="1:8" ht="15.75" x14ac:dyDescent="0.25">
      <c r="A63" s="130"/>
      <c r="B63" s="131">
        <f>DATE(2020,11,1)</f>
        <v>44136</v>
      </c>
      <c r="C63" s="204">
        <v>2213531</v>
      </c>
      <c r="D63" s="204">
        <v>402553.5</v>
      </c>
      <c r="E63" s="204">
        <v>745956</v>
      </c>
      <c r="F63" s="132">
        <f t="shared" si="10"/>
        <v>-0.46035221916574171</v>
      </c>
      <c r="G63" s="215">
        <f t="shared" si="11"/>
        <v>0.18186033988229666</v>
      </c>
      <c r="H63" s="123"/>
    </row>
    <row r="64" spans="1:8" ht="15.75" x14ac:dyDescent="0.25">
      <c r="A64" s="130"/>
      <c r="B64" s="131">
        <f>DATE(2020,12,1)</f>
        <v>44166</v>
      </c>
      <c r="C64" s="204">
        <v>2627071</v>
      </c>
      <c r="D64" s="204">
        <v>614666.5</v>
      </c>
      <c r="E64" s="204">
        <v>825802.5</v>
      </c>
      <c r="F64" s="132">
        <f t="shared" si="10"/>
        <v>-0.25567372343871569</v>
      </c>
      <c r="G64" s="215">
        <f t="shared" si="11"/>
        <v>0.23397407226527187</v>
      </c>
      <c r="H64" s="123"/>
    </row>
    <row r="65" spans="1:8" ht="15.75" x14ac:dyDescent="0.25">
      <c r="A65" s="130"/>
      <c r="B65" s="131">
        <f>DATE(2021,1,1)</f>
        <v>44197</v>
      </c>
      <c r="C65" s="204">
        <v>2512116</v>
      </c>
      <c r="D65" s="204">
        <v>697073</v>
      </c>
      <c r="E65" s="204">
        <v>839366</v>
      </c>
      <c r="F65" s="132">
        <f t="shared" si="10"/>
        <v>-0.16952437911471277</v>
      </c>
      <c r="G65" s="215">
        <f t="shared" si="11"/>
        <v>0.27748439960575066</v>
      </c>
      <c r="H65" s="123"/>
    </row>
    <row r="66" spans="1:8" ht="15.75" customHeight="1" thickBot="1" x14ac:dyDescent="0.3">
      <c r="A66" s="130"/>
      <c r="B66" s="131"/>
      <c r="C66" s="204"/>
      <c r="D66" s="204"/>
      <c r="E66" s="204"/>
      <c r="F66" s="132"/>
      <c r="G66" s="215"/>
      <c r="H66" s="123"/>
    </row>
    <row r="67" spans="1:8" ht="17.25" thickTop="1" thickBot="1" x14ac:dyDescent="0.3">
      <c r="A67" s="141" t="s">
        <v>14</v>
      </c>
      <c r="B67" s="142"/>
      <c r="C67" s="207">
        <f>SUM(C59:C66)</f>
        <v>15780476</v>
      </c>
      <c r="D67" s="261">
        <f>SUM(D59:D66)</f>
        <v>4034353.5</v>
      </c>
      <c r="E67" s="207">
        <f>SUM(E59:E66)</f>
        <v>4789021.4000000004</v>
      </c>
      <c r="F67" s="268">
        <f>(+D67-E67)/E67</f>
        <v>-0.15758290409811079</v>
      </c>
      <c r="G67" s="267">
        <f>D67/C67</f>
        <v>0.25565474070617389</v>
      </c>
      <c r="H67" s="123"/>
    </row>
    <row r="68" spans="1:8" ht="15.75" customHeight="1" thickTop="1" x14ac:dyDescent="0.25">
      <c r="A68" s="130"/>
      <c r="B68" s="134"/>
      <c r="C68" s="204"/>
      <c r="D68" s="204"/>
      <c r="E68" s="204"/>
      <c r="F68" s="132"/>
      <c r="G68" s="218"/>
      <c r="H68" s="123"/>
    </row>
    <row r="69" spans="1:8" ht="15.75" x14ac:dyDescent="0.25">
      <c r="A69" s="130" t="s">
        <v>66</v>
      </c>
      <c r="B69" s="131">
        <f>DATE(2020,7,1)</f>
        <v>44013</v>
      </c>
      <c r="C69" s="204">
        <v>1014737</v>
      </c>
      <c r="D69" s="204">
        <v>248731.5</v>
      </c>
      <c r="E69" s="204">
        <v>255421</v>
      </c>
      <c r="F69" s="132">
        <f t="shared" ref="F69:F75" si="12">(+D69-E69)/E69</f>
        <v>-2.6190094001667833E-2</v>
      </c>
      <c r="G69" s="215">
        <f t="shared" ref="G69:G75" si="13">D69/C69</f>
        <v>0.24511917866402821</v>
      </c>
      <c r="H69" s="123"/>
    </row>
    <row r="70" spans="1:8" ht="15.75" x14ac:dyDescent="0.25">
      <c r="A70" s="130"/>
      <c r="B70" s="131">
        <f>DATE(2020,8,1)</f>
        <v>44044</v>
      </c>
      <c r="C70" s="204">
        <v>1314485</v>
      </c>
      <c r="D70" s="204">
        <v>268487</v>
      </c>
      <c r="E70" s="204">
        <v>366605.5</v>
      </c>
      <c r="F70" s="132">
        <f t="shared" si="12"/>
        <v>-0.26764055640190887</v>
      </c>
      <c r="G70" s="215">
        <f t="shared" si="13"/>
        <v>0.20425261604354558</v>
      </c>
      <c r="H70" s="123"/>
    </row>
    <row r="71" spans="1:8" ht="15.75" x14ac:dyDescent="0.25">
      <c r="A71" s="130"/>
      <c r="B71" s="131">
        <f>DATE(2020,9,1)</f>
        <v>44075</v>
      </c>
      <c r="C71" s="204">
        <v>1245407</v>
      </c>
      <c r="D71" s="204">
        <v>277957.5</v>
      </c>
      <c r="E71" s="204">
        <v>323382</v>
      </c>
      <c r="F71" s="132">
        <f t="shared" si="12"/>
        <v>-0.14046700187394476</v>
      </c>
      <c r="G71" s="215">
        <f t="shared" si="13"/>
        <v>0.22318607491366277</v>
      </c>
      <c r="H71" s="123"/>
    </row>
    <row r="72" spans="1:8" ht="15.75" x14ac:dyDescent="0.25">
      <c r="A72" s="130"/>
      <c r="B72" s="131">
        <f>DATE(2020,10,1)</f>
        <v>44105</v>
      </c>
      <c r="C72" s="204">
        <v>1388391</v>
      </c>
      <c r="D72" s="204">
        <v>307011.5</v>
      </c>
      <c r="E72" s="204">
        <v>301934</v>
      </c>
      <c r="F72" s="132">
        <f t="shared" si="12"/>
        <v>1.6816589055886386E-2</v>
      </c>
      <c r="G72" s="215">
        <f t="shared" si="13"/>
        <v>0.22112754980405375</v>
      </c>
      <c r="H72" s="123"/>
    </row>
    <row r="73" spans="1:8" ht="15.75" x14ac:dyDescent="0.25">
      <c r="A73" s="130"/>
      <c r="B73" s="131">
        <f>DATE(2020,11,1)</f>
        <v>44136</v>
      </c>
      <c r="C73" s="204">
        <v>1080444</v>
      </c>
      <c r="D73" s="204">
        <v>264033.5</v>
      </c>
      <c r="E73" s="204">
        <v>378106</v>
      </c>
      <c r="F73" s="132">
        <f t="shared" si="12"/>
        <v>-0.30169449836818246</v>
      </c>
      <c r="G73" s="215">
        <f t="shared" si="13"/>
        <v>0.24437499768613644</v>
      </c>
      <c r="H73" s="123"/>
    </row>
    <row r="74" spans="1:8" ht="15.75" x14ac:dyDescent="0.25">
      <c r="A74" s="130"/>
      <c r="B74" s="131">
        <f>DATE(2020,12,1)</f>
        <v>44166</v>
      </c>
      <c r="C74" s="204">
        <v>1251103</v>
      </c>
      <c r="D74" s="204">
        <v>310571</v>
      </c>
      <c r="E74" s="204">
        <v>350445.5</v>
      </c>
      <c r="F74" s="132">
        <f t="shared" si="12"/>
        <v>-0.11378231422574979</v>
      </c>
      <c r="G74" s="215">
        <f t="shared" si="13"/>
        <v>0.2482377550049836</v>
      </c>
      <c r="H74" s="123"/>
    </row>
    <row r="75" spans="1:8" ht="15.75" x14ac:dyDescent="0.25">
      <c r="A75" s="130"/>
      <c r="B75" s="131">
        <f>DATE(2021,1,1)</f>
        <v>44197</v>
      </c>
      <c r="C75" s="204">
        <v>3199214</v>
      </c>
      <c r="D75" s="204">
        <v>371981</v>
      </c>
      <c r="E75" s="204">
        <v>284016.5</v>
      </c>
      <c r="F75" s="132">
        <f t="shared" si="12"/>
        <v>0.30971616085685161</v>
      </c>
      <c r="G75" s="215">
        <f t="shared" si="13"/>
        <v>0.11627262196276961</v>
      </c>
      <c r="H75" s="123"/>
    </row>
    <row r="76" spans="1:8" ht="15.75" customHeight="1" thickBot="1" x14ac:dyDescent="0.3">
      <c r="A76" s="130"/>
      <c r="B76" s="131"/>
      <c r="C76" s="204"/>
      <c r="D76" s="204"/>
      <c r="E76" s="204"/>
      <c r="F76" s="132"/>
      <c r="G76" s="215"/>
      <c r="H76" s="123"/>
    </row>
    <row r="77" spans="1:8" ht="17.25" thickTop="1" thickBot="1" x14ac:dyDescent="0.3">
      <c r="A77" s="141" t="s">
        <v>14</v>
      </c>
      <c r="B77" s="142"/>
      <c r="C77" s="207">
        <f>SUM(C69:C76)</f>
        <v>10493781</v>
      </c>
      <c r="D77" s="261">
        <f>SUM(D69:D76)</f>
        <v>2048773</v>
      </c>
      <c r="E77" s="207">
        <f>SUM(E69:E76)</f>
        <v>2259910.5</v>
      </c>
      <c r="F77" s="269">
        <f>(+D77-E77)/E77</f>
        <v>-9.3427372455679114E-2</v>
      </c>
      <c r="G77" s="267">
        <f>D77/C77</f>
        <v>0.19523687410667329</v>
      </c>
      <c r="H77" s="123"/>
    </row>
    <row r="78" spans="1:8" ht="15.75" customHeight="1" thickTop="1" x14ac:dyDescent="0.25">
      <c r="A78" s="130"/>
      <c r="B78" s="139"/>
      <c r="C78" s="205"/>
      <c r="D78" s="205"/>
      <c r="E78" s="205"/>
      <c r="F78" s="140"/>
      <c r="G78" s="216"/>
      <c r="H78" s="123"/>
    </row>
    <row r="79" spans="1:8" ht="15.75" x14ac:dyDescent="0.25">
      <c r="A79" s="130" t="s">
        <v>52</v>
      </c>
      <c r="B79" s="131">
        <f>DATE(2020,7,1)</f>
        <v>44013</v>
      </c>
      <c r="C79" s="204">
        <v>3151915</v>
      </c>
      <c r="D79" s="204">
        <v>671384</v>
      </c>
      <c r="E79" s="204">
        <v>1702644.86</v>
      </c>
      <c r="F79" s="132">
        <f t="shared" ref="F79:F85" si="14">(+D79-E79)/E79</f>
        <v>-0.60568171568086138</v>
      </c>
      <c r="G79" s="215">
        <f t="shared" ref="G79:G85" si="15">D79/C79</f>
        <v>0.21300828226649512</v>
      </c>
      <c r="H79" s="123"/>
    </row>
    <row r="80" spans="1:8" ht="15.75" x14ac:dyDescent="0.25">
      <c r="A80" s="130"/>
      <c r="B80" s="131">
        <f>DATE(2020,8,1)</f>
        <v>44044</v>
      </c>
      <c r="C80" s="204">
        <v>3093947</v>
      </c>
      <c r="D80" s="204">
        <v>647438.06000000006</v>
      </c>
      <c r="E80" s="204">
        <v>2308275.88</v>
      </c>
      <c r="F80" s="132">
        <f t="shared" si="14"/>
        <v>-0.71951443689651162</v>
      </c>
      <c r="G80" s="215">
        <f t="shared" si="15"/>
        <v>0.2092595833089578</v>
      </c>
      <c r="H80" s="123"/>
    </row>
    <row r="81" spans="1:8" ht="15.75" x14ac:dyDescent="0.25">
      <c r="A81" s="130"/>
      <c r="B81" s="131">
        <f>DATE(2020,9,1)</f>
        <v>44075</v>
      </c>
      <c r="C81" s="204">
        <v>3761958</v>
      </c>
      <c r="D81" s="204">
        <v>476389</v>
      </c>
      <c r="E81" s="204">
        <v>1996051.56</v>
      </c>
      <c r="F81" s="132">
        <f t="shared" si="14"/>
        <v>-0.76133432144408131</v>
      </c>
      <c r="G81" s="215">
        <f t="shared" si="15"/>
        <v>0.12663325853186028</v>
      </c>
      <c r="H81" s="123"/>
    </row>
    <row r="82" spans="1:8" ht="15.75" x14ac:dyDescent="0.25">
      <c r="A82" s="130"/>
      <c r="B82" s="131">
        <f>DATE(2020,10,1)</f>
        <v>44105</v>
      </c>
      <c r="C82" s="204">
        <v>3789812</v>
      </c>
      <c r="D82" s="204">
        <v>822284.63</v>
      </c>
      <c r="E82" s="204">
        <v>2026195.69</v>
      </c>
      <c r="F82" s="132">
        <f t="shared" si="14"/>
        <v>-0.59417314227926332</v>
      </c>
      <c r="G82" s="215">
        <f t="shared" si="15"/>
        <v>0.21697240654681552</v>
      </c>
      <c r="H82" s="123"/>
    </row>
    <row r="83" spans="1:8" ht="15.75" x14ac:dyDescent="0.25">
      <c r="A83" s="130"/>
      <c r="B83" s="131">
        <f>DATE(2020,11,1)</f>
        <v>44136</v>
      </c>
      <c r="C83" s="204">
        <v>3550127</v>
      </c>
      <c r="D83" s="204">
        <v>587592.5</v>
      </c>
      <c r="E83" s="204">
        <v>1903112.96</v>
      </c>
      <c r="F83" s="132">
        <f t="shared" si="14"/>
        <v>-0.69124665096075011</v>
      </c>
      <c r="G83" s="215">
        <f t="shared" si="15"/>
        <v>0.16551309291188737</v>
      </c>
      <c r="H83" s="123"/>
    </row>
    <row r="84" spans="1:8" ht="15.75" x14ac:dyDescent="0.25">
      <c r="A84" s="130"/>
      <c r="B84" s="131">
        <f>DATE(2020,12,1)</f>
        <v>44166</v>
      </c>
      <c r="C84" s="204">
        <v>4018731</v>
      </c>
      <c r="D84" s="204">
        <v>844069.86</v>
      </c>
      <c r="E84" s="204">
        <v>1980334.65</v>
      </c>
      <c r="F84" s="132">
        <f t="shared" si="14"/>
        <v>-0.57377412953916662</v>
      </c>
      <c r="G84" s="215">
        <f t="shared" si="15"/>
        <v>0.21003392862075118</v>
      </c>
      <c r="H84" s="123"/>
    </row>
    <row r="85" spans="1:8" ht="15.75" x14ac:dyDescent="0.25">
      <c r="A85" s="130"/>
      <c r="B85" s="131">
        <f>DATE(2021,1,1)</f>
        <v>44197</v>
      </c>
      <c r="C85" s="204">
        <v>5130615</v>
      </c>
      <c r="D85" s="204">
        <v>1044151.5</v>
      </c>
      <c r="E85" s="204">
        <v>2178926.1</v>
      </c>
      <c r="F85" s="132">
        <f t="shared" si="14"/>
        <v>-0.52079535877788607</v>
      </c>
      <c r="G85" s="215">
        <f t="shared" si="15"/>
        <v>0.20351390622761598</v>
      </c>
      <c r="H85" s="123"/>
    </row>
    <row r="86" spans="1:8" ht="15.75" customHeight="1" thickBot="1" x14ac:dyDescent="0.3">
      <c r="A86" s="130"/>
      <c r="B86" s="131"/>
      <c r="C86" s="204"/>
      <c r="D86" s="204"/>
      <c r="E86" s="204"/>
      <c r="F86" s="132"/>
      <c r="G86" s="215"/>
      <c r="H86" s="123"/>
    </row>
    <row r="87" spans="1:8" ht="17.25" thickTop="1" thickBot="1" x14ac:dyDescent="0.3">
      <c r="A87" s="141" t="s">
        <v>14</v>
      </c>
      <c r="B87" s="142"/>
      <c r="C87" s="206">
        <f>SUM(C79:C86)</f>
        <v>26497105</v>
      </c>
      <c r="D87" s="206">
        <f>SUM(D79:D86)</f>
        <v>5093309.55</v>
      </c>
      <c r="E87" s="206">
        <f>SUM(E79:E86)</f>
        <v>14095541.699999999</v>
      </c>
      <c r="F87" s="143">
        <f>(+D87-E87)/E87</f>
        <v>-0.63865811911293902</v>
      </c>
      <c r="G87" s="217">
        <f>D87/C87</f>
        <v>0.19222135965419618</v>
      </c>
      <c r="H87" s="123"/>
    </row>
    <row r="88" spans="1:8" ht="15.75" customHeight="1" thickTop="1" x14ac:dyDescent="0.25">
      <c r="A88" s="138"/>
      <c r="B88" s="139"/>
      <c r="C88" s="205"/>
      <c r="D88" s="205"/>
      <c r="E88" s="205"/>
      <c r="F88" s="140"/>
      <c r="G88" s="216"/>
      <c r="H88" s="123"/>
    </row>
    <row r="89" spans="1:8" ht="15.75" x14ac:dyDescent="0.25">
      <c r="A89" s="130" t="s">
        <v>16</v>
      </c>
      <c r="B89" s="131">
        <f>DATE(2020,7,1)</f>
        <v>44013</v>
      </c>
      <c r="C89" s="204">
        <v>8611169</v>
      </c>
      <c r="D89" s="204">
        <v>1702806.5</v>
      </c>
      <c r="E89" s="204">
        <v>2126431.5</v>
      </c>
      <c r="F89" s="132">
        <f t="shared" ref="F89:F95" si="16">(+D89-E89)/E89</f>
        <v>-0.19921873805951426</v>
      </c>
      <c r="G89" s="215">
        <f t="shared" ref="G89:G95" si="17">D89/C89</f>
        <v>0.19774394161814732</v>
      </c>
      <c r="H89" s="123"/>
    </row>
    <row r="90" spans="1:8" ht="15.75" x14ac:dyDescent="0.25">
      <c r="A90" s="130"/>
      <c r="B90" s="131">
        <f>DATE(2020,8,1)</f>
        <v>44044</v>
      </c>
      <c r="C90" s="204">
        <v>7982010</v>
      </c>
      <c r="D90" s="204">
        <v>1570570.5</v>
      </c>
      <c r="E90" s="204">
        <v>2726871</v>
      </c>
      <c r="F90" s="132">
        <f t="shared" si="16"/>
        <v>-0.4240393109905089</v>
      </c>
      <c r="G90" s="215">
        <f t="shared" si="17"/>
        <v>0.1967637850616574</v>
      </c>
      <c r="H90" s="123"/>
    </row>
    <row r="91" spans="1:8" ht="15.75" x14ac:dyDescent="0.25">
      <c r="A91" s="130"/>
      <c r="B91" s="131">
        <f>DATE(2020,9,1)</f>
        <v>44075</v>
      </c>
      <c r="C91" s="204">
        <v>8162396</v>
      </c>
      <c r="D91" s="204">
        <v>1447626.5</v>
      </c>
      <c r="E91" s="204">
        <v>2679876</v>
      </c>
      <c r="F91" s="132">
        <f t="shared" si="16"/>
        <v>-0.45981586461463142</v>
      </c>
      <c r="G91" s="215">
        <f t="shared" si="17"/>
        <v>0.17735313258508897</v>
      </c>
      <c r="H91" s="123"/>
    </row>
    <row r="92" spans="1:8" ht="15.75" x14ac:dyDescent="0.25">
      <c r="A92" s="130"/>
      <c r="B92" s="131">
        <f>DATE(2020,10,1)</f>
        <v>44105</v>
      </c>
      <c r="C92" s="204">
        <v>8619144</v>
      </c>
      <c r="D92" s="204">
        <v>1659455</v>
      </c>
      <c r="E92" s="204">
        <v>3088329</v>
      </c>
      <c r="F92" s="132">
        <f t="shared" si="16"/>
        <v>-0.46266897082532332</v>
      </c>
      <c r="G92" s="215">
        <f t="shared" si="17"/>
        <v>0.1925313000919813</v>
      </c>
      <c r="H92" s="123"/>
    </row>
    <row r="93" spans="1:8" ht="15.75" x14ac:dyDescent="0.25">
      <c r="A93" s="130"/>
      <c r="B93" s="131">
        <f>DATE(2020,11,1)</f>
        <v>44136</v>
      </c>
      <c r="C93" s="204">
        <v>8144246</v>
      </c>
      <c r="D93" s="204">
        <v>1564224</v>
      </c>
      <c r="E93" s="204">
        <v>2810591.5</v>
      </c>
      <c r="F93" s="132">
        <f t="shared" si="16"/>
        <v>-0.44345380678764595</v>
      </c>
      <c r="G93" s="215">
        <f t="shared" si="17"/>
        <v>0.19206492534729427</v>
      </c>
      <c r="H93" s="123"/>
    </row>
    <row r="94" spans="1:8" ht="15.75" x14ac:dyDescent="0.25">
      <c r="A94" s="130"/>
      <c r="B94" s="131">
        <f>DATE(2020,12,1)</f>
        <v>44166</v>
      </c>
      <c r="C94" s="204">
        <v>8593856</v>
      </c>
      <c r="D94" s="204">
        <v>1930831.5</v>
      </c>
      <c r="E94" s="204">
        <v>1704640.5</v>
      </c>
      <c r="F94" s="132">
        <f t="shared" si="16"/>
        <v>0.13269132113193369</v>
      </c>
      <c r="G94" s="215">
        <f t="shared" si="17"/>
        <v>0.22467580327154654</v>
      </c>
      <c r="H94" s="123"/>
    </row>
    <row r="95" spans="1:8" ht="15.75" x14ac:dyDescent="0.25">
      <c r="A95" s="130"/>
      <c r="B95" s="131">
        <f>DATE(2021,1,1)</f>
        <v>44197</v>
      </c>
      <c r="C95" s="204">
        <v>9211199</v>
      </c>
      <c r="D95" s="204">
        <v>2028934.5</v>
      </c>
      <c r="E95" s="204">
        <v>2631202</v>
      </c>
      <c r="F95" s="132">
        <f t="shared" si="16"/>
        <v>-0.22889443683913283</v>
      </c>
      <c r="G95" s="215">
        <f t="shared" si="17"/>
        <v>0.22026823001001281</v>
      </c>
      <c r="H95" s="123"/>
    </row>
    <row r="96" spans="1:8" ht="15.75" customHeight="1" thickBot="1" x14ac:dyDescent="0.3">
      <c r="A96" s="130"/>
      <c r="B96" s="131"/>
      <c r="C96" s="204"/>
      <c r="D96" s="204"/>
      <c r="E96" s="204"/>
      <c r="F96" s="132"/>
      <c r="G96" s="215"/>
      <c r="H96" s="123"/>
    </row>
    <row r="97" spans="1:8" ht="17.25" thickTop="1" thickBot="1" x14ac:dyDescent="0.3">
      <c r="A97" s="141" t="s">
        <v>14</v>
      </c>
      <c r="B97" s="142"/>
      <c r="C97" s="206">
        <f>SUM(C89:C96)</f>
        <v>59324020</v>
      </c>
      <c r="D97" s="206">
        <f>SUM(D89:D96)</f>
        <v>11904448.5</v>
      </c>
      <c r="E97" s="206">
        <f>SUM(E89:E96)</f>
        <v>17767941.5</v>
      </c>
      <c r="F97" s="143">
        <f>(+D97-E97)/E97</f>
        <v>-0.33000406940781518</v>
      </c>
      <c r="G97" s="217">
        <f>D97/C97</f>
        <v>0.20066827062629944</v>
      </c>
      <c r="H97" s="123"/>
    </row>
    <row r="98" spans="1:8" ht="15.75" customHeight="1" thickTop="1" x14ac:dyDescent="0.25">
      <c r="A98" s="138"/>
      <c r="B98" s="139"/>
      <c r="C98" s="205"/>
      <c r="D98" s="205"/>
      <c r="E98" s="205"/>
      <c r="F98" s="140"/>
      <c r="G98" s="216"/>
      <c r="H98" s="123"/>
    </row>
    <row r="99" spans="1:8" ht="15.75" x14ac:dyDescent="0.25">
      <c r="A99" s="130" t="s">
        <v>54</v>
      </c>
      <c r="B99" s="131">
        <f>DATE(2020,7,1)</f>
        <v>44013</v>
      </c>
      <c r="C99" s="204">
        <v>10453635</v>
      </c>
      <c r="D99" s="204">
        <v>1923906.33</v>
      </c>
      <c r="E99" s="204">
        <v>1977732.9</v>
      </c>
      <c r="F99" s="132">
        <f t="shared" ref="F99:F105" si="18">(+D99-E99)/E99</f>
        <v>-2.7216299026021074E-2</v>
      </c>
      <c r="G99" s="215">
        <f t="shared" ref="G99:G105" si="19">D99/C99</f>
        <v>0.18404185051419913</v>
      </c>
      <c r="H99" s="123"/>
    </row>
    <row r="100" spans="1:8" ht="15.75" x14ac:dyDescent="0.25">
      <c r="A100" s="130"/>
      <c r="B100" s="131">
        <f>DATE(2020,8,1)</f>
        <v>44044</v>
      </c>
      <c r="C100" s="204">
        <v>12051254</v>
      </c>
      <c r="D100" s="204">
        <v>2698345.86</v>
      </c>
      <c r="E100" s="204">
        <v>2646777.5</v>
      </c>
      <c r="F100" s="132">
        <f t="shared" si="18"/>
        <v>1.9483451102330993E-2</v>
      </c>
      <c r="G100" s="215">
        <f t="shared" si="19"/>
        <v>0.22390581594247369</v>
      </c>
      <c r="H100" s="123"/>
    </row>
    <row r="101" spans="1:8" ht="15.75" x14ac:dyDescent="0.25">
      <c r="A101" s="130"/>
      <c r="B101" s="131">
        <f>DATE(2020,9,1)</f>
        <v>44075</v>
      </c>
      <c r="C101" s="204">
        <v>11460638</v>
      </c>
      <c r="D101" s="204">
        <v>2773332.44</v>
      </c>
      <c r="E101" s="204">
        <v>2514781.23</v>
      </c>
      <c r="F101" s="132">
        <f t="shared" si="18"/>
        <v>0.10281260529370181</v>
      </c>
      <c r="G101" s="215">
        <f t="shared" si="19"/>
        <v>0.24198761360405938</v>
      </c>
      <c r="H101" s="123"/>
    </row>
    <row r="102" spans="1:8" ht="15.75" x14ac:dyDescent="0.25">
      <c r="A102" s="130"/>
      <c r="B102" s="131">
        <f>DATE(2020,10,1)</f>
        <v>44105</v>
      </c>
      <c r="C102" s="204">
        <v>11609263</v>
      </c>
      <c r="D102" s="204">
        <v>2099358.0099999998</v>
      </c>
      <c r="E102" s="204">
        <v>2541006.48</v>
      </c>
      <c r="F102" s="132">
        <f t="shared" si="18"/>
        <v>-0.17380847844197556</v>
      </c>
      <c r="G102" s="215">
        <f t="shared" si="19"/>
        <v>0.18083473602071035</v>
      </c>
      <c r="H102" s="123"/>
    </row>
    <row r="103" spans="1:8" ht="15.75" x14ac:dyDescent="0.25">
      <c r="A103" s="130"/>
      <c r="B103" s="131">
        <f>DATE(2020,11,1)</f>
        <v>44136</v>
      </c>
      <c r="C103" s="204">
        <v>11563380</v>
      </c>
      <c r="D103" s="204">
        <v>2138602.36</v>
      </c>
      <c r="E103" s="204">
        <v>2692124.24</v>
      </c>
      <c r="F103" s="132">
        <f t="shared" si="18"/>
        <v>-0.20560785114434404</v>
      </c>
      <c r="G103" s="215">
        <f t="shared" si="19"/>
        <v>0.18494612820818826</v>
      </c>
      <c r="H103" s="123"/>
    </row>
    <row r="104" spans="1:8" ht="15.75" x14ac:dyDescent="0.25">
      <c r="A104" s="130"/>
      <c r="B104" s="131">
        <f>DATE(2020,12,1)</f>
        <v>44166</v>
      </c>
      <c r="C104" s="204">
        <v>10891043</v>
      </c>
      <c r="D104" s="204">
        <v>1971253.86</v>
      </c>
      <c r="E104" s="204">
        <v>2968383.02</v>
      </c>
      <c r="F104" s="132">
        <f t="shared" si="18"/>
        <v>-0.3359166095755392</v>
      </c>
      <c r="G104" s="215">
        <f t="shared" si="19"/>
        <v>0.18099771160576633</v>
      </c>
      <c r="H104" s="123"/>
    </row>
    <row r="105" spans="1:8" ht="15.75" x14ac:dyDescent="0.25">
      <c r="A105" s="130"/>
      <c r="B105" s="131">
        <f>DATE(2021,1,1)</f>
        <v>44197</v>
      </c>
      <c r="C105" s="204">
        <v>10786485</v>
      </c>
      <c r="D105" s="204">
        <v>2333441.5</v>
      </c>
      <c r="E105" s="204">
        <v>2911355</v>
      </c>
      <c r="F105" s="132">
        <f t="shared" si="18"/>
        <v>-0.19850327424858871</v>
      </c>
      <c r="G105" s="215">
        <f t="shared" si="19"/>
        <v>0.2163301112456931</v>
      </c>
      <c r="H105" s="123"/>
    </row>
    <row r="106" spans="1:8" ht="15.75" thickBot="1" x14ac:dyDescent="0.25">
      <c r="A106" s="133"/>
      <c r="B106" s="131"/>
      <c r="C106" s="204"/>
      <c r="D106" s="204"/>
      <c r="E106" s="204"/>
      <c r="F106" s="132"/>
      <c r="G106" s="215"/>
      <c r="H106" s="123"/>
    </row>
    <row r="107" spans="1:8" ht="17.25" thickTop="1" thickBot="1" x14ac:dyDescent="0.3">
      <c r="A107" s="141" t="s">
        <v>14</v>
      </c>
      <c r="B107" s="142"/>
      <c r="C107" s="207">
        <f>SUM(C99:C106)</f>
        <v>78815698</v>
      </c>
      <c r="D107" s="207">
        <f>SUM(D99:D106)</f>
        <v>15938240.359999998</v>
      </c>
      <c r="E107" s="207">
        <f>SUM(E99:E106)</f>
        <v>18252160.370000001</v>
      </c>
      <c r="F107" s="143">
        <f>(+D107-E107)/E107</f>
        <v>-0.12677513034584428</v>
      </c>
      <c r="G107" s="267">
        <f>D107/C107</f>
        <v>0.20222164828128525</v>
      </c>
      <c r="H107" s="123"/>
    </row>
    <row r="108" spans="1:8" ht="15.75" customHeight="1" thickTop="1" x14ac:dyDescent="0.25">
      <c r="A108" s="138"/>
      <c r="B108" s="139"/>
      <c r="C108" s="205"/>
      <c r="D108" s="205"/>
      <c r="E108" s="205"/>
      <c r="F108" s="140"/>
      <c r="G108" s="219"/>
      <c r="H108" s="123"/>
    </row>
    <row r="109" spans="1:8" ht="15.75" x14ac:dyDescent="0.25">
      <c r="A109" s="130" t="s">
        <v>55</v>
      </c>
      <c r="B109" s="131">
        <f>DATE(2020,7,1)</f>
        <v>44013</v>
      </c>
      <c r="C109" s="204">
        <v>472126</v>
      </c>
      <c r="D109" s="204">
        <v>188605.5</v>
      </c>
      <c r="E109" s="204">
        <v>135934</v>
      </c>
      <c r="F109" s="132">
        <f t="shared" ref="F109:F115" si="20">(+D109-E109)/E109</f>
        <v>0.38747848220459929</v>
      </c>
      <c r="G109" s="215">
        <f t="shared" ref="G109:G115" si="21">D109/C109</f>
        <v>0.39948128253898324</v>
      </c>
      <c r="H109" s="123"/>
    </row>
    <row r="110" spans="1:8" ht="15.75" x14ac:dyDescent="0.25">
      <c r="A110" s="130"/>
      <c r="B110" s="131">
        <f>DATE(2020,8,1)</f>
        <v>44044</v>
      </c>
      <c r="C110" s="204">
        <v>370157</v>
      </c>
      <c r="D110" s="204">
        <v>111546</v>
      </c>
      <c r="E110" s="204">
        <v>134255.5</v>
      </c>
      <c r="F110" s="132">
        <f t="shared" si="20"/>
        <v>-0.16915135692764915</v>
      </c>
      <c r="G110" s="215">
        <f t="shared" si="21"/>
        <v>0.3013478064713081</v>
      </c>
      <c r="H110" s="123"/>
    </row>
    <row r="111" spans="1:8" ht="15.75" x14ac:dyDescent="0.25">
      <c r="A111" s="130"/>
      <c r="B111" s="131">
        <f>DATE(2020,9,1)</f>
        <v>44075</v>
      </c>
      <c r="C111" s="204">
        <v>425232</v>
      </c>
      <c r="D111" s="204">
        <v>108554</v>
      </c>
      <c r="E111" s="204">
        <v>147952</v>
      </c>
      <c r="F111" s="132">
        <f t="shared" si="20"/>
        <v>-0.26628906672434305</v>
      </c>
      <c r="G111" s="215">
        <f t="shared" si="21"/>
        <v>0.25528182262858862</v>
      </c>
      <c r="H111" s="123"/>
    </row>
    <row r="112" spans="1:8" ht="15.75" x14ac:dyDescent="0.25">
      <c r="A112" s="130"/>
      <c r="B112" s="131">
        <f>DATE(2020,10,1)</f>
        <v>44105</v>
      </c>
      <c r="C112" s="204">
        <v>382275</v>
      </c>
      <c r="D112" s="204">
        <v>95084.5</v>
      </c>
      <c r="E112" s="204">
        <v>160874.5</v>
      </c>
      <c r="F112" s="132">
        <f t="shared" si="20"/>
        <v>-0.40895231997613046</v>
      </c>
      <c r="G112" s="215">
        <f t="shared" si="21"/>
        <v>0.24873324177620823</v>
      </c>
      <c r="H112" s="123"/>
    </row>
    <row r="113" spans="1:8" ht="15.75" x14ac:dyDescent="0.25">
      <c r="A113" s="130"/>
      <c r="B113" s="131">
        <f>DATE(2020,11,1)</f>
        <v>44136</v>
      </c>
      <c r="C113" s="204">
        <v>348011</v>
      </c>
      <c r="D113" s="204">
        <v>102680.5</v>
      </c>
      <c r="E113" s="204">
        <v>171123.5</v>
      </c>
      <c r="F113" s="132">
        <f t="shared" si="20"/>
        <v>-0.39996260011044654</v>
      </c>
      <c r="G113" s="215">
        <f t="shared" si="21"/>
        <v>0.29504958176609358</v>
      </c>
      <c r="H113" s="123"/>
    </row>
    <row r="114" spans="1:8" ht="15.75" x14ac:dyDescent="0.25">
      <c r="A114" s="130"/>
      <c r="B114" s="131">
        <f>DATE(2020,12,1)</f>
        <v>44166</v>
      </c>
      <c r="C114" s="204">
        <v>357011</v>
      </c>
      <c r="D114" s="204">
        <v>47733</v>
      </c>
      <c r="E114" s="204">
        <v>110728</v>
      </c>
      <c r="F114" s="132">
        <f t="shared" si="20"/>
        <v>-0.56891662452134961</v>
      </c>
      <c r="G114" s="215">
        <f t="shared" si="21"/>
        <v>0.13370176269078543</v>
      </c>
      <c r="H114" s="123"/>
    </row>
    <row r="115" spans="1:8" ht="15.75" x14ac:dyDescent="0.25">
      <c r="A115" s="130"/>
      <c r="B115" s="131">
        <f>DATE(2021,1,1)</f>
        <v>44197</v>
      </c>
      <c r="C115" s="204">
        <v>348584</v>
      </c>
      <c r="D115" s="204">
        <v>134105.5</v>
      </c>
      <c r="E115" s="204">
        <v>199122</v>
      </c>
      <c r="F115" s="132">
        <f t="shared" si="20"/>
        <v>-0.3265159048221693</v>
      </c>
      <c r="G115" s="215">
        <f t="shared" si="21"/>
        <v>0.38471501847474354</v>
      </c>
      <c r="H115" s="123"/>
    </row>
    <row r="116" spans="1:8" ht="15.75" thickBot="1" x14ac:dyDescent="0.25">
      <c r="A116" s="133"/>
      <c r="B116" s="134"/>
      <c r="C116" s="204"/>
      <c r="D116" s="204"/>
      <c r="E116" s="204"/>
      <c r="F116" s="132"/>
      <c r="G116" s="215"/>
      <c r="H116" s="123"/>
    </row>
    <row r="117" spans="1:8" ht="17.25" thickTop="1" thickBot="1" x14ac:dyDescent="0.3">
      <c r="A117" s="144" t="s">
        <v>14</v>
      </c>
      <c r="B117" s="145"/>
      <c r="C117" s="207">
        <f>SUM(C109:C116)</f>
        <v>2703396</v>
      </c>
      <c r="D117" s="207">
        <f>SUM(D109:D116)</f>
        <v>788309</v>
      </c>
      <c r="E117" s="207">
        <f>SUM(E109:E116)</f>
        <v>1059989.5</v>
      </c>
      <c r="F117" s="143">
        <f>(+D117-E117)/E117</f>
        <v>-0.25630489735983236</v>
      </c>
      <c r="G117" s="217">
        <f>D117/C117</f>
        <v>0.29159952888884944</v>
      </c>
      <c r="H117" s="123"/>
    </row>
    <row r="118" spans="1:8" ht="15.75" customHeight="1" thickTop="1" x14ac:dyDescent="0.25">
      <c r="A118" s="130"/>
      <c r="B118" s="134"/>
      <c r="C118" s="204"/>
      <c r="D118" s="204"/>
      <c r="E118" s="204"/>
      <c r="F118" s="132"/>
      <c r="G118" s="218"/>
      <c r="H118" s="123"/>
    </row>
    <row r="119" spans="1:8" ht="15.75" x14ac:dyDescent="0.25">
      <c r="A119" s="130" t="s">
        <v>37</v>
      </c>
      <c r="B119" s="131">
        <f>DATE(2020,7,1)</f>
        <v>44013</v>
      </c>
      <c r="C119" s="204">
        <v>18681267</v>
      </c>
      <c r="D119" s="204">
        <v>4944391.55</v>
      </c>
      <c r="E119" s="204">
        <v>3678875.65</v>
      </c>
      <c r="F119" s="132">
        <f t="shared" ref="F119:F125" si="22">(+D119-E119)/E119</f>
        <v>0.34399529106127846</v>
      </c>
      <c r="G119" s="215">
        <f t="shared" ref="G119:G125" si="23">D119/C119</f>
        <v>0.26467110341070549</v>
      </c>
      <c r="H119" s="123"/>
    </row>
    <row r="120" spans="1:8" ht="15.75" x14ac:dyDescent="0.25">
      <c r="A120" s="130"/>
      <c r="B120" s="131">
        <f>DATE(2020,8,1)</f>
        <v>44044</v>
      </c>
      <c r="C120" s="204">
        <v>17505825</v>
      </c>
      <c r="D120" s="204">
        <v>3489579.3</v>
      </c>
      <c r="E120" s="204">
        <v>3806318.41</v>
      </c>
      <c r="F120" s="132">
        <f t="shared" si="22"/>
        <v>-8.3214034109143367E-2</v>
      </c>
      <c r="G120" s="215">
        <f t="shared" si="23"/>
        <v>0.19933818029141728</v>
      </c>
      <c r="H120" s="123"/>
    </row>
    <row r="121" spans="1:8" ht="15.75" x14ac:dyDescent="0.25">
      <c r="A121" s="130"/>
      <c r="B121" s="131">
        <f>DATE(2020,9,1)</f>
        <v>44075</v>
      </c>
      <c r="C121" s="204">
        <v>17711205.5</v>
      </c>
      <c r="D121" s="204">
        <v>3694673.89</v>
      </c>
      <c r="E121" s="204">
        <v>3987675.53</v>
      </c>
      <c r="F121" s="132">
        <f t="shared" si="22"/>
        <v>-7.3476800656346195E-2</v>
      </c>
      <c r="G121" s="215">
        <f t="shared" si="23"/>
        <v>0.20860657339219513</v>
      </c>
      <c r="H121" s="123"/>
    </row>
    <row r="122" spans="1:8" ht="15.75" x14ac:dyDescent="0.25">
      <c r="A122" s="130"/>
      <c r="B122" s="131">
        <f>DATE(2020,10,1)</f>
        <v>44105</v>
      </c>
      <c r="C122" s="204">
        <v>17114468.25</v>
      </c>
      <c r="D122" s="204">
        <v>4167594.55</v>
      </c>
      <c r="E122" s="204">
        <v>3485177.78</v>
      </c>
      <c r="F122" s="132">
        <f t="shared" si="22"/>
        <v>0.19580544037555525</v>
      </c>
      <c r="G122" s="215">
        <f t="shared" si="23"/>
        <v>0.24351294408460514</v>
      </c>
      <c r="H122" s="123"/>
    </row>
    <row r="123" spans="1:8" ht="15.75" x14ac:dyDescent="0.25">
      <c r="A123" s="130"/>
      <c r="B123" s="131">
        <f>DATE(2020,11,1)</f>
        <v>44136</v>
      </c>
      <c r="C123" s="204">
        <v>17014102</v>
      </c>
      <c r="D123" s="204">
        <v>3752761.48</v>
      </c>
      <c r="E123" s="204">
        <v>3099140.29</v>
      </c>
      <c r="F123" s="132">
        <f t="shared" si="22"/>
        <v>0.21090403429268442</v>
      </c>
      <c r="G123" s="215">
        <f t="shared" si="23"/>
        <v>0.22056770789313476</v>
      </c>
      <c r="H123" s="123"/>
    </row>
    <row r="124" spans="1:8" ht="15.75" x14ac:dyDescent="0.25">
      <c r="A124" s="130"/>
      <c r="B124" s="131">
        <f>DATE(2020,12,1)</f>
        <v>44166</v>
      </c>
      <c r="C124" s="204">
        <v>18034169</v>
      </c>
      <c r="D124" s="204">
        <v>4490962</v>
      </c>
      <c r="E124" s="204">
        <v>4022599</v>
      </c>
      <c r="F124" s="132">
        <f t="shared" si="22"/>
        <v>0.11643293303657661</v>
      </c>
      <c r="G124" s="215">
        <f t="shared" si="23"/>
        <v>0.24902516994267937</v>
      </c>
      <c r="H124" s="123"/>
    </row>
    <row r="125" spans="1:8" ht="15.75" x14ac:dyDescent="0.25">
      <c r="A125" s="130"/>
      <c r="B125" s="131">
        <f>DATE(2021,1,1)</f>
        <v>44197</v>
      </c>
      <c r="C125" s="204">
        <v>20239790</v>
      </c>
      <c r="D125" s="204">
        <v>4702074.91</v>
      </c>
      <c r="E125" s="204">
        <v>3993751.63</v>
      </c>
      <c r="F125" s="132">
        <f t="shared" si="22"/>
        <v>0.17735786939760204</v>
      </c>
      <c r="G125" s="215">
        <f t="shared" si="23"/>
        <v>0.23231836446919657</v>
      </c>
      <c r="H125" s="123"/>
    </row>
    <row r="126" spans="1:8" ht="15.75" thickBot="1" x14ac:dyDescent="0.25">
      <c r="A126" s="133"/>
      <c r="B126" s="134"/>
      <c r="C126" s="204"/>
      <c r="D126" s="204"/>
      <c r="E126" s="204"/>
      <c r="F126" s="132"/>
      <c r="G126" s="215"/>
      <c r="H126" s="123"/>
    </row>
    <row r="127" spans="1:8" ht="17.25" thickTop="1" thickBot="1" x14ac:dyDescent="0.3">
      <c r="A127" s="141" t="s">
        <v>14</v>
      </c>
      <c r="B127" s="142"/>
      <c r="C127" s="206">
        <f>SUM(C119:C126)</f>
        <v>126300826.75</v>
      </c>
      <c r="D127" s="207">
        <f>SUM(D119:D126)</f>
        <v>29242037.68</v>
      </c>
      <c r="E127" s="206">
        <f>SUM(E119:E126)</f>
        <v>26073538.289999999</v>
      </c>
      <c r="F127" s="143">
        <f>(+D127-E127)/E127</f>
        <v>0.12152164983358692</v>
      </c>
      <c r="G127" s="217">
        <f>D127/C127</f>
        <v>0.23152689046035876</v>
      </c>
      <c r="H127" s="123"/>
    </row>
    <row r="128" spans="1:8" ht="15.75" customHeight="1" thickTop="1" x14ac:dyDescent="0.25">
      <c r="A128" s="130"/>
      <c r="B128" s="134"/>
      <c r="C128" s="204"/>
      <c r="D128" s="204"/>
      <c r="E128" s="204"/>
      <c r="F128" s="132"/>
      <c r="G128" s="218"/>
      <c r="H128" s="123"/>
    </row>
    <row r="129" spans="1:8" ht="15.75" x14ac:dyDescent="0.25">
      <c r="A129" s="130" t="s">
        <v>58</v>
      </c>
      <c r="B129" s="131">
        <f>DATE(2020,7,1)</f>
        <v>44013</v>
      </c>
      <c r="C129" s="204">
        <v>674370</v>
      </c>
      <c r="D129" s="204">
        <v>155770.5</v>
      </c>
      <c r="E129" s="204">
        <v>102948</v>
      </c>
      <c r="F129" s="132">
        <f t="shared" ref="F129:F135" si="24">(+D129-E129)/E129</f>
        <v>0.51309884601934952</v>
      </c>
      <c r="G129" s="215">
        <f t="shared" ref="G129:G135" si="25">D129/C129</f>
        <v>0.23098669869656124</v>
      </c>
      <c r="H129" s="123"/>
    </row>
    <row r="130" spans="1:8" ht="15.75" x14ac:dyDescent="0.25">
      <c r="A130" s="130"/>
      <c r="B130" s="131">
        <f>DATE(2020,8,1)</f>
        <v>44044</v>
      </c>
      <c r="C130" s="204">
        <v>698636</v>
      </c>
      <c r="D130" s="204">
        <v>187855</v>
      </c>
      <c r="E130" s="204">
        <v>208443.5</v>
      </c>
      <c r="F130" s="132">
        <f t="shared" si="24"/>
        <v>-9.8772569065478169E-2</v>
      </c>
      <c r="G130" s="215">
        <f t="shared" si="25"/>
        <v>0.26888823364384312</v>
      </c>
      <c r="H130" s="123"/>
    </row>
    <row r="131" spans="1:8" ht="15.75" x14ac:dyDescent="0.25">
      <c r="A131" s="130"/>
      <c r="B131" s="131">
        <f>DATE(2020,9,1)</f>
        <v>44075</v>
      </c>
      <c r="C131" s="204">
        <v>619816</v>
      </c>
      <c r="D131" s="204">
        <v>175772.5</v>
      </c>
      <c r="E131" s="204">
        <v>206651.5</v>
      </c>
      <c r="F131" s="132">
        <f t="shared" si="24"/>
        <v>-0.14942548203134262</v>
      </c>
      <c r="G131" s="215">
        <f t="shared" si="25"/>
        <v>0.28358819391561368</v>
      </c>
      <c r="H131" s="123"/>
    </row>
    <row r="132" spans="1:8" ht="15.75" x14ac:dyDescent="0.25">
      <c r="A132" s="130"/>
      <c r="B132" s="131">
        <f>DATE(2020,10,1)</f>
        <v>44105</v>
      </c>
      <c r="C132" s="204">
        <v>525356</v>
      </c>
      <c r="D132" s="204">
        <v>128393</v>
      </c>
      <c r="E132" s="204">
        <v>159975</v>
      </c>
      <c r="F132" s="132">
        <f t="shared" si="24"/>
        <v>-0.19741834661665886</v>
      </c>
      <c r="G132" s="215">
        <f t="shared" si="25"/>
        <v>0.2443923739331044</v>
      </c>
      <c r="H132" s="123"/>
    </row>
    <row r="133" spans="1:8" ht="15.75" x14ac:dyDescent="0.25">
      <c r="A133" s="130"/>
      <c r="B133" s="131">
        <f>DATE(2020,11,1)</f>
        <v>44136</v>
      </c>
      <c r="C133" s="204">
        <v>526166</v>
      </c>
      <c r="D133" s="204">
        <v>162751.5</v>
      </c>
      <c r="E133" s="204">
        <v>185433.5</v>
      </c>
      <c r="F133" s="132">
        <f t="shared" si="24"/>
        <v>-0.12231878274421827</v>
      </c>
      <c r="G133" s="215">
        <f t="shared" si="25"/>
        <v>0.30931588129981791</v>
      </c>
      <c r="H133" s="123"/>
    </row>
    <row r="134" spans="1:8" ht="15.75" x14ac:dyDescent="0.25">
      <c r="A134" s="130"/>
      <c r="B134" s="131">
        <f>DATE(2020,12,1)</f>
        <v>44166</v>
      </c>
      <c r="C134" s="204">
        <v>502248</v>
      </c>
      <c r="D134" s="204">
        <v>165476</v>
      </c>
      <c r="E134" s="204">
        <v>198005</v>
      </c>
      <c r="F134" s="132">
        <f t="shared" si="24"/>
        <v>-0.16428373020883311</v>
      </c>
      <c r="G134" s="215">
        <f t="shared" si="25"/>
        <v>0.32947069973399595</v>
      </c>
      <c r="H134" s="123"/>
    </row>
    <row r="135" spans="1:8" ht="15.75" x14ac:dyDescent="0.25">
      <c r="A135" s="130"/>
      <c r="B135" s="131">
        <f>DATE(2021,1,1)</f>
        <v>44197</v>
      </c>
      <c r="C135" s="204">
        <v>482408</v>
      </c>
      <c r="D135" s="204">
        <v>104168.5</v>
      </c>
      <c r="E135" s="204">
        <v>233910.5</v>
      </c>
      <c r="F135" s="132">
        <f t="shared" si="24"/>
        <v>-0.55466513901684622</v>
      </c>
      <c r="G135" s="215">
        <f t="shared" si="25"/>
        <v>0.21593443723984676</v>
      </c>
      <c r="H135" s="123"/>
    </row>
    <row r="136" spans="1:8" ht="15.75" thickBot="1" x14ac:dyDescent="0.25">
      <c r="A136" s="133"/>
      <c r="B136" s="134"/>
      <c r="C136" s="204"/>
      <c r="D136" s="204"/>
      <c r="E136" s="204"/>
      <c r="F136" s="132"/>
      <c r="G136" s="215"/>
      <c r="H136" s="123"/>
    </row>
    <row r="137" spans="1:8" ht="17.25" thickTop="1" thickBot="1" x14ac:dyDescent="0.3">
      <c r="A137" s="135" t="s">
        <v>14</v>
      </c>
      <c r="B137" s="136"/>
      <c r="C137" s="201">
        <f>SUM(C129:C136)</f>
        <v>4029000</v>
      </c>
      <c r="D137" s="207">
        <f>SUM(D129:D136)</f>
        <v>1080187</v>
      </c>
      <c r="E137" s="207">
        <f>SUM(E129:E136)</f>
        <v>1295367</v>
      </c>
      <c r="F137" s="143">
        <f>(+D137-E137)/E137</f>
        <v>-0.16611508553174506</v>
      </c>
      <c r="G137" s="217">
        <f>D137/C137</f>
        <v>0.26810300322660707</v>
      </c>
      <c r="H137" s="123"/>
    </row>
    <row r="138" spans="1:8" ht="16.5" thickTop="1" thickBot="1" x14ac:dyDescent="0.25">
      <c r="A138" s="146"/>
      <c r="B138" s="139"/>
      <c r="C138" s="205"/>
      <c r="D138" s="205"/>
      <c r="E138" s="205"/>
      <c r="F138" s="140"/>
      <c r="G138" s="216"/>
      <c r="H138" s="123"/>
    </row>
    <row r="139" spans="1:8" ht="17.25" thickTop="1" thickBot="1" x14ac:dyDescent="0.3">
      <c r="A139" s="147" t="s">
        <v>38</v>
      </c>
      <c r="B139" s="121"/>
      <c r="C139" s="201">
        <f>C137+C127+C97+C77+C57+C37+C17+C47+C117+C27+C87+C107+C67</f>
        <v>581415101.54999995</v>
      </c>
      <c r="D139" s="201">
        <f>D137+D127+D97+D77+D57+D37+D17+D47+D117+D27+D87+D107+D67</f>
        <v>122897164.49999999</v>
      </c>
      <c r="E139" s="201">
        <f>E137+E127+E97+E77+E57+E37+E17+E47+E117+E27+E87+E107+E67</f>
        <v>149224803.97999999</v>
      </c>
      <c r="F139" s="137">
        <f>(+D139-E139)/E139</f>
        <v>-0.17642937888213675</v>
      </c>
      <c r="G139" s="212">
        <f>D139/C139</f>
        <v>0.21137594151298666</v>
      </c>
      <c r="H139" s="123"/>
    </row>
    <row r="140" spans="1:8" ht="17.25" thickTop="1" thickBot="1" x14ac:dyDescent="0.3">
      <c r="A140" s="147"/>
      <c r="B140" s="121"/>
      <c r="C140" s="201"/>
      <c r="D140" s="201"/>
      <c r="E140" s="201"/>
      <c r="F140" s="137"/>
      <c r="G140" s="212"/>
      <c r="H140" s="123"/>
    </row>
    <row r="141" spans="1:8" ht="17.25" thickTop="1" thickBot="1" x14ac:dyDescent="0.3">
      <c r="A141" s="265" t="s">
        <v>39</v>
      </c>
      <c r="B141" s="266"/>
      <c r="C141" s="206">
        <f>SUM(C15+C25+C35+C45+C55+C65+C75+C85+C95+C105+C115+C125+C135)</f>
        <v>90576805</v>
      </c>
      <c r="D141" s="206">
        <f>SUM(D15+D25+D35+D45+D55+D65+D75+D85+D95+D105+D115+D125+D135)</f>
        <v>19387764.620000001</v>
      </c>
      <c r="E141" s="206">
        <f>SUM(E15+E25+E35+E45+E55+E65+E75+E85+E95+E105+E115+E125+E135)</f>
        <v>22681024.23</v>
      </c>
      <c r="F141" s="143">
        <f>(+D141-E141)/E141</f>
        <v>-0.14519889298667704</v>
      </c>
      <c r="G141" s="217">
        <f>D141/C141</f>
        <v>0.21404778651664741</v>
      </c>
      <c r="H141" s="123"/>
    </row>
    <row r="142" spans="1:8" ht="16.5" thickTop="1" x14ac:dyDescent="0.25">
      <c r="A142" s="256"/>
      <c r="B142" s="258"/>
      <c r="C142" s="259"/>
      <c r="D142" s="259"/>
      <c r="E142" s="259"/>
      <c r="F142" s="260"/>
      <c r="G142" s="257"/>
      <c r="H142" s="257"/>
    </row>
    <row r="143" spans="1:8" ht="18.75" x14ac:dyDescent="0.3">
      <c r="A143" s="263" t="s">
        <v>40</v>
      </c>
      <c r="B143" s="117"/>
      <c r="C143" s="208"/>
      <c r="D143" s="208"/>
      <c r="E143" s="208"/>
      <c r="F143" s="148"/>
      <c r="G143" s="220"/>
    </row>
    <row r="144" spans="1:8" ht="15.75" x14ac:dyDescent="0.25">
      <c r="A144" s="72"/>
    </row>
  </sheetData>
  <phoneticPr fontId="0" type="noConversion"/>
  <printOptions horizontalCentered="1"/>
  <pageMargins left="0.45" right="0.25" top="0.31944444444444398" bottom="0.2" header="0.5" footer="0.5"/>
  <pageSetup scale="64" orientation="landscape" r:id="rId1"/>
  <headerFooter alignWithMargins="0"/>
  <rowBreaks count="3" manualBreakCount="3">
    <brk id="47" max="7" man="1"/>
    <brk id="87" max="7" man="1"/>
    <brk id="12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view="pageBreakPreview" topLeftCell="A4" zoomScale="60"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2.554687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61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76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72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69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70</v>
      </c>
      <c r="E8" s="224" t="s">
        <v>70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DATE(20,7,1)</f>
        <v>7488</v>
      </c>
      <c r="C10" s="226">
        <v>0</v>
      </c>
      <c r="D10" s="226">
        <v>0</v>
      </c>
      <c r="E10" s="226">
        <v>0</v>
      </c>
      <c r="F10" s="166">
        <v>0</v>
      </c>
      <c r="G10" s="241">
        <v>0</v>
      </c>
      <c r="H10" s="242">
        <v>0</v>
      </c>
    </row>
    <row r="11" spans="1:8" ht="15.75" x14ac:dyDescent="0.25">
      <c r="A11" s="164"/>
      <c r="B11" s="165">
        <f>DATE(20,8,1)</f>
        <v>7519</v>
      </c>
      <c r="C11" s="226">
        <v>0</v>
      </c>
      <c r="D11" s="226">
        <v>0</v>
      </c>
      <c r="E11" s="226">
        <v>0</v>
      </c>
      <c r="F11" s="166">
        <v>0</v>
      </c>
      <c r="G11" s="241">
        <v>0</v>
      </c>
      <c r="H11" s="242">
        <v>0</v>
      </c>
    </row>
    <row r="12" spans="1:8" ht="15.75" x14ac:dyDescent="0.25">
      <c r="A12" s="164"/>
      <c r="B12" s="165">
        <f>DATE(20,9,1)</f>
        <v>7550</v>
      </c>
      <c r="C12" s="226">
        <v>0</v>
      </c>
      <c r="D12" s="226">
        <v>0</v>
      </c>
      <c r="E12" s="226">
        <v>0</v>
      </c>
      <c r="F12" s="166">
        <v>0</v>
      </c>
      <c r="G12" s="241">
        <v>0</v>
      </c>
      <c r="H12" s="242">
        <v>0</v>
      </c>
    </row>
    <row r="13" spans="1:8" ht="15.75" x14ac:dyDescent="0.25">
      <c r="A13" s="164"/>
      <c r="B13" s="165">
        <f>DATE(20,10,1)</f>
        <v>7580</v>
      </c>
      <c r="C13" s="226">
        <v>0</v>
      </c>
      <c r="D13" s="226">
        <v>0</v>
      </c>
      <c r="E13" s="226">
        <v>0</v>
      </c>
      <c r="F13" s="166">
        <v>0</v>
      </c>
      <c r="G13" s="241">
        <v>0</v>
      </c>
      <c r="H13" s="242">
        <v>0</v>
      </c>
    </row>
    <row r="14" spans="1:8" ht="15.75" x14ac:dyDescent="0.25">
      <c r="A14" s="164"/>
      <c r="B14" s="165">
        <f>DATE(20,11,1)</f>
        <v>7611</v>
      </c>
      <c r="C14" s="226">
        <v>0</v>
      </c>
      <c r="D14" s="226">
        <v>0</v>
      </c>
      <c r="E14" s="226">
        <v>0</v>
      </c>
      <c r="F14" s="166">
        <v>0</v>
      </c>
      <c r="G14" s="241">
        <v>0</v>
      </c>
      <c r="H14" s="242">
        <v>0</v>
      </c>
    </row>
    <row r="15" spans="1:8" ht="15.75" x14ac:dyDescent="0.25">
      <c r="A15" s="164"/>
      <c r="B15" s="165">
        <f>DATE(20,12,1)</f>
        <v>7641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x14ac:dyDescent="0.25">
      <c r="A16" s="164"/>
      <c r="B16" s="165">
        <f>DATE(21,1,1)</f>
        <v>7672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thickBot="1" x14ac:dyDescent="0.25">
      <c r="A17" s="167"/>
      <c r="B17" s="168"/>
      <c r="C17" s="226"/>
      <c r="D17" s="226"/>
      <c r="E17" s="226"/>
      <c r="F17" s="166"/>
      <c r="G17" s="241"/>
      <c r="H17" s="242"/>
    </row>
    <row r="18" spans="1:8" ht="17.25" thickTop="1" thickBot="1" x14ac:dyDescent="0.3">
      <c r="A18" s="169" t="s">
        <v>14</v>
      </c>
      <c r="B18" s="155"/>
      <c r="C18" s="223">
        <f>SUM(C10:C17)</f>
        <v>0</v>
      </c>
      <c r="D18" s="223">
        <f>SUM(D10:D17)</f>
        <v>0</v>
      </c>
      <c r="E18" s="223">
        <f>SUM(E10:E17)</f>
        <v>0</v>
      </c>
      <c r="F18" s="170">
        <v>0</v>
      </c>
      <c r="G18" s="236">
        <v>0</v>
      </c>
      <c r="H18" s="237">
        <v>0</v>
      </c>
    </row>
    <row r="19" spans="1:8" ht="15.75" thickTop="1" x14ac:dyDescent="0.2">
      <c r="A19" s="171"/>
      <c r="B19" s="172"/>
      <c r="C19" s="227"/>
      <c r="D19" s="227"/>
      <c r="E19" s="227"/>
      <c r="F19" s="173"/>
      <c r="G19" s="243"/>
      <c r="H19" s="244"/>
    </row>
    <row r="20" spans="1:8" ht="15.75" x14ac:dyDescent="0.25">
      <c r="A20" s="19" t="s">
        <v>48</v>
      </c>
      <c r="B20" s="165">
        <f>DATE(20,7,1)</f>
        <v>7488</v>
      </c>
      <c r="C20" s="226">
        <v>0</v>
      </c>
      <c r="D20" s="226">
        <v>0</v>
      </c>
      <c r="E20" s="226">
        <v>0</v>
      </c>
      <c r="F20" s="166">
        <v>0</v>
      </c>
      <c r="G20" s="241">
        <v>0</v>
      </c>
      <c r="H20" s="242">
        <v>0</v>
      </c>
    </row>
    <row r="21" spans="1:8" ht="15.75" x14ac:dyDescent="0.25">
      <c r="A21" s="19"/>
      <c r="B21" s="165">
        <f>DATE(20,8,1)</f>
        <v>7519</v>
      </c>
      <c r="C21" s="226">
        <v>0</v>
      </c>
      <c r="D21" s="226">
        <v>0</v>
      </c>
      <c r="E21" s="226">
        <v>0</v>
      </c>
      <c r="F21" s="166">
        <v>0</v>
      </c>
      <c r="G21" s="241">
        <v>0</v>
      </c>
      <c r="H21" s="242">
        <v>0</v>
      </c>
    </row>
    <row r="22" spans="1:8" ht="15.75" x14ac:dyDescent="0.25">
      <c r="A22" s="19"/>
      <c r="B22" s="165">
        <f>DATE(20,9,1)</f>
        <v>7550</v>
      </c>
      <c r="C22" s="226">
        <v>0</v>
      </c>
      <c r="D22" s="226">
        <v>0</v>
      </c>
      <c r="E22" s="226">
        <v>0</v>
      </c>
      <c r="F22" s="166">
        <v>0</v>
      </c>
      <c r="G22" s="241">
        <v>0</v>
      </c>
      <c r="H22" s="242">
        <v>0</v>
      </c>
    </row>
    <row r="23" spans="1:8" ht="15.75" x14ac:dyDescent="0.25">
      <c r="A23" s="19"/>
      <c r="B23" s="165">
        <f>DATE(20,10,1)</f>
        <v>7580</v>
      </c>
      <c r="C23" s="226">
        <v>0</v>
      </c>
      <c r="D23" s="226">
        <v>0</v>
      </c>
      <c r="E23" s="226">
        <v>0</v>
      </c>
      <c r="F23" s="166">
        <v>0</v>
      </c>
      <c r="G23" s="241">
        <v>0</v>
      </c>
      <c r="H23" s="242">
        <v>0</v>
      </c>
    </row>
    <row r="24" spans="1:8" ht="15.75" x14ac:dyDescent="0.25">
      <c r="A24" s="19"/>
      <c r="B24" s="165">
        <f>DATE(20,11,1)</f>
        <v>7611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x14ac:dyDescent="0.25">
      <c r="A25" s="19"/>
      <c r="B25" s="165">
        <f>DATE(20,12,1)</f>
        <v>7641</v>
      </c>
      <c r="C25" s="226">
        <v>0</v>
      </c>
      <c r="D25" s="226">
        <v>0</v>
      </c>
      <c r="E25" s="226">
        <v>0</v>
      </c>
      <c r="F25" s="166">
        <v>0</v>
      </c>
      <c r="G25" s="241">
        <v>0</v>
      </c>
      <c r="H25" s="242">
        <v>0</v>
      </c>
    </row>
    <row r="26" spans="1:8" ht="15.75" x14ac:dyDescent="0.25">
      <c r="A26" s="19"/>
      <c r="B26" s="165">
        <f>DATE(21,1,1)</f>
        <v>7672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thickBot="1" x14ac:dyDescent="0.25">
      <c r="A27" s="167"/>
      <c r="B27" s="165"/>
      <c r="C27" s="226"/>
      <c r="D27" s="226"/>
      <c r="E27" s="226"/>
      <c r="F27" s="166"/>
      <c r="G27" s="241"/>
      <c r="H27" s="242"/>
    </row>
    <row r="28" spans="1:8" ht="17.25" thickTop="1" thickBot="1" x14ac:dyDescent="0.3">
      <c r="A28" s="169" t="s">
        <v>14</v>
      </c>
      <c r="B28" s="155"/>
      <c r="C28" s="223">
        <f>SUM(C20:C27)</f>
        <v>0</v>
      </c>
      <c r="D28" s="223">
        <f>SUM(D20:D27)</f>
        <v>0</v>
      </c>
      <c r="E28" s="223">
        <f>SUM(E20:E27)</f>
        <v>0</v>
      </c>
      <c r="F28" s="170">
        <v>0</v>
      </c>
      <c r="G28" s="236">
        <v>0</v>
      </c>
      <c r="H28" s="237">
        <v>0</v>
      </c>
    </row>
    <row r="29" spans="1:8" ht="15.75" thickTop="1" x14ac:dyDescent="0.2">
      <c r="A29" s="171"/>
      <c r="B29" s="172"/>
      <c r="C29" s="227"/>
      <c r="D29" s="227"/>
      <c r="E29" s="227"/>
      <c r="F29" s="173"/>
      <c r="G29" s="243"/>
      <c r="H29" s="244"/>
    </row>
    <row r="30" spans="1:8" ht="15.75" x14ac:dyDescent="0.25">
      <c r="A30" s="19" t="s">
        <v>65</v>
      </c>
      <c r="B30" s="165">
        <f>DATE(20,7,1)</f>
        <v>7488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x14ac:dyDescent="0.25">
      <c r="A31" s="19"/>
      <c r="B31" s="165">
        <f>DATE(20,8,1)</f>
        <v>7519</v>
      </c>
      <c r="C31" s="226">
        <v>0</v>
      </c>
      <c r="D31" s="226">
        <v>0</v>
      </c>
      <c r="E31" s="226">
        <v>0</v>
      </c>
      <c r="F31" s="166">
        <v>0</v>
      </c>
      <c r="G31" s="241">
        <v>0</v>
      </c>
      <c r="H31" s="242">
        <v>0</v>
      </c>
    </row>
    <row r="32" spans="1:8" ht="15.75" x14ac:dyDescent="0.25">
      <c r="A32" s="19"/>
      <c r="B32" s="165">
        <f>DATE(20,9,1)</f>
        <v>7550</v>
      </c>
      <c r="C32" s="226">
        <v>0</v>
      </c>
      <c r="D32" s="226">
        <v>0</v>
      </c>
      <c r="E32" s="226">
        <v>0</v>
      </c>
      <c r="F32" s="166">
        <v>0</v>
      </c>
      <c r="G32" s="241">
        <v>0</v>
      </c>
      <c r="H32" s="242">
        <v>0</v>
      </c>
    </row>
    <row r="33" spans="1:8" ht="15.75" x14ac:dyDescent="0.25">
      <c r="A33" s="19"/>
      <c r="B33" s="165">
        <f>DATE(20,10,1)</f>
        <v>7580</v>
      </c>
      <c r="C33" s="226">
        <v>0</v>
      </c>
      <c r="D33" s="226">
        <v>0</v>
      </c>
      <c r="E33" s="226">
        <v>0</v>
      </c>
      <c r="F33" s="166">
        <v>0</v>
      </c>
      <c r="G33" s="241">
        <v>0</v>
      </c>
      <c r="H33" s="242">
        <v>0</v>
      </c>
    </row>
    <row r="34" spans="1:8" ht="15.75" x14ac:dyDescent="0.25">
      <c r="A34" s="19"/>
      <c r="B34" s="165">
        <f>DATE(20,11,1)</f>
        <v>7611</v>
      </c>
      <c r="C34" s="226">
        <v>0</v>
      </c>
      <c r="D34" s="226">
        <v>0</v>
      </c>
      <c r="E34" s="226">
        <v>0</v>
      </c>
      <c r="F34" s="166">
        <v>0</v>
      </c>
      <c r="G34" s="241">
        <v>0</v>
      </c>
      <c r="H34" s="242">
        <v>0</v>
      </c>
    </row>
    <row r="35" spans="1:8" ht="15.75" x14ac:dyDescent="0.25">
      <c r="A35" s="19"/>
      <c r="B35" s="165">
        <f>DATE(20,12,1)</f>
        <v>7641</v>
      </c>
      <c r="C35" s="226">
        <v>0</v>
      </c>
      <c r="D35" s="226">
        <v>0</v>
      </c>
      <c r="E35" s="226">
        <v>0</v>
      </c>
      <c r="F35" s="166">
        <v>0</v>
      </c>
      <c r="G35" s="241">
        <v>0</v>
      </c>
      <c r="H35" s="242">
        <v>0</v>
      </c>
    </row>
    <row r="36" spans="1:8" ht="15.75" x14ac:dyDescent="0.25">
      <c r="A36" s="19"/>
      <c r="B36" s="165">
        <f>DATE(21,1,1)</f>
        <v>7672</v>
      </c>
      <c r="C36" s="226">
        <v>0</v>
      </c>
      <c r="D36" s="226">
        <v>0</v>
      </c>
      <c r="E36" s="226">
        <v>0</v>
      </c>
      <c r="F36" s="166">
        <v>0</v>
      </c>
      <c r="G36" s="241">
        <v>0</v>
      </c>
      <c r="H36" s="242">
        <v>0</v>
      </c>
    </row>
    <row r="37" spans="1:8" ht="15.75" thickBot="1" x14ac:dyDescent="0.25">
      <c r="A37" s="167"/>
      <c r="B37" s="165"/>
      <c r="C37" s="226"/>
      <c r="D37" s="226"/>
      <c r="E37" s="226"/>
      <c r="F37" s="166"/>
      <c r="G37" s="241"/>
      <c r="H37" s="242"/>
    </row>
    <row r="38" spans="1:8" ht="17.25" thickTop="1" thickBot="1" x14ac:dyDescent="0.3">
      <c r="A38" s="174" t="s">
        <v>14</v>
      </c>
      <c r="B38" s="175"/>
      <c r="C38" s="228">
        <f>SUM(C30:C37)</f>
        <v>0</v>
      </c>
      <c r="D38" s="228">
        <f>SUM(D30:D37)</f>
        <v>0</v>
      </c>
      <c r="E38" s="228">
        <f>SUM(E30:E37)</f>
        <v>0</v>
      </c>
      <c r="F38" s="176">
        <v>0</v>
      </c>
      <c r="G38" s="245">
        <v>0</v>
      </c>
      <c r="H38" s="246">
        <v>0</v>
      </c>
    </row>
    <row r="39" spans="1:8" ht="15.75" thickTop="1" x14ac:dyDescent="0.2">
      <c r="A39" s="167"/>
      <c r="B39" s="168"/>
      <c r="C39" s="226"/>
      <c r="D39" s="226"/>
      <c r="E39" s="226"/>
      <c r="F39" s="166"/>
      <c r="G39" s="241"/>
      <c r="H39" s="242"/>
    </row>
    <row r="40" spans="1:8" ht="15.75" x14ac:dyDescent="0.25">
      <c r="A40" s="177" t="s">
        <v>59</v>
      </c>
      <c r="B40" s="165">
        <f>DATE(20,7,1)</f>
        <v>7488</v>
      </c>
      <c r="C40" s="226">
        <v>0</v>
      </c>
      <c r="D40" s="226">
        <v>0</v>
      </c>
      <c r="E40" s="226">
        <v>0</v>
      </c>
      <c r="F40" s="166">
        <v>0</v>
      </c>
      <c r="G40" s="241">
        <v>0</v>
      </c>
      <c r="H40" s="242">
        <v>0</v>
      </c>
    </row>
    <row r="41" spans="1:8" ht="15.75" x14ac:dyDescent="0.25">
      <c r="A41" s="177"/>
      <c r="B41" s="165">
        <f>DATE(20,8,1)</f>
        <v>7519</v>
      </c>
      <c r="C41" s="226">
        <v>0</v>
      </c>
      <c r="D41" s="226">
        <v>0</v>
      </c>
      <c r="E41" s="226">
        <v>0</v>
      </c>
      <c r="F41" s="166">
        <v>0</v>
      </c>
      <c r="G41" s="241">
        <v>0</v>
      </c>
      <c r="H41" s="242">
        <v>0</v>
      </c>
    </row>
    <row r="42" spans="1:8" ht="15.75" x14ac:dyDescent="0.25">
      <c r="A42" s="177"/>
      <c r="B42" s="165">
        <f>DATE(20,9,1)</f>
        <v>7550</v>
      </c>
      <c r="C42" s="226">
        <v>0</v>
      </c>
      <c r="D42" s="226">
        <v>0</v>
      </c>
      <c r="E42" s="226">
        <v>0</v>
      </c>
      <c r="F42" s="166">
        <v>0</v>
      </c>
      <c r="G42" s="241">
        <v>0</v>
      </c>
      <c r="H42" s="242">
        <v>0</v>
      </c>
    </row>
    <row r="43" spans="1:8" ht="15.75" x14ac:dyDescent="0.25">
      <c r="A43" s="177"/>
      <c r="B43" s="165">
        <f>DATE(20,10,1)</f>
        <v>7580</v>
      </c>
      <c r="C43" s="226">
        <v>0</v>
      </c>
      <c r="D43" s="226">
        <v>0</v>
      </c>
      <c r="E43" s="226">
        <v>0</v>
      </c>
      <c r="F43" s="166">
        <v>0</v>
      </c>
      <c r="G43" s="241">
        <v>0</v>
      </c>
      <c r="H43" s="242">
        <v>0</v>
      </c>
    </row>
    <row r="44" spans="1:8" ht="15.75" x14ac:dyDescent="0.25">
      <c r="A44" s="177"/>
      <c r="B44" s="165">
        <f>DATE(20,11,1)</f>
        <v>7611</v>
      </c>
      <c r="C44" s="226">
        <v>0</v>
      </c>
      <c r="D44" s="226">
        <v>0</v>
      </c>
      <c r="E44" s="226">
        <v>0</v>
      </c>
      <c r="F44" s="166">
        <v>0</v>
      </c>
      <c r="G44" s="241">
        <v>0</v>
      </c>
      <c r="H44" s="242">
        <v>0</v>
      </c>
    </row>
    <row r="45" spans="1:8" ht="15.75" x14ac:dyDescent="0.25">
      <c r="A45" s="177"/>
      <c r="B45" s="165">
        <f>DATE(20,12,1)</f>
        <v>7641</v>
      </c>
      <c r="C45" s="226">
        <v>0</v>
      </c>
      <c r="D45" s="226">
        <v>0</v>
      </c>
      <c r="E45" s="226">
        <v>0</v>
      </c>
      <c r="F45" s="166">
        <v>0</v>
      </c>
      <c r="G45" s="241">
        <v>0</v>
      </c>
      <c r="H45" s="242">
        <v>0</v>
      </c>
    </row>
    <row r="46" spans="1:8" ht="15.75" x14ac:dyDescent="0.25">
      <c r="A46" s="177"/>
      <c r="B46" s="165">
        <f>DATE(21,1,1)</f>
        <v>7672</v>
      </c>
      <c r="C46" s="226">
        <v>0</v>
      </c>
      <c r="D46" s="226">
        <v>0</v>
      </c>
      <c r="E46" s="226">
        <v>0</v>
      </c>
      <c r="F46" s="166">
        <v>0</v>
      </c>
      <c r="G46" s="241">
        <v>0</v>
      </c>
      <c r="H46" s="242">
        <v>0</v>
      </c>
    </row>
    <row r="47" spans="1:8" ht="15.75" thickBot="1" x14ac:dyDescent="0.25">
      <c r="A47" s="167"/>
      <c r="B47" s="168"/>
      <c r="C47" s="226"/>
      <c r="D47" s="226"/>
      <c r="E47" s="226"/>
      <c r="F47" s="166"/>
      <c r="G47" s="241"/>
      <c r="H47" s="242"/>
    </row>
    <row r="48" spans="1:8" ht="17.25" thickTop="1" thickBot="1" x14ac:dyDescent="0.3">
      <c r="A48" s="174" t="s">
        <v>14</v>
      </c>
      <c r="B48" s="178"/>
      <c r="C48" s="228">
        <f>SUM(C40:C47)</f>
        <v>0</v>
      </c>
      <c r="D48" s="228">
        <f>SUM(D40:D47)</f>
        <v>0</v>
      </c>
      <c r="E48" s="228">
        <f>SUM(E40:E47)</f>
        <v>0</v>
      </c>
      <c r="F48" s="176">
        <v>0</v>
      </c>
      <c r="G48" s="245">
        <v>0</v>
      </c>
      <c r="H48" s="246">
        <v>0</v>
      </c>
    </row>
    <row r="49" spans="1:8" ht="15.75" thickTop="1" x14ac:dyDescent="0.2">
      <c r="A49" s="167"/>
      <c r="B49" s="168"/>
      <c r="C49" s="226"/>
      <c r="D49" s="226"/>
      <c r="E49" s="226"/>
      <c r="F49" s="166"/>
      <c r="G49" s="241"/>
      <c r="H49" s="242"/>
    </row>
    <row r="50" spans="1:8" ht="15.75" x14ac:dyDescent="0.25">
      <c r="A50" s="164" t="s">
        <v>63</v>
      </c>
      <c r="B50" s="165">
        <f>DATE(20,7,1)</f>
        <v>7488</v>
      </c>
      <c r="C50" s="226">
        <v>0</v>
      </c>
      <c r="D50" s="226">
        <v>0</v>
      </c>
      <c r="E50" s="226">
        <v>0</v>
      </c>
      <c r="F50" s="166">
        <v>0</v>
      </c>
      <c r="G50" s="241">
        <v>0</v>
      </c>
      <c r="H50" s="242">
        <v>0</v>
      </c>
    </row>
    <row r="51" spans="1:8" ht="15.75" x14ac:dyDescent="0.25">
      <c r="A51" s="164"/>
      <c r="B51" s="165">
        <f>DATE(20,8,1)</f>
        <v>7519</v>
      </c>
      <c r="C51" s="226">
        <v>0</v>
      </c>
      <c r="D51" s="226">
        <v>0</v>
      </c>
      <c r="E51" s="226">
        <v>0</v>
      </c>
      <c r="F51" s="166">
        <v>0</v>
      </c>
      <c r="G51" s="241">
        <v>0</v>
      </c>
      <c r="H51" s="242">
        <v>0</v>
      </c>
    </row>
    <row r="52" spans="1:8" ht="15.75" x14ac:dyDescent="0.25">
      <c r="A52" s="164"/>
      <c r="B52" s="165">
        <f>DATE(20,9,1)</f>
        <v>7550</v>
      </c>
      <c r="C52" s="226">
        <v>0</v>
      </c>
      <c r="D52" s="226">
        <v>0</v>
      </c>
      <c r="E52" s="226">
        <v>0</v>
      </c>
      <c r="F52" s="166">
        <v>0</v>
      </c>
      <c r="G52" s="241">
        <v>0</v>
      </c>
      <c r="H52" s="242">
        <v>0</v>
      </c>
    </row>
    <row r="53" spans="1:8" ht="15.75" x14ac:dyDescent="0.25">
      <c r="A53" s="164"/>
      <c r="B53" s="165">
        <f>DATE(20,10,1)</f>
        <v>7580</v>
      </c>
      <c r="C53" s="226">
        <v>0</v>
      </c>
      <c r="D53" s="226">
        <v>0</v>
      </c>
      <c r="E53" s="226">
        <v>0</v>
      </c>
      <c r="F53" s="166">
        <v>0</v>
      </c>
      <c r="G53" s="241">
        <v>0</v>
      </c>
      <c r="H53" s="242">
        <v>0</v>
      </c>
    </row>
    <row r="54" spans="1:8" ht="15.75" x14ac:dyDescent="0.25">
      <c r="A54" s="164"/>
      <c r="B54" s="165">
        <f>DATE(20,11,1)</f>
        <v>7611</v>
      </c>
      <c r="C54" s="226">
        <v>0</v>
      </c>
      <c r="D54" s="226">
        <v>0</v>
      </c>
      <c r="E54" s="226">
        <v>0</v>
      </c>
      <c r="F54" s="166">
        <v>0</v>
      </c>
      <c r="G54" s="241">
        <v>0</v>
      </c>
      <c r="H54" s="242">
        <v>0</v>
      </c>
    </row>
    <row r="55" spans="1:8" ht="15.75" x14ac:dyDescent="0.25">
      <c r="A55" s="164"/>
      <c r="B55" s="165">
        <f>DATE(20,12,1)</f>
        <v>7641</v>
      </c>
      <c r="C55" s="226">
        <v>0</v>
      </c>
      <c r="D55" s="226">
        <v>0</v>
      </c>
      <c r="E55" s="226">
        <v>0</v>
      </c>
      <c r="F55" s="166">
        <v>0</v>
      </c>
      <c r="G55" s="241">
        <v>0</v>
      </c>
      <c r="H55" s="242">
        <v>0</v>
      </c>
    </row>
    <row r="56" spans="1:8" ht="15.75" x14ac:dyDescent="0.25">
      <c r="A56" s="164"/>
      <c r="B56" s="165">
        <f>DATE(21,1,1)</f>
        <v>7672</v>
      </c>
      <c r="C56" s="226">
        <v>0</v>
      </c>
      <c r="D56" s="226">
        <v>0</v>
      </c>
      <c r="E56" s="226">
        <v>0</v>
      </c>
      <c r="F56" s="166">
        <v>0</v>
      </c>
      <c r="G56" s="241">
        <v>0</v>
      </c>
      <c r="H56" s="242">
        <v>0</v>
      </c>
    </row>
    <row r="57" spans="1:8" ht="15.75" thickBot="1" x14ac:dyDescent="0.25">
      <c r="A57" s="167"/>
      <c r="B57" s="165"/>
      <c r="C57" s="226"/>
      <c r="D57" s="226"/>
      <c r="E57" s="226"/>
      <c r="F57" s="166"/>
      <c r="G57" s="241"/>
      <c r="H57" s="242"/>
    </row>
    <row r="58" spans="1:8" ht="17.25" thickTop="1" thickBot="1" x14ac:dyDescent="0.3">
      <c r="A58" s="174" t="s">
        <v>14</v>
      </c>
      <c r="B58" s="175"/>
      <c r="C58" s="228">
        <f>SUM(C50:C57)</f>
        <v>0</v>
      </c>
      <c r="D58" s="230">
        <f>SUM(D50:D57)</f>
        <v>0</v>
      </c>
      <c r="E58" s="271">
        <f>SUM(E50:E57)</f>
        <v>0</v>
      </c>
      <c r="F58" s="176">
        <v>0</v>
      </c>
      <c r="G58" s="245">
        <v>0</v>
      </c>
      <c r="H58" s="246">
        <v>0</v>
      </c>
    </row>
    <row r="59" spans="1:8" ht="15.75" thickTop="1" x14ac:dyDescent="0.2">
      <c r="A59" s="167"/>
      <c r="B59" s="168"/>
      <c r="C59" s="226"/>
      <c r="D59" s="226"/>
      <c r="E59" s="226"/>
      <c r="F59" s="166"/>
      <c r="G59" s="241"/>
      <c r="H59" s="242"/>
    </row>
    <row r="60" spans="1:8" ht="15.75" x14ac:dyDescent="0.25">
      <c r="A60" s="164" t="s">
        <v>68</v>
      </c>
      <c r="B60" s="165">
        <f>DATE(20,7,1)</f>
        <v>7488</v>
      </c>
      <c r="C60" s="226">
        <v>0</v>
      </c>
      <c r="D60" s="226">
        <v>0</v>
      </c>
      <c r="E60" s="226">
        <v>0</v>
      </c>
      <c r="F60" s="166">
        <v>0</v>
      </c>
      <c r="G60" s="241">
        <v>0</v>
      </c>
      <c r="H60" s="242">
        <v>0</v>
      </c>
    </row>
    <row r="61" spans="1:8" ht="15.75" x14ac:dyDescent="0.25">
      <c r="A61" s="164"/>
      <c r="B61" s="165">
        <f>DATE(20,8,1)</f>
        <v>7519</v>
      </c>
      <c r="C61" s="226">
        <v>0</v>
      </c>
      <c r="D61" s="226">
        <v>0</v>
      </c>
      <c r="E61" s="226">
        <v>0</v>
      </c>
      <c r="F61" s="166">
        <v>0</v>
      </c>
      <c r="G61" s="241">
        <v>0</v>
      </c>
      <c r="H61" s="242">
        <v>0</v>
      </c>
    </row>
    <row r="62" spans="1:8" ht="15.75" x14ac:dyDescent="0.25">
      <c r="A62" s="164"/>
      <c r="B62" s="165">
        <f>DATE(20,9,1)</f>
        <v>7550</v>
      </c>
      <c r="C62" s="226">
        <v>0</v>
      </c>
      <c r="D62" s="226">
        <v>0</v>
      </c>
      <c r="E62" s="226">
        <v>0</v>
      </c>
      <c r="F62" s="166">
        <v>0</v>
      </c>
      <c r="G62" s="241">
        <v>0</v>
      </c>
      <c r="H62" s="242">
        <v>0</v>
      </c>
    </row>
    <row r="63" spans="1:8" ht="15.75" x14ac:dyDescent="0.25">
      <c r="A63" s="164"/>
      <c r="B63" s="165">
        <f>DATE(20,10,1)</f>
        <v>7580</v>
      </c>
      <c r="C63" s="226">
        <v>0</v>
      </c>
      <c r="D63" s="226">
        <v>0</v>
      </c>
      <c r="E63" s="226">
        <v>0</v>
      </c>
      <c r="F63" s="166">
        <v>0</v>
      </c>
      <c r="G63" s="241">
        <v>0</v>
      </c>
      <c r="H63" s="242">
        <v>0</v>
      </c>
    </row>
    <row r="64" spans="1:8" ht="15.75" x14ac:dyDescent="0.25">
      <c r="A64" s="164"/>
      <c r="B64" s="165">
        <f>DATE(20,11,1)</f>
        <v>7611</v>
      </c>
      <c r="C64" s="226">
        <v>0</v>
      </c>
      <c r="D64" s="226">
        <v>0</v>
      </c>
      <c r="E64" s="226">
        <v>0</v>
      </c>
      <c r="F64" s="166">
        <v>0</v>
      </c>
      <c r="G64" s="241">
        <v>0</v>
      </c>
      <c r="H64" s="242">
        <v>0</v>
      </c>
    </row>
    <row r="65" spans="1:8" ht="15.75" x14ac:dyDescent="0.25">
      <c r="A65" s="164"/>
      <c r="B65" s="165">
        <f>DATE(20,12,1)</f>
        <v>7641</v>
      </c>
      <c r="C65" s="226">
        <v>0</v>
      </c>
      <c r="D65" s="226">
        <v>0</v>
      </c>
      <c r="E65" s="226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64"/>
      <c r="B66" s="165">
        <f>DATE(21,1,1)</f>
        <v>7672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thickBot="1" x14ac:dyDescent="0.25">
      <c r="A67" s="167"/>
      <c r="B67" s="165"/>
      <c r="C67" s="226"/>
      <c r="D67" s="226"/>
      <c r="E67" s="226"/>
      <c r="F67" s="166"/>
      <c r="G67" s="241"/>
      <c r="H67" s="242"/>
    </row>
    <row r="68" spans="1:8" ht="17.25" thickTop="1" thickBot="1" x14ac:dyDescent="0.3">
      <c r="A68" s="174" t="s">
        <v>14</v>
      </c>
      <c r="B68" s="175"/>
      <c r="C68" s="228">
        <f>SUM(C60:C67)</f>
        <v>0</v>
      </c>
      <c r="D68" s="230">
        <f>SUM(D60:D67)</f>
        <v>0</v>
      </c>
      <c r="E68" s="271">
        <f>SUM(E60:E67)</f>
        <v>0</v>
      </c>
      <c r="F68" s="176">
        <v>0</v>
      </c>
      <c r="G68" s="245">
        <v>0</v>
      </c>
      <c r="H68" s="246">
        <v>0</v>
      </c>
    </row>
    <row r="69" spans="1:8" ht="15.75" thickTop="1" x14ac:dyDescent="0.2">
      <c r="A69" s="167"/>
      <c r="B69" s="168"/>
      <c r="C69" s="226"/>
      <c r="D69" s="226"/>
      <c r="E69" s="226"/>
      <c r="F69" s="166"/>
      <c r="G69" s="241"/>
      <c r="H69" s="242"/>
    </row>
    <row r="70" spans="1:8" ht="15.75" x14ac:dyDescent="0.25">
      <c r="A70" s="164" t="s">
        <v>66</v>
      </c>
      <c r="B70" s="165">
        <f>DATE(20,7,1)</f>
        <v>7488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DATE(20,8,1)</f>
        <v>7519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x14ac:dyDescent="0.25">
      <c r="A72" s="164"/>
      <c r="B72" s="165">
        <f>DATE(20,9,1)</f>
        <v>7550</v>
      </c>
      <c r="C72" s="226">
        <v>0</v>
      </c>
      <c r="D72" s="226">
        <v>0</v>
      </c>
      <c r="E72" s="226">
        <v>0</v>
      </c>
      <c r="F72" s="166">
        <v>0</v>
      </c>
      <c r="G72" s="241">
        <v>0</v>
      </c>
      <c r="H72" s="242">
        <v>0</v>
      </c>
    </row>
    <row r="73" spans="1:8" ht="15.75" x14ac:dyDescent="0.25">
      <c r="A73" s="164"/>
      <c r="B73" s="165">
        <f>DATE(20,10,1)</f>
        <v>7580</v>
      </c>
      <c r="C73" s="226">
        <v>0</v>
      </c>
      <c r="D73" s="226">
        <v>0</v>
      </c>
      <c r="E73" s="226">
        <v>0</v>
      </c>
      <c r="F73" s="166">
        <v>0</v>
      </c>
      <c r="G73" s="241">
        <v>0</v>
      </c>
      <c r="H73" s="242">
        <v>0</v>
      </c>
    </row>
    <row r="74" spans="1:8" ht="15.75" x14ac:dyDescent="0.25">
      <c r="A74" s="164"/>
      <c r="B74" s="165">
        <f>DATE(20,11,1)</f>
        <v>7611</v>
      </c>
      <c r="C74" s="226">
        <v>0</v>
      </c>
      <c r="D74" s="226">
        <v>0</v>
      </c>
      <c r="E74" s="226">
        <v>0</v>
      </c>
      <c r="F74" s="166">
        <v>0</v>
      </c>
      <c r="G74" s="241">
        <v>0</v>
      </c>
      <c r="H74" s="242">
        <v>0</v>
      </c>
    </row>
    <row r="75" spans="1:8" ht="15.75" x14ac:dyDescent="0.25">
      <c r="A75" s="164"/>
      <c r="B75" s="165">
        <f>DATE(20,12,1)</f>
        <v>7641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DATE(21,1,1)</f>
        <v>7672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thickBot="1" x14ac:dyDescent="0.25">
      <c r="A77" s="167"/>
      <c r="B77" s="165"/>
      <c r="C77" s="226"/>
      <c r="D77" s="226"/>
      <c r="E77" s="226"/>
      <c r="F77" s="166"/>
      <c r="G77" s="241"/>
      <c r="H77" s="242"/>
    </row>
    <row r="78" spans="1:8" ht="17.25" thickTop="1" thickBot="1" x14ac:dyDescent="0.3">
      <c r="A78" s="174" t="s">
        <v>14</v>
      </c>
      <c r="B78" s="175"/>
      <c r="C78" s="228">
        <f>SUM(C70:C77)</f>
        <v>0</v>
      </c>
      <c r="D78" s="230">
        <f>SUM(D70:D77)</f>
        <v>0</v>
      </c>
      <c r="E78" s="271">
        <f>SUM(E70:E77)</f>
        <v>0</v>
      </c>
      <c r="F78" s="176">
        <v>0</v>
      </c>
      <c r="G78" s="245">
        <v>0</v>
      </c>
      <c r="H78" s="246">
        <v>0</v>
      </c>
    </row>
    <row r="79" spans="1:8" ht="15.75" thickTop="1" x14ac:dyDescent="0.2">
      <c r="A79" s="167"/>
      <c r="B79" s="168"/>
      <c r="C79" s="226"/>
      <c r="D79" s="226"/>
      <c r="E79" s="226"/>
      <c r="F79" s="166"/>
      <c r="G79" s="241"/>
      <c r="H79" s="242"/>
    </row>
    <row r="80" spans="1:8" ht="15.75" x14ac:dyDescent="0.25">
      <c r="A80" s="164" t="s">
        <v>60</v>
      </c>
      <c r="B80" s="165">
        <f>DATE(20,7,1)</f>
        <v>7488</v>
      </c>
      <c r="C80" s="226">
        <v>0</v>
      </c>
      <c r="D80" s="226">
        <v>0</v>
      </c>
      <c r="E80" s="226">
        <v>0</v>
      </c>
      <c r="F80" s="166">
        <v>0</v>
      </c>
      <c r="G80" s="241">
        <v>0</v>
      </c>
      <c r="H80" s="242">
        <v>0</v>
      </c>
    </row>
    <row r="81" spans="1:8" ht="15.75" x14ac:dyDescent="0.25">
      <c r="A81" s="164"/>
      <c r="B81" s="165">
        <f>DATE(20,8,1)</f>
        <v>7519</v>
      </c>
      <c r="C81" s="226">
        <v>2426243.5</v>
      </c>
      <c r="D81" s="226">
        <v>118455</v>
      </c>
      <c r="E81" s="226">
        <v>0</v>
      </c>
      <c r="F81" s="166">
        <v>1</v>
      </c>
      <c r="G81" s="241">
        <f t="shared" ref="G81:G86" si="0">D81/C81</f>
        <v>4.8822387365489078E-2</v>
      </c>
      <c r="H81" s="242">
        <f t="shared" ref="H81:H86" si="1">1-G81</f>
        <v>0.95117761263451095</v>
      </c>
    </row>
    <row r="82" spans="1:8" ht="15.75" x14ac:dyDescent="0.25">
      <c r="A82" s="164"/>
      <c r="B82" s="165">
        <f>DATE(20,9,1)</f>
        <v>7550</v>
      </c>
      <c r="C82" s="226">
        <v>1791988</v>
      </c>
      <c r="D82" s="226">
        <v>106241</v>
      </c>
      <c r="E82" s="226">
        <v>0</v>
      </c>
      <c r="F82" s="166">
        <v>1</v>
      </c>
      <c r="G82" s="241">
        <f t="shared" si="0"/>
        <v>5.9286669330374978E-2</v>
      </c>
      <c r="H82" s="242">
        <f t="shared" si="1"/>
        <v>0.94071333066962504</v>
      </c>
    </row>
    <row r="83" spans="1:8" ht="15.75" x14ac:dyDescent="0.25">
      <c r="A83" s="164"/>
      <c r="B83" s="165">
        <f>DATE(20,10,1)</f>
        <v>7580</v>
      </c>
      <c r="C83" s="226">
        <v>1843163.5</v>
      </c>
      <c r="D83" s="226">
        <v>82618</v>
      </c>
      <c r="E83" s="226">
        <v>0</v>
      </c>
      <c r="F83" s="166">
        <v>1</v>
      </c>
      <c r="G83" s="241">
        <f t="shared" si="0"/>
        <v>4.4824021309015721E-2</v>
      </c>
      <c r="H83" s="242">
        <f t="shared" si="1"/>
        <v>0.95517597869098425</v>
      </c>
    </row>
    <row r="84" spans="1:8" ht="15.75" x14ac:dyDescent="0.25">
      <c r="A84" s="164"/>
      <c r="B84" s="165">
        <f>DATE(20,11,1)</f>
        <v>7611</v>
      </c>
      <c r="C84" s="226">
        <v>1486394.5</v>
      </c>
      <c r="D84" s="226">
        <v>81702.080000000002</v>
      </c>
      <c r="E84" s="226">
        <v>0</v>
      </c>
      <c r="F84" s="166">
        <v>1</v>
      </c>
      <c r="G84" s="241">
        <f t="shared" si="0"/>
        <v>5.4966618888861604E-2</v>
      </c>
      <c r="H84" s="242">
        <f t="shared" si="1"/>
        <v>0.94503338111113844</v>
      </c>
    </row>
    <row r="85" spans="1:8" ht="15.75" x14ac:dyDescent="0.25">
      <c r="A85" s="164"/>
      <c r="B85" s="165">
        <f>DATE(20,12,1)</f>
        <v>7641</v>
      </c>
      <c r="C85" s="226">
        <v>2678467</v>
      </c>
      <c r="D85" s="226">
        <v>84775</v>
      </c>
      <c r="E85" s="226">
        <v>0</v>
      </c>
      <c r="F85" s="166">
        <v>1</v>
      </c>
      <c r="G85" s="241">
        <f t="shared" si="0"/>
        <v>3.1650567283449824E-2</v>
      </c>
      <c r="H85" s="242">
        <f t="shared" si="1"/>
        <v>0.96834943271655016</v>
      </c>
    </row>
    <row r="86" spans="1:8" ht="15.75" x14ac:dyDescent="0.25">
      <c r="A86" s="164"/>
      <c r="B86" s="165">
        <f>DATE(21,1,1)</f>
        <v>7672</v>
      </c>
      <c r="C86" s="226">
        <v>3363779.5</v>
      </c>
      <c r="D86" s="226">
        <v>127657</v>
      </c>
      <c r="E86" s="226">
        <v>0</v>
      </c>
      <c r="F86" s="166">
        <v>1</v>
      </c>
      <c r="G86" s="241">
        <f t="shared" si="0"/>
        <v>3.79504661348938E-2</v>
      </c>
      <c r="H86" s="242">
        <f t="shared" si="1"/>
        <v>0.96204953386510617</v>
      </c>
    </row>
    <row r="87" spans="1:8" ht="15.75" thickBot="1" x14ac:dyDescent="0.25">
      <c r="A87" s="167"/>
      <c r="B87" s="165"/>
      <c r="C87" s="226"/>
      <c r="D87" s="226"/>
      <c r="E87" s="226"/>
      <c r="F87" s="166"/>
      <c r="G87" s="241"/>
      <c r="H87" s="242"/>
    </row>
    <row r="88" spans="1:8" ht="17.25" thickTop="1" thickBot="1" x14ac:dyDescent="0.3">
      <c r="A88" s="174" t="s">
        <v>14</v>
      </c>
      <c r="B88" s="175"/>
      <c r="C88" s="228">
        <f>SUM(C80:C87)</f>
        <v>13590036</v>
      </c>
      <c r="D88" s="230">
        <f>SUM(D80:D87)</f>
        <v>601448.08000000007</v>
      </c>
      <c r="E88" s="271">
        <f>SUM(E80:E87)</f>
        <v>0</v>
      </c>
      <c r="F88" s="176">
        <v>1</v>
      </c>
      <c r="G88" s="249">
        <f>D88/C88</f>
        <v>4.4256547959107696E-2</v>
      </c>
      <c r="H88" s="270">
        <f>1-G88</f>
        <v>0.95574345204089228</v>
      </c>
    </row>
    <row r="89" spans="1:8" ht="15.75" thickTop="1" x14ac:dyDescent="0.2">
      <c r="A89" s="167"/>
      <c r="B89" s="179"/>
      <c r="C89" s="229"/>
      <c r="D89" s="229"/>
      <c r="E89" s="229"/>
      <c r="F89" s="180"/>
      <c r="G89" s="247"/>
      <c r="H89" s="248"/>
    </row>
    <row r="90" spans="1:8" ht="15.75" x14ac:dyDescent="0.25">
      <c r="A90" s="164" t="s">
        <v>16</v>
      </c>
      <c r="B90" s="165">
        <f>DATE(20,7,1)</f>
        <v>7488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x14ac:dyDescent="0.25">
      <c r="A91" s="164"/>
      <c r="B91" s="165">
        <f>DATE(20,8,1)</f>
        <v>7519</v>
      </c>
      <c r="C91" s="226">
        <v>0</v>
      </c>
      <c r="D91" s="226">
        <v>0</v>
      </c>
      <c r="E91" s="226">
        <v>0</v>
      </c>
      <c r="F91" s="166">
        <v>0</v>
      </c>
      <c r="G91" s="241">
        <v>0</v>
      </c>
      <c r="H91" s="242">
        <v>0</v>
      </c>
    </row>
    <row r="92" spans="1:8" ht="15.75" x14ac:dyDescent="0.25">
      <c r="A92" s="164"/>
      <c r="B92" s="165">
        <f>DATE(20,9,1)</f>
        <v>7550</v>
      </c>
      <c r="C92" s="226">
        <v>0</v>
      </c>
      <c r="D92" s="226">
        <v>0</v>
      </c>
      <c r="E92" s="226">
        <v>0</v>
      </c>
      <c r="F92" s="166">
        <v>0</v>
      </c>
      <c r="G92" s="241">
        <v>0</v>
      </c>
      <c r="H92" s="242">
        <v>0</v>
      </c>
    </row>
    <row r="93" spans="1:8" ht="15.75" x14ac:dyDescent="0.25">
      <c r="A93" s="164"/>
      <c r="B93" s="165">
        <f>DATE(20,10,1)</f>
        <v>7580</v>
      </c>
      <c r="C93" s="226">
        <v>0</v>
      </c>
      <c r="D93" s="226">
        <v>0</v>
      </c>
      <c r="E93" s="226">
        <v>0</v>
      </c>
      <c r="F93" s="166">
        <v>0</v>
      </c>
      <c r="G93" s="241">
        <v>0</v>
      </c>
      <c r="H93" s="242">
        <v>0</v>
      </c>
    </row>
    <row r="94" spans="1:8" ht="15.75" x14ac:dyDescent="0.25">
      <c r="A94" s="164"/>
      <c r="B94" s="165">
        <f>DATE(20,11,1)</f>
        <v>7611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x14ac:dyDescent="0.25">
      <c r="A95" s="164"/>
      <c r="B95" s="165">
        <f>DATE(20,12,1)</f>
        <v>7641</v>
      </c>
      <c r="C95" s="226">
        <v>0</v>
      </c>
      <c r="D95" s="226">
        <v>0</v>
      </c>
      <c r="E95" s="226">
        <v>0</v>
      </c>
      <c r="F95" s="166">
        <v>0</v>
      </c>
      <c r="G95" s="241">
        <v>0</v>
      </c>
      <c r="H95" s="242">
        <v>0</v>
      </c>
    </row>
    <row r="96" spans="1:8" ht="15.75" x14ac:dyDescent="0.25">
      <c r="A96" s="164"/>
      <c r="B96" s="165">
        <f>DATE(21,1,1)</f>
        <v>7672</v>
      </c>
      <c r="C96" s="226">
        <v>0</v>
      </c>
      <c r="D96" s="226">
        <v>0</v>
      </c>
      <c r="E96" s="226">
        <v>0</v>
      </c>
      <c r="F96" s="166">
        <v>0</v>
      </c>
      <c r="G96" s="241">
        <v>0</v>
      </c>
      <c r="H96" s="242">
        <v>0</v>
      </c>
    </row>
    <row r="97" spans="1:8" ht="16.5" thickBot="1" x14ac:dyDescent="0.3">
      <c r="A97" s="164"/>
      <c r="B97" s="165"/>
      <c r="C97" s="226"/>
      <c r="D97" s="226"/>
      <c r="E97" s="226"/>
      <c r="F97" s="166"/>
      <c r="G97" s="241"/>
      <c r="H97" s="242"/>
    </row>
    <row r="98" spans="1:8" ht="17.25" thickTop="1" thickBot="1" x14ac:dyDescent="0.3">
      <c r="A98" s="174" t="s">
        <v>14</v>
      </c>
      <c r="B98" s="181"/>
      <c r="C98" s="228">
        <f>SUM(C90:C97)</f>
        <v>0</v>
      </c>
      <c r="D98" s="228">
        <f>SUM(D90:D97)</f>
        <v>0</v>
      </c>
      <c r="E98" s="228">
        <f>SUM(E90:E97)</f>
        <v>0</v>
      </c>
      <c r="F98" s="176">
        <v>0</v>
      </c>
      <c r="G98" s="245">
        <v>0</v>
      </c>
      <c r="H98" s="246">
        <v>0</v>
      </c>
    </row>
    <row r="99" spans="1:8" ht="15.75" thickTop="1" x14ac:dyDescent="0.2">
      <c r="A99" s="171"/>
      <c r="B99" s="172"/>
      <c r="C99" s="227"/>
      <c r="D99" s="227"/>
      <c r="E99" s="227"/>
      <c r="F99" s="173"/>
      <c r="G99" s="243"/>
      <c r="H99" s="244"/>
    </row>
    <row r="100" spans="1:8" ht="15.75" x14ac:dyDescent="0.25">
      <c r="A100" s="164" t="s">
        <v>54</v>
      </c>
      <c r="B100" s="165">
        <f>DATE(20,7,1)</f>
        <v>7488</v>
      </c>
      <c r="C100" s="226">
        <v>0</v>
      </c>
      <c r="D100" s="226">
        <v>0</v>
      </c>
      <c r="E100" s="226">
        <v>0</v>
      </c>
      <c r="F100" s="166">
        <v>0</v>
      </c>
      <c r="G100" s="241">
        <v>0</v>
      </c>
      <c r="H100" s="242">
        <v>0</v>
      </c>
    </row>
    <row r="101" spans="1:8" ht="15.75" x14ac:dyDescent="0.25">
      <c r="A101" s="164"/>
      <c r="B101" s="165">
        <f>DATE(20,8,1)</f>
        <v>7519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DATE(20,9,1)</f>
        <v>7550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x14ac:dyDescent="0.25">
      <c r="A103" s="164"/>
      <c r="B103" s="165">
        <f>DATE(20,10,1)</f>
        <v>7580</v>
      </c>
      <c r="C103" s="226">
        <v>0</v>
      </c>
      <c r="D103" s="226">
        <v>0</v>
      </c>
      <c r="E103" s="226">
        <v>0</v>
      </c>
      <c r="F103" s="166">
        <v>0</v>
      </c>
      <c r="G103" s="241">
        <v>0</v>
      </c>
      <c r="H103" s="242">
        <v>0</v>
      </c>
    </row>
    <row r="104" spans="1:8" ht="15.75" x14ac:dyDescent="0.25">
      <c r="A104" s="164"/>
      <c r="B104" s="165">
        <f>DATE(20,11,1)</f>
        <v>7611</v>
      </c>
      <c r="C104" s="226">
        <v>0</v>
      </c>
      <c r="D104" s="226">
        <v>0</v>
      </c>
      <c r="E104" s="226">
        <v>0</v>
      </c>
      <c r="F104" s="166">
        <v>0</v>
      </c>
      <c r="G104" s="241">
        <v>0</v>
      </c>
      <c r="H104" s="242">
        <v>0</v>
      </c>
    </row>
    <row r="105" spans="1:8" ht="15.75" x14ac:dyDescent="0.25">
      <c r="A105" s="164"/>
      <c r="B105" s="165">
        <f>DATE(20,12,1)</f>
        <v>7641</v>
      </c>
      <c r="C105" s="226">
        <v>0</v>
      </c>
      <c r="D105" s="226">
        <v>0</v>
      </c>
      <c r="E105" s="226">
        <v>0</v>
      </c>
      <c r="F105" s="166">
        <v>0</v>
      </c>
      <c r="G105" s="241">
        <v>0</v>
      </c>
      <c r="H105" s="242">
        <v>0</v>
      </c>
    </row>
    <row r="106" spans="1:8" ht="15.75" x14ac:dyDescent="0.25">
      <c r="A106" s="164"/>
      <c r="B106" s="165">
        <f>DATE(21,1,1)</f>
        <v>7672</v>
      </c>
      <c r="C106" s="226">
        <v>0</v>
      </c>
      <c r="D106" s="226">
        <v>0</v>
      </c>
      <c r="E106" s="226">
        <v>0</v>
      </c>
      <c r="F106" s="166">
        <v>0</v>
      </c>
      <c r="G106" s="241">
        <v>0</v>
      </c>
      <c r="H106" s="242">
        <v>0</v>
      </c>
    </row>
    <row r="107" spans="1:8" ht="15.75" thickBot="1" x14ac:dyDescent="0.25">
      <c r="A107" s="167"/>
      <c r="B107" s="168"/>
      <c r="C107" s="226"/>
      <c r="D107" s="226"/>
      <c r="E107" s="226"/>
      <c r="F107" s="166"/>
      <c r="G107" s="241"/>
      <c r="H107" s="242"/>
    </row>
    <row r="108" spans="1:8" ht="17.25" thickTop="1" thickBot="1" x14ac:dyDescent="0.3">
      <c r="A108" s="174" t="s">
        <v>14</v>
      </c>
      <c r="B108" s="175"/>
      <c r="C108" s="228">
        <f>SUM(C100:C107)</f>
        <v>0</v>
      </c>
      <c r="D108" s="228">
        <f>SUM(D100:D107)</f>
        <v>0</v>
      </c>
      <c r="E108" s="228">
        <f>SUM(E100:E107)</f>
        <v>0</v>
      </c>
      <c r="F108" s="176">
        <v>0</v>
      </c>
      <c r="G108" s="245">
        <v>0</v>
      </c>
      <c r="H108" s="246">
        <v>0</v>
      </c>
    </row>
    <row r="109" spans="1:8" ht="15.75" thickTop="1" x14ac:dyDescent="0.2">
      <c r="A109" s="167"/>
      <c r="B109" s="168"/>
      <c r="C109" s="226"/>
      <c r="D109" s="226"/>
      <c r="E109" s="226"/>
      <c r="F109" s="166"/>
      <c r="G109" s="241"/>
      <c r="H109" s="242"/>
    </row>
    <row r="110" spans="1:8" ht="15.75" x14ac:dyDescent="0.25">
      <c r="A110" s="164" t="s">
        <v>55</v>
      </c>
      <c r="B110" s="165">
        <f>DATE(20,7,1)</f>
        <v>7488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x14ac:dyDescent="0.25">
      <c r="A111" s="164"/>
      <c r="B111" s="165">
        <f>DATE(20,8,1)</f>
        <v>7519</v>
      </c>
      <c r="C111" s="226">
        <v>0</v>
      </c>
      <c r="D111" s="226">
        <v>0</v>
      </c>
      <c r="E111" s="226">
        <v>0</v>
      </c>
      <c r="F111" s="166">
        <v>0</v>
      </c>
      <c r="G111" s="241">
        <v>0</v>
      </c>
      <c r="H111" s="242">
        <v>0</v>
      </c>
    </row>
    <row r="112" spans="1:8" ht="15.75" x14ac:dyDescent="0.25">
      <c r="A112" s="164"/>
      <c r="B112" s="165">
        <f>DATE(20,9,1)</f>
        <v>7550</v>
      </c>
      <c r="C112" s="226">
        <v>0</v>
      </c>
      <c r="D112" s="226">
        <v>0</v>
      </c>
      <c r="E112" s="226">
        <v>0</v>
      </c>
      <c r="F112" s="166">
        <v>0</v>
      </c>
      <c r="G112" s="241">
        <v>0</v>
      </c>
      <c r="H112" s="242">
        <v>0</v>
      </c>
    </row>
    <row r="113" spans="1:8" ht="15.75" x14ac:dyDescent="0.25">
      <c r="A113" s="164"/>
      <c r="B113" s="165">
        <f>DATE(20,10,1)</f>
        <v>7580</v>
      </c>
      <c r="C113" s="226">
        <v>0</v>
      </c>
      <c r="D113" s="226">
        <v>0</v>
      </c>
      <c r="E113" s="226">
        <v>0</v>
      </c>
      <c r="F113" s="166">
        <v>0</v>
      </c>
      <c r="G113" s="241">
        <v>0</v>
      </c>
      <c r="H113" s="242">
        <v>0</v>
      </c>
    </row>
    <row r="114" spans="1:8" ht="15.75" x14ac:dyDescent="0.25">
      <c r="A114" s="164"/>
      <c r="B114" s="165">
        <f>DATE(20,11,1)</f>
        <v>7611</v>
      </c>
      <c r="C114" s="226">
        <v>0</v>
      </c>
      <c r="D114" s="226">
        <v>0</v>
      </c>
      <c r="E114" s="226">
        <v>0</v>
      </c>
      <c r="F114" s="166">
        <v>0</v>
      </c>
      <c r="G114" s="241">
        <v>0</v>
      </c>
      <c r="H114" s="242">
        <v>0</v>
      </c>
    </row>
    <row r="115" spans="1:8" ht="15.75" x14ac:dyDescent="0.25">
      <c r="A115" s="164"/>
      <c r="B115" s="165">
        <f>DATE(20,12,1)</f>
        <v>7641</v>
      </c>
      <c r="C115" s="226">
        <v>0</v>
      </c>
      <c r="D115" s="226">
        <v>0</v>
      </c>
      <c r="E115" s="226">
        <v>0</v>
      </c>
      <c r="F115" s="166">
        <v>0</v>
      </c>
      <c r="G115" s="241">
        <v>0</v>
      </c>
      <c r="H115" s="242">
        <v>0</v>
      </c>
    </row>
    <row r="116" spans="1:8" ht="15.75" x14ac:dyDescent="0.25">
      <c r="A116" s="164"/>
      <c r="B116" s="165">
        <f>DATE(21,1,1)</f>
        <v>7672</v>
      </c>
      <c r="C116" s="226">
        <v>0</v>
      </c>
      <c r="D116" s="226">
        <v>0</v>
      </c>
      <c r="E116" s="226">
        <v>0</v>
      </c>
      <c r="F116" s="166">
        <v>0</v>
      </c>
      <c r="G116" s="241">
        <v>0</v>
      </c>
      <c r="H116" s="242">
        <v>0</v>
      </c>
    </row>
    <row r="117" spans="1:8" ht="15.75" thickBot="1" x14ac:dyDescent="0.25">
      <c r="A117" s="167"/>
      <c r="B117" s="168"/>
      <c r="C117" s="226"/>
      <c r="D117" s="226"/>
      <c r="E117" s="226"/>
      <c r="F117" s="166"/>
      <c r="G117" s="241"/>
      <c r="H117" s="242"/>
    </row>
    <row r="118" spans="1:8" ht="17.25" thickTop="1" thickBot="1" x14ac:dyDescent="0.3">
      <c r="A118" s="182" t="s">
        <v>14</v>
      </c>
      <c r="B118" s="183"/>
      <c r="C118" s="230">
        <f>SUM(C110:C117)</f>
        <v>0</v>
      </c>
      <c r="D118" s="230">
        <f>SUM(D110:D117)</f>
        <v>0</v>
      </c>
      <c r="E118" s="230">
        <f>SUM(E110:E117)</f>
        <v>0</v>
      </c>
      <c r="F118" s="176">
        <v>0</v>
      </c>
      <c r="G118" s="245">
        <v>0</v>
      </c>
      <c r="H118" s="246">
        <v>0</v>
      </c>
    </row>
    <row r="119" spans="1:8" ht="15.75" thickTop="1" x14ac:dyDescent="0.2">
      <c r="A119" s="167"/>
      <c r="B119" s="168"/>
      <c r="C119" s="226"/>
      <c r="D119" s="226"/>
      <c r="E119" s="226"/>
      <c r="F119" s="166"/>
      <c r="G119" s="241"/>
      <c r="H119" s="242"/>
    </row>
    <row r="120" spans="1:8" ht="15.75" x14ac:dyDescent="0.25">
      <c r="A120" s="164" t="s">
        <v>37</v>
      </c>
      <c r="B120" s="165">
        <f>DATE(20,7,1)</f>
        <v>7488</v>
      </c>
      <c r="C120" s="226">
        <v>0</v>
      </c>
      <c r="D120" s="226">
        <v>0</v>
      </c>
      <c r="E120" s="226">
        <v>0</v>
      </c>
      <c r="F120" s="166">
        <v>0</v>
      </c>
      <c r="G120" s="241">
        <v>0</v>
      </c>
      <c r="H120" s="242">
        <v>0</v>
      </c>
    </row>
    <row r="121" spans="1:8" ht="15.75" x14ac:dyDescent="0.25">
      <c r="A121" s="164"/>
      <c r="B121" s="165">
        <f>DATE(20,8,1)</f>
        <v>7519</v>
      </c>
      <c r="C121" s="226">
        <v>0</v>
      </c>
      <c r="D121" s="226">
        <v>0</v>
      </c>
      <c r="E121" s="226">
        <v>0</v>
      </c>
      <c r="F121" s="166">
        <v>0</v>
      </c>
      <c r="G121" s="241">
        <v>0</v>
      </c>
      <c r="H121" s="242">
        <v>0</v>
      </c>
    </row>
    <row r="122" spans="1:8" ht="15.75" x14ac:dyDescent="0.25">
      <c r="A122" s="164"/>
      <c r="B122" s="165">
        <f>DATE(20,9,1)</f>
        <v>7550</v>
      </c>
      <c r="C122" s="226">
        <v>0</v>
      </c>
      <c r="D122" s="226">
        <v>0</v>
      </c>
      <c r="E122" s="226">
        <v>0</v>
      </c>
      <c r="F122" s="166">
        <v>0</v>
      </c>
      <c r="G122" s="241">
        <v>0</v>
      </c>
      <c r="H122" s="242">
        <v>0</v>
      </c>
    </row>
    <row r="123" spans="1:8" ht="15.75" x14ac:dyDescent="0.25">
      <c r="A123" s="164"/>
      <c r="B123" s="165">
        <f>DATE(20,10,1)</f>
        <v>7580</v>
      </c>
      <c r="C123" s="226">
        <v>0</v>
      </c>
      <c r="D123" s="226">
        <v>0</v>
      </c>
      <c r="E123" s="226">
        <v>0</v>
      </c>
      <c r="F123" s="166">
        <v>0</v>
      </c>
      <c r="G123" s="241">
        <v>0</v>
      </c>
      <c r="H123" s="242">
        <v>0</v>
      </c>
    </row>
    <row r="124" spans="1:8" ht="15.75" x14ac:dyDescent="0.25">
      <c r="A124" s="164"/>
      <c r="B124" s="165">
        <f>DATE(20,11,1)</f>
        <v>7611</v>
      </c>
      <c r="C124" s="226">
        <v>0</v>
      </c>
      <c r="D124" s="226">
        <v>0</v>
      </c>
      <c r="E124" s="226">
        <v>0</v>
      </c>
      <c r="F124" s="166">
        <v>0</v>
      </c>
      <c r="G124" s="241">
        <v>0</v>
      </c>
      <c r="H124" s="242">
        <v>0</v>
      </c>
    </row>
    <row r="125" spans="1:8" ht="15.75" x14ac:dyDescent="0.25">
      <c r="A125" s="164"/>
      <c r="B125" s="165">
        <f>DATE(20,12,1)</f>
        <v>7641</v>
      </c>
      <c r="C125" s="226">
        <v>0</v>
      </c>
      <c r="D125" s="226">
        <v>0</v>
      </c>
      <c r="E125" s="226">
        <v>0</v>
      </c>
      <c r="F125" s="166">
        <v>0</v>
      </c>
      <c r="G125" s="241">
        <v>0</v>
      </c>
      <c r="H125" s="242">
        <v>0</v>
      </c>
    </row>
    <row r="126" spans="1:8" ht="15.75" x14ac:dyDescent="0.25">
      <c r="A126" s="164"/>
      <c r="B126" s="165">
        <f>DATE(21,1,1)</f>
        <v>7672</v>
      </c>
      <c r="C126" s="226">
        <v>277409.65999999997</v>
      </c>
      <c r="D126" s="226">
        <v>14037.8</v>
      </c>
      <c r="E126" s="226">
        <v>0</v>
      </c>
      <c r="F126" s="166">
        <v>1</v>
      </c>
      <c r="G126" s="241">
        <f>D126/C126</f>
        <v>5.0603140496261016E-2</v>
      </c>
      <c r="H126" s="242">
        <f>1-G126</f>
        <v>0.94939685950373898</v>
      </c>
    </row>
    <row r="127" spans="1:8" ht="15.75" thickBot="1" x14ac:dyDescent="0.25">
      <c r="A127" s="167"/>
      <c r="B127" s="168"/>
      <c r="C127" s="226"/>
      <c r="D127" s="226"/>
      <c r="E127" s="226"/>
      <c r="F127" s="166"/>
      <c r="G127" s="241"/>
      <c r="H127" s="242"/>
    </row>
    <row r="128" spans="1:8" ht="17.25" thickTop="1" thickBot="1" x14ac:dyDescent="0.3">
      <c r="A128" s="174" t="s">
        <v>14</v>
      </c>
      <c r="B128" s="175"/>
      <c r="C128" s="228">
        <f>SUM(C120:C127)</f>
        <v>277409.65999999997</v>
      </c>
      <c r="D128" s="228">
        <f>SUM(D120:D127)</f>
        <v>14037.8</v>
      </c>
      <c r="E128" s="228">
        <f>SUM(E120:E127)</f>
        <v>0</v>
      </c>
      <c r="F128" s="176">
        <v>0</v>
      </c>
      <c r="G128" s="245">
        <v>0</v>
      </c>
      <c r="H128" s="246">
        <v>0</v>
      </c>
    </row>
    <row r="129" spans="1:8" ht="15.75" thickTop="1" x14ac:dyDescent="0.2">
      <c r="A129" s="167"/>
      <c r="B129" s="168"/>
      <c r="C129" s="226"/>
      <c r="D129" s="226"/>
      <c r="E129" s="226"/>
      <c r="F129" s="166"/>
      <c r="G129" s="241"/>
      <c r="H129" s="242"/>
    </row>
    <row r="130" spans="1:8" ht="15.75" x14ac:dyDescent="0.25">
      <c r="A130" s="164" t="s">
        <v>58</v>
      </c>
      <c r="B130" s="165">
        <f>DATE(20,7,1)</f>
        <v>7488</v>
      </c>
      <c r="C130" s="226">
        <v>0</v>
      </c>
      <c r="D130" s="226">
        <v>0</v>
      </c>
      <c r="E130" s="226">
        <v>0</v>
      </c>
      <c r="F130" s="166">
        <v>0</v>
      </c>
      <c r="G130" s="241">
        <v>0</v>
      </c>
      <c r="H130" s="242">
        <v>0</v>
      </c>
    </row>
    <row r="131" spans="1:8" ht="15.75" x14ac:dyDescent="0.25">
      <c r="A131" s="164"/>
      <c r="B131" s="165">
        <f>DATE(20,8,1)</f>
        <v>7519</v>
      </c>
      <c r="C131" s="226">
        <v>0</v>
      </c>
      <c r="D131" s="226">
        <v>0</v>
      </c>
      <c r="E131" s="226">
        <v>0</v>
      </c>
      <c r="F131" s="166">
        <v>0</v>
      </c>
      <c r="G131" s="241">
        <v>0</v>
      </c>
      <c r="H131" s="242">
        <v>0</v>
      </c>
    </row>
    <row r="132" spans="1:8" ht="15.75" x14ac:dyDescent="0.25">
      <c r="A132" s="164"/>
      <c r="B132" s="165">
        <f>DATE(20,9,1)</f>
        <v>7550</v>
      </c>
      <c r="C132" s="226">
        <v>0</v>
      </c>
      <c r="D132" s="226">
        <v>0</v>
      </c>
      <c r="E132" s="226">
        <v>0</v>
      </c>
      <c r="F132" s="166">
        <v>0</v>
      </c>
      <c r="G132" s="241">
        <v>0</v>
      </c>
      <c r="H132" s="242">
        <v>0</v>
      </c>
    </row>
    <row r="133" spans="1:8" ht="15.75" x14ac:dyDescent="0.25">
      <c r="A133" s="164"/>
      <c r="B133" s="165">
        <f>DATE(20,10,1)</f>
        <v>7580</v>
      </c>
      <c r="C133" s="226">
        <v>0</v>
      </c>
      <c r="D133" s="226">
        <v>0</v>
      </c>
      <c r="E133" s="226">
        <v>0</v>
      </c>
      <c r="F133" s="166">
        <v>0</v>
      </c>
      <c r="G133" s="241">
        <v>0</v>
      </c>
      <c r="H133" s="242">
        <v>0</v>
      </c>
    </row>
    <row r="134" spans="1:8" ht="15.75" x14ac:dyDescent="0.25">
      <c r="A134" s="164"/>
      <c r="B134" s="165">
        <f>DATE(20,11,1)</f>
        <v>7611</v>
      </c>
      <c r="C134" s="226">
        <v>0</v>
      </c>
      <c r="D134" s="226">
        <v>0</v>
      </c>
      <c r="E134" s="226">
        <v>0</v>
      </c>
      <c r="F134" s="166">
        <v>0</v>
      </c>
      <c r="G134" s="241">
        <v>0</v>
      </c>
      <c r="H134" s="242">
        <v>0</v>
      </c>
    </row>
    <row r="135" spans="1:8" ht="15.75" x14ac:dyDescent="0.25">
      <c r="A135" s="164"/>
      <c r="B135" s="165">
        <f>DATE(20,12,1)</f>
        <v>7641</v>
      </c>
      <c r="C135" s="226">
        <v>0</v>
      </c>
      <c r="D135" s="226">
        <v>0</v>
      </c>
      <c r="E135" s="226">
        <v>0</v>
      </c>
      <c r="F135" s="166">
        <v>0</v>
      </c>
      <c r="G135" s="241">
        <v>0</v>
      </c>
      <c r="H135" s="242">
        <v>0</v>
      </c>
    </row>
    <row r="136" spans="1:8" ht="15.75" x14ac:dyDescent="0.25">
      <c r="A136" s="164"/>
      <c r="B136" s="165">
        <f>DATE(21,1,1)</f>
        <v>7672</v>
      </c>
      <c r="C136" s="226">
        <v>0</v>
      </c>
      <c r="D136" s="226">
        <v>0</v>
      </c>
      <c r="E136" s="226">
        <v>0</v>
      </c>
      <c r="F136" s="166">
        <v>0</v>
      </c>
      <c r="G136" s="241">
        <v>0</v>
      </c>
      <c r="H136" s="242">
        <v>0</v>
      </c>
    </row>
    <row r="137" spans="1:8" ht="15.75" thickBot="1" x14ac:dyDescent="0.25">
      <c r="A137" s="167"/>
      <c r="B137" s="168"/>
      <c r="C137" s="226"/>
      <c r="D137" s="226"/>
      <c r="E137" s="226"/>
      <c r="F137" s="166"/>
      <c r="G137" s="241"/>
      <c r="H137" s="242"/>
    </row>
    <row r="138" spans="1:8" ht="17.25" thickTop="1" thickBot="1" x14ac:dyDescent="0.3">
      <c r="A138" s="169" t="s">
        <v>14</v>
      </c>
      <c r="B138" s="155"/>
      <c r="C138" s="223">
        <f>SUM(C130:C137)</f>
        <v>0</v>
      </c>
      <c r="D138" s="223">
        <f>SUM(D130:D137)</f>
        <v>0</v>
      </c>
      <c r="E138" s="223">
        <f>SUM(E130:E137)</f>
        <v>0</v>
      </c>
      <c r="F138" s="176">
        <v>0</v>
      </c>
      <c r="G138" s="245">
        <v>0</v>
      </c>
      <c r="H138" s="246">
        <v>0</v>
      </c>
    </row>
    <row r="139" spans="1:8" ht="16.5" thickTop="1" thickBot="1" x14ac:dyDescent="0.25">
      <c r="A139" s="171"/>
      <c r="B139" s="172"/>
      <c r="C139" s="227"/>
      <c r="D139" s="227"/>
      <c r="E139" s="227"/>
      <c r="F139" s="173"/>
      <c r="G139" s="243"/>
      <c r="H139" s="244"/>
    </row>
    <row r="140" spans="1:8" ht="17.25" thickTop="1" thickBot="1" x14ac:dyDescent="0.3">
      <c r="A140" s="184" t="s">
        <v>38</v>
      </c>
      <c r="B140" s="155"/>
      <c r="C140" s="223">
        <f>C138+C128+C98+C78+C58+C38+C18+C48+C118+C28+C88+C108+C68</f>
        <v>13867445.66</v>
      </c>
      <c r="D140" s="223">
        <f>D138+D128+D98+D78+D58+D38+D18+D48+D118+D28+D88+D108+D68</f>
        <v>615485.88000000012</v>
      </c>
      <c r="E140" s="223">
        <f>E138+E128+E98+E78+E58+E38+E18+E48+E118+E28+E88+E108+E68</f>
        <v>0</v>
      </c>
      <c r="F140" s="170">
        <v>1</v>
      </c>
      <c r="G140" s="236">
        <f>D140/C140</f>
        <v>4.4383507611307278E-2</v>
      </c>
      <c r="H140" s="237">
        <f>1-G140</f>
        <v>0.95561649238869273</v>
      </c>
    </row>
    <row r="141" spans="1:8" ht="17.25" thickTop="1" thickBot="1" x14ac:dyDescent="0.3">
      <c r="A141" s="184"/>
      <c r="B141" s="155"/>
      <c r="C141" s="223"/>
      <c r="D141" s="223"/>
      <c r="E141" s="223"/>
      <c r="F141" s="170"/>
      <c r="G141" s="236"/>
      <c r="H141" s="237"/>
    </row>
    <row r="142" spans="1:8" ht="17.25" thickTop="1" thickBot="1" x14ac:dyDescent="0.3">
      <c r="A142" s="184" t="s">
        <v>39</v>
      </c>
      <c r="B142" s="155"/>
      <c r="C142" s="223">
        <f>SUM(C16+C26+C36+C46+C56+C66+C76+C86+C96+C106+C116+C126+C136)</f>
        <v>3641189.16</v>
      </c>
      <c r="D142" s="223">
        <f>SUM(D16+D26+D36+D46+D56+D66+D76+D86+D96+D106+D116+D126+D136)</f>
        <v>141694.79999999999</v>
      </c>
      <c r="E142" s="223">
        <f>SUM(E15+E25+E35+E45+E55+E65+E75+E85+E95+E105+E115+E125+E135)</f>
        <v>0</v>
      </c>
      <c r="F142" s="170">
        <v>1</v>
      </c>
      <c r="G142" s="236">
        <f>D142/C142</f>
        <v>3.891442981226495E-2</v>
      </c>
      <c r="H142" s="246">
        <f>1-G142</f>
        <v>0.96108557018773499</v>
      </c>
    </row>
    <row r="143" spans="1:8" ht="16.5" thickTop="1" x14ac:dyDescent="0.25">
      <c r="A143" s="185"/>
      <c r="B143" s="186"/>
      <c r="C143" s="231"/>
      <c r="D143" s="231"/>
      <c r="E143" s="231"/>
      <c r="F143" s="187"/>
      <c r="G143" s="250"/>
      <c r="H143" s="250"/>
    </row>
    <row r="144" spans="1:8" ht="18.75" x14ac:dyDescent="0.3">
      <c r="A144" s="188" t="s">
        <v>49</v>
      </c>
      <c r="B144" s="189"/>
      <c r="C144" s="232"/>
      <c r="D144" s="232"/>
      <c r="E144" s="232"/>
      <c r="F144" s="190"/>
      <c r="G144" s="251"/>
      <c r="H144" s="251"/>
    </row>
    <row r="145" spans="1:8" ht="15.75" x14ac:dyDescent="0.25">
      <c r="A145" s="191"/>
      <c r="B145" s="189"/>
      <c r="C145" s="232"/>
      <c r="D145" s="232"/>
      <c r="E145" s="232"/>
      <c r="F145" s="190"/>
      <c r="G145" s="257"/>
      <c r="H145" s="257"/>
    </row>
  </sheetData>
  <printOptions horizontalCentered="1"/>
  <pageMargins left="0.7" right="0.45" top="0.25" bottom="0.25" header="0.3" footer="0.3"/>
  <pageSetup scale="63" orientation="landscape" r:id="rId1"/>
  <rowBreaks count="3" manualBreakCount="3">
    <brk id="48" max="16383" man="1"/>
    <brk id="88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46"/>
  <sheetViews>
    <sheetView showOutlineSymbols="0" view="pageBreakPreview" topLeftCell="A88" zoomScale="60" zoomScaleNormal="100" workbookViewId="0">
      <selection activeCell="N126" sqref="N126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76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72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DATE(20,7,1)</f>
        <v>7488</v>
      </c>
      <c r="C10" s="226">
        <v>117848324.83</v>
      </c>
      <c r="D10" s="226">
        <v>11655862.98</v>
      </c>
      <c r="E10" s="226">
        <v>12400602.17</v>
      </c>
      <c r="F10" s="166">
        <f t="shared" ref="F10:F16" si="0">(+D10-E10)/E10</f>
        <v>-6.0056695617709627E-2</v>
      </c>
      <c r="G10" s="241">
        <f t="shared" ref="G10:G16" si="1">D10/C10</f>
        <v>9.8905631427633423E-2</v>
      </c>
      <c r="H10" s="242">
        <f t="shared" ref="H10:H16" si="2">1-G10</f>
        <v>0.90109436857236658</v>
      </c>
      <c r="I10" s="157"/>
    </row>
    <row r="11" spans="1:9" ht="15.75" x14ac:dyDescent="0.25">
      <c r="A11" s="164"/>
      <c r="B11" s="165">
        <f>DATE(20,8,1)</f>
        <v>7519</v>
      </c>
      <c r="C11" s="226">
        <v>114424791.59</v>
      </c>
      <c r="D11" s="226">
        <v>11056944.539999999</v>
      </c>
      <c r="E11" s="226">
        <v>12656746.98</v>
      </c>
      <c r="F11" s="166">
        <f t="shared" si="0"/>
        <v>-0.12639918002058387</v>
      </c>
      <c r="G11" s="241">
        <f t="shared" si="1"/>
        <v>9.6630672307611229E-2</v>
      </c>
      <c r="H11" s="242">
        <f t="shared" si="2"/>
        <v>0.90336932769238876</v>
      </c>
      <c r="I11" s="157"/>
    </row>
    <row r="12" spans="1:9" ht="15.75" x14ac:dyDescent="0.25">
      <c r="A12" s="164"/>
      <c r="B12" s="165">
        <f>DATE(20,9,1)</f>
        <v>7550</v>
      </c>
      <c r="C12" s="226">
        <v>114212855.16</v>
      </c>
      <c r="D12" s="226">
        <v>11050997.59</v>
      </c>
      <c r="E12" s="226">
        <v>11070519.380000001</v>
      </c>
      <c r="F12" s="166">
        <f t="shared" si="0"/>
        <v>-1.7634032631991081E-3</v>
      </c>
      <c r="G12" s="241">
        <f t="shared" si="1"/>
        <v>9.6757913761272615E-2</v>
      </c>
      <c r="H12" s="242">
        <f t="shared" si="2"/>
        <v>0.90324208623872737</v>
      </c>
      <c r="I12" s="157"/>
    </row>
    <row r="13" spans="1:9" ht="15.75" x14ac:dyDescent="0.25">
      <c r="A13" s="164"/>
      <c r="B13" s="165">
        <f>DATE(20,10,1)</f>
        <v>7580</v>
      </c>
      <c r="C13" s="226">
        <v>116152341.93000001</v>
      </c>
      <c r="D13" s="226">
        <v>11431719.140000001</v>
      </c>
      <c r="E13" s="226">
        <v>11529928.41</v>
      </c>
      <c r="F13" s="166">
        <f t="shared" si="0"/>
        <v>-8.5177692790201417E-3</v>
      </c>
      <c r="G13" s="241">
        <f t="shared" si="1"/>
        <v>9.8420048619333081E-2</v>
      </c>
      <c r="H13" s="242">
        <f t="shared" si="2"/>
        <v>0.90157995138066693</v>
      </c>
      <c r="I13" s="157"/>
    </row>
    <row r="14" spans="1:9" ht="15.75" x14ac:dyDescent="0.25">
      <c r="A14" s="164"/>
      <c r="B14" s="165">
        <f>DATE(20,11,1)</f>
        <v>7611</v>
      </c>
      <c r="C14" s="226">
        <v>102308816.98999999</v>
      </c>
      <c r="D14" s="226">
        <v>9830852.8200000003</v>
      </c>
      <c r="E14" s="226">
        <v>12272643.01</v>
      </c>
      <c r="F14" s="166">
        <f t="shared" si="0"/>
        <v>-0.19896204819209515</v>
      </c>
      <c r="G14" s="241">
        <f t="shared" si="1"/>
        <v>9.6089986271280028E-2</v>
      </c>
      <c r="H14" s="242">
        <f t="shared" si="2"/>
        <v>0.90391001372871993</v>
      </c>
      <c r="I14" s="157"/>
    </row>
    <row r="15" spans="1:9" ht="15.75" x14ac:dyDescent="0.25">
      <c r="A15" s="164"/>
      <c r="B15" s="165">
        <f>DATE(20,12,1)</f>
        <v>7641</v>
      </c>
      <c r="C15" s="226">
        <v>105823491.84</v>
      </c>
      <c r="D15" s="226">
        <v>10848180.109999999</v>
      </c>
      <c r="E15" s="226">
        <v>12792439.390000001</v>
      </c>
      <c r="F15" s="166">
        <f t="shared" si="0"/>
        <v>-0.15198502965117439</v>
      </c>
      <c r="G15" s="241">
        <f t="shared" si="1"/>
        <v>0.10251202187130549</v>
      </c>
      <c r="H15" s="242">
        <f t="shared" si="2"/>
        <v>0.89748797812869452</v>
      </c>
      <c r="I15" s="157"/>
    </row>
    <row r="16" spans="1:9" ht="15.75" x14ac:dyDescent="0.25">
      <c r="A16" s="164"/>
      <c r="B16" s="165">
        <f>DATE(21,1,1)</f>
        <v>7672</v>
      </c>
      <c r="C16" s="226">
        <v>115733589.67</v>
      </c>
      <c r="D16" s="226">
        <v>11373635.939999999</v>
      </c>
      <c r="E16" s="226">
        <v>10714900.529999999</v>
      </c>
      <c r="F16" s="166">
        <f t="shared" si="0"/>
        <v>6.1478443794755429E-2</v>
      </c>
      <c r="G16" s="241">
        <f t="shared" si="1"/>
        <v>9.8274286423073148E-2</v>
      </c>
      <c r="H16" s="242">
        <f t="shared" si="2"/>
        <v>0.90172571357692688</v>
      </c>
      <c r="I16" s="157"/>
    </row>
    <row r="17" spans="1:9" ht="15.75" thickBot="1" x14ac:dyDescent="0.25">
      <c r="A17" s="167"/>
      <c r="B17" s="168"/>
      <c r="C17" s="226"/>
      <c r="D17" s="226"/>
      <c r="E17" s="226"/>
      <c r="F17" s="166"/>
      <c r="G17" s="241"/>
      <c r="H17" s="242"/>
      <c r="I17" s="157"/>
    </row>
    <row r="18" spans="1:9" ht="17.25" thickTop="1" thickBot="1" x14ac:dyDescent="0.3">
      <c r="A18" s="169" t="s">
        <v>14</v>
      </c>
      <c r="B18" s="155"/>
      <c r="C18" s="223">
        <f>SUM(C10:C17)</f>
        <v>786504212.00999999</v>
      </c>
      <c r="D18" s="223">
        <f>SUM(D10:D17)</f>
        <v>77248193.120000005</v>
      </c>
      <c r="E18" s="223">
        <f>SUM(E10:E17)</f>
        <v>83437779.870000005</v>
      </c>
      <c r="F18" s="170">
        <f>(+D18-E18)/E18</f>
        <v>-7.4182064283633484E-2</v>
      </c>
      <c r="G18" s="236">
        <f>D18/C18</f>
        <v>9.8217138497686568E-2</v>
      </c>
      <c r="H18" s="237">
        <f>1-G18</f>
        <v>0.90178286150231346</v>
      </c>
      <c r="I18" s="157"/>
    </row>
    <row r="19" spans="1:9" ht="15.75" thickTop="1" x14ac:dyDescent="0.2">
      <c r="A19" s="171"/>
      <c r="B19" s="172"/>
      <c r="C19" s="227"/>
      <c r="D19" s="227"/>
      <c r="E19" s="227"/>
      <c r="F19" s="173"/>
      <c r="G19" s="243"/>
      <c r="H19" s="244"/>
      <c r="I19" s="157"/>
    </row>
    <row r="20" spans="1:9" ht="15.75" x14ac:dyDescent="0.25">
      <c r="A20" s="19" t="s">
        <v>48</v>
      </c>
      <c r="B20" s="165">
        <f>DATE(20,7,1)</f>
        <v>7488</v>
      </c>
      <c r="C20" s="226">
        <v>50404182.520000003</v>
      </c>
      <c r="D20" s="226">
        <v>5066109.03</v>
      </c>
      <c r="E20" s="226">
        <v>6237251.8300000001</v>
      </c>
      <c r="F20" s="166">
        <f t="shared" ref="F20:F26" si="3">(+D20-E20)/E20</f>
        <v>-0.1877658353262289</v>
      </c>
      <c r="G20" s="241">
        <f t="shared" ref="G20:G26" si="4">D20/C20</f>
        <v>0.10050969536089205</v>
      </c>
      <c r="H20" s="242">
        <f t="shared" ref="H20:H26" si="5">1-G20</f>
        <v>0.89949030463910795</v>
      </c>
      <c r="I20" s="157"/>
    </row>
    <row r="21" spans="1:9" ht="15.75" x14ac:dyDescent="0.25">
      <c r="A21" s="19"/>
      <c r="B21" s="165">
        <f>DATE(20,8,1)</f>
        <v>7519</v>
      </c>
      <c r="C21" s="226">
        <v>55094697.780000001</v>
      </c>
      <c r="D21" s="226">
        <v>5468550.7300000004</v>
      </c>
      <c r="E21" s="226">
        <v>6248302.3499999996</v>
      </c>
      <c r="F21" s="166">
        <f t="shared" si="3"/>
        <v>-0.12479415628790742</v>
      </c>
      <c r="G21" s="241">
        <f t="shared" si="4"/>
        <v>9.925729608022546E-2</v>
      </c>
      <c r="H21" s="242">
        <f t="shared" si="5"/>
        <v>0.90074270391977451</v>
      </c>
      <c r="I21" s="157"/>
    </row>
    <row r="22" spans="1:9" ht="15.75" x14ac:dyDescent="0.25">
      <c r="A22" s="19"/>
      <c r="B22" s="165">
        <f>DATE(20,9,1)</f>
        <v>7550</v>
      </c>
      <c r="C22" s="226">
        <v>55214801.950000003</v>
      </c>
      <c r="D22" s="226">
        <v>5506925.1600000001</v>
      </c>
      <c r="E22" s="226">
        <v>5841517.5999999996</v>
      </c>
      <c r="F22" s="166">
        <f t="shared" si="3"/>
        <v>-5.727834150495404E-2</v>
      </c>
      <c r="G22" s="241">
        <f t="shared" si="4"/>
        <v>9.9736392516391159E-2</v>
      </c>
      <c r="H22" s="242">
        <f t="shared" si="5"/>
        <v>0.90026360748360879</v>
      </c>
      <c r="I22" s="157"/>
    </row>
    <row r="23" spans="1:9" ht="15.75" x14ac:dyDescent="0.25">
      <c r="A23" s="19"/>
      <c r="B23" s="165">
        <f>DATE(20,10,1)</f>
        <v>7580</v>
      </c>
      <c r="C23" s="226">
        <v>53988473.469999999</v>
      </c>
      <c r="D23" s="226">
        <v>5104255.3899999997</v>
      </c>
      <c r="E23" s="226">
        <v>5457854.2400000002</v>
      </c>
      <c r="F23" s="166">
        <f t="shared" si="3"/>
        <v>-6.4787155253893433E-2</v>
      </c>
      <c r="G23" s="241">
        <f t="shared" si="4"/>
        <v>9.4543428660495518E-2</v>
      </c>
      <c r="H23" s="242">
        <f t="shared" si="5"/>
        <v>0.90545657133950452</v>
      </c>
      <c r="I23" s="157"/>
    </row>
    <row r="24" spans="1:9" ht="15.75" x14ac:dyDescent="0.25">
      <c r="A24" s="19"/>
      <c r="B24" s="165">
        <f>DATE(20,11,1)</f>
        <v>7611</v>
      </c>
      <c r="C24" s="226">
        <v>49119685.869999997</v>
      </c>
      <c r="D24" s="226">
        <v>4814628.37</v>
      </c>
      <c r="E24" s="226">
        <v>5836194.6699999999</v>
      </c>
      <c r="F24" s="166">
        <f t="shared" si="3"/>
        <v>-0.17503979181009735</v>
      </c>
      <c r="G24" s="241">
        <f t="shared" si="4"/>
        <v>9.8018305384573914E-2</v>
      </c>
      <c r="H24" s="242">
        <f t="shared" si="5"/>
        <v>0.9019816946154261</v>
      </c>
      <c r="I24" s="157"/>
    </row>
    <row r="25" spans="1:9" ht="15.75" x14ac:dyDescent="0.25">
      <c r="A25" s="19"/>
      <c r="B25" s="165">
        <f>DATE(20,12,1)</f>
        <v>7641</v>
      </c>
      <c r="C25" s="226">
        <v>52195306.520000003</v>
      </c>
      <c r="D25" s="226">
        <v>5255704.49</v>
      </c>
      <c r="E25" s="226">
        <v>5543658.9900000002</v>
      </c>
      <c r="F25" s="166">
        <f t="shared" si="3"/>
        <v>-5.1943039880236207E-2</v>
      </c>
      <c r="G25" s="241">
        <f t="shared" si="4"/>
        <v>0.10069304771658232</v>
      </c>
      <c r="H25" s="242">
        <f t="shared" si="5"/>
        <v>0.89930695228341773</v>
      </c>
      <c r="I25" s="157"/>
    </row>
    <row r="26" spans="1:9" ht="15.75" x14ac:dyDescent="0.25">
      <c r="A26" s="19"/>
      <c r="B26" s="165">
        <f>DATE(21,1,1)</f>
        <v>7672</v>
      </c>
      <c r="C26" s="226">
        <v>63984289.189999998</v>
      </c>
      <c r="D26" s="226">
        <v>6374309.2999999998</v>
      </c>
      <c r="E26" s="226">
        <v>5017454.9000000004</v>
      </c>
      <c r="F26" s="166">
        <f t="shared" si="3"/>
        <v>0.27042682536120044</v>
      </c>
      <c r="G26" s="241">
        <f t="shared" si="4"/>
        <v>9.9623038416065277E-2</v>
      </c>
      <c r="H26" s="242">
        <f t="shared" si="5"/>
        <v>0.90037696158393477</v>
      </c>
      <c r="I26" s="157"/>
    </row>
    <row r="27" spans="1:9" ht="15.75" thickBot="1" x14ac:dyDescent="0.25">
      <c r="A27" s="167"/>
      <c r="B27" s="165"/>
      <c r="C27" s="226"/>
      <c r="D27" s="226"/>
      <c r="E27" s="226"/>
      <c r="F27" s="166"/>
      <c r="G27" s="241"/>
      <c r="H27" s="242"/>
      <c r="I27" s="157"/>
    </row>
    <row r="28" spans="1:9" ht="17.25" thickTop="1" thickBot="1" x14ac:dyDescent="0.3">
      <c r="A28" s="169" t="s">
        <v>14</v>
      </c>
      <c r="B28" s="155"/>
      <c r="C28" s="223">
        <f>SUM(C20:C27)</f>
        <v>380001437.30000001</v>
      </c>
      <c r="D28" s="223">
        <f>SUM(D20:D27)</f>
        <v>37590482.469999999</v>
      </c>
      <c r="E28" s="223">
        <f>SUM(E20:E27)</f>
        <v>40182234.580000006</v>
      </c>
      <c r="F28" s="170">
        <f>(+D28-E28)/E28</f>
        <v>-6.449994971882439E-2</v>
      </c>
      <c r="G28" s="236">
        <f>D28/C28</f>
        <v>9.8921948130220927E-2</v>
      </c>
      <c r="H28" s="237">
        <f>1-G28</f>
        <v>0.90107805186977907</v>
      </c>
      <c r="I28" s="157"/>
    </row>
    <row r="29" spans="1:9" ht="15.75" thickTop="1" x14ac:dyDescent="0.2">
      <c r="A29" s="171"/>
      <c r="B29" s="172"/>
      <c r="C29" s="227"/>
      <c r="D29" s="227"/>
      <c r="E29" s="227"/>
      <c r="F29" s="173"/>
      <c r="G29" s="243"/>
      <c r="H29" s="244"/>
      <c r="I29" s="157"/>
    </row>
    <row r="30" spans="1:9" ht="15.75" x14ac:dyDescent="0.25">
      <c r="A30" s="19" t="s">
        <v>65</v>
      </c>
      <c r="B30" s="165">
        <f>DATE(20,7,1)</f>
        <v>7488</v>
      </c>
      <c r="C30" s="226">
        <v>28855708.969999999</v>
      </c>
      <c r="D30" s="226">
        <v>3105687.6</v>
      </c>
      <c r="E30" s="226">
        <v>2967073.27</v>
      </c>
      <c r="F30" s="166">
        <f t="shared" ref="F30:F36" si="6">(+D30-E30)/E30</f>
        <v>4.6717528482200267E-2</v>
      </c>
      <c r="G30" s="241">
        <f t="shared" ref="G30:G36" si="7">D30/C30</f>
        <v>0.10762818557772556</v>
      </c>
      <c r="H30" s="242">
        <f t="shared" ref="H30:H36" si="8">1-G30</f>
        <v>0.89237181442227442</v>
      </c>
      <c r="I30" s="157"/>
    </row>
    <row r="31" spans="1:9" ht="15.75" x14ac:dyDescent="0.25">
      <c r="A31" s="19"/>
      <c r="B31" s="165">
        <f>DATE(20,8,1)</f>
        <v>7519</v>
      </c>
      <c r="C31" s="226">
        <v>29064729.829999998</v>
      </c>
      <c r="D31" s="226">
        <v>3031801</v>
      </c>
      <c r="E31" s="226">
        <v>2916117.84</v>
      </c>
      <c r="F31" s="166">
        <f t="shared" si="6"/>
        <v>3.9670262433564807E-2</v>
      </c>
      <c r="G31" s="241">
        <f t="shared" si="7"/>
        <v>0.10431203103325046</v>
      </c>
      <c r="H31" s="242">
        <f t="shared" si="8"/>
        <v>0.89568796896674951</v>
      </c>
      <c r="I31" s="157"/>
    </row>
    <row r="32" spans="1:9" ht="15.75" x14ac:dyDescent="0.25">
      <c r="A32" s="19"/>
      <c r="B32" s="165">
        <f>DATE(20,9,1)</f>
        <v>7550</v>
      </c>
      <c r="C32" s="226">
        <v>27838192.809999999</v>
      </c>
      <c r="D32" s="226">
        <v>2818231.18</v>
      </c>
      <c r="E32" s="226">
        <v>2810959.49</v>
      </c>
      <c r="F32" s="166">
        <f t="shared" si="6"/>
        <v>2.5869067220175212E-3</v>
      </c>
      <c r="G32" s="241">
        <f t="shared" si="7"/>
        <v>0.10123613983259858</v>
      </c>
      <c r="H32" s="242">
        <f t="shared" si="8"/>
        <v>0.8987638601674014</v>
      </c>
      <c r="I32" s="157"/>
    </row>
    <row r="33" spans="1:9" ht="15.75" x14ac:dyDescent="0.25">
      <c r="A33" s="19"/>
      <c r="B33" s="165">
        <f>DATE(20,10,1)</f>
        <v>7580</v>
      </c>
      <c r="C33" s="226">
        <v>28682754.149999999</v>
      </c>
      <c r="D33" s="226">
        <v>2969140.93</v>
      </c>
      <c r="E33" s="226">
        <v>2793135.18</v>
      </c>
      <c r="F33" s="166">
        <f t="shared" si="6"/>
        <v>6.3013688438810181E-2</v>
      </c>
      <c r="G33" s="241">
        <f t="shared" si="7"/>
        <v>0.10351659099654488</v>
      </c>
      <c r="H33" s="242">
        <f t="shared" si="8"/>
        <v>0.89648340900345513</v>
      </c>
      <c r="I33" s="157"/>
    </row>
    <row r="34" spans="1:9" ht="15.75" x14ac:dyDescent="0.25">
      <c r="A34" s="19"/>
      <c r="B34" s="165">
        <f>DATE(20,11,1)</f>
        <v>7611</v>
      </c>
      <c r="C34" s="226">
        <v>25814394.190000001</v>
      </c>
      <c r="D34" s="226">
        <v>2745164.62</v>
      </c>
      <c r="E34" s="226">
        <v>2801393.45</v>
      </c>
      <c r="F34" s="166">
        <f t="shared" si="6"/>
        <v>-2.007173608548277E-2</v>
      </c>
      <c r="G34" s="241">
        <f t="shared" si="7"/>
        <v>0.10634239950761362</v>
      </c>
      <c r="H34" s="242">
        <f t="shared" si="8"/>
        <v>0.89365760049238641</v>
      </c>
      <c r="I34" s="157"/>
    </row>
    <row r="35" spans="1:9" ht="15.75" x14ac:dyDescent="0.25">
      <c r="A35" s="19"/>
      <c r="B35" s="165">
        <f>DATE(20,12,1)</f>
        <v>7641</v>
      </c>
      <c r="C35" s="226">
        <v>28285885.030000001</v>
      </c>
      <c r="D35" s="226">
        <v>2957388.65</v>
      </c>
      <c r="E35" s="226">
        <v>3071223.19</v>
      </c>
      <c r="F35" s="166">
        <f t="shared" si="6"/>
        <v>-3.7064886840737887E-2</v>
      </c>
      <c r="G35" s="241">
        <f t="shared" si="7"/>
        <v>0.10455351306361439</v>
      </c>
      <c r="H35" s="242">
        <f t="shared" si="8"/>
        <v>0.89544648693638562</v>
      </c>
      <c r="I35" s="157"/>
    </row>
    <row r="36" spans="1:9" ht="15.75" x14ac:dyDescent="0.25">
      <c r="A36" s="19"/>
      <c r="B36" s="165">
        <f>DATE(21,1,1)</f>
        <v>7672</v>
      </c>
      <c r="C36" s="226">
        <v>35752441.079999998</v>
      </c>
      <c r="D36" s="226">
        <v>3739186.99</v>
      </c>
      <c r="E36" s="226">
        <v>2879669.48</v>
      </c>
      <c r="F36" s="166">
        <f t="shared" si="6"/>
        <v>0.29847783433812697</v>
      </c>
      <c r="G36" s="241">
        <f t="shared" si="7"/>
        <v>0.10458550177407916</v>
      </c>
      <c r="H36" s="242">
        <f t="shared" si="8"/>
        <v>0.8954144982259209</v>
      </c>
      <c r="I36" s="157"/>
    </row>
    <row r="37" spans="1:9" ht="15.75" thickBot="1" x14ac:dyDescent="0.25">
      <c r="A37" s="167"/>
      <c r="B37" s="165"/>
      <c r="C37" s="226"/>
      <c r="D37" s="226"/>
      <c r="E37" s="226"/>
      <c r="F37" s="166"/>
      <c r="G37" s="241"/>
      <c r="H37" s="242"/>
      <c r="I37" s="157"/>
    </row>
    <row r="38" spans="1:9" ht="17.25" thickTop="1" thickBot="1" x14ac:dyDescent="0.3">
      <c r="A38" s="174" t="s">
        <v>14</v>
      </c>
      <c r="B38" s="175"/>
      <c r="C38" s="228">
        <f>SUM(C30:C37)</f>
        <v>204294106.06</v>
      </c>
      <c r="D38" s="228">
        <f>SUM(D30:D37)</f>
        <v>21366600.969999999</v>
      </c>
      <c r="E38" s="228">
        <f>SUM(E30:E37)</f>
        <v>20239571.900000002</v>
      </c>
      <c r="F38" s="176">
        <f>(+D38-E38)/E38</f>
        <v>5.5684432238410957E-2</v>
      </c>
      <c r="G38" s="245">
        <f>D38/C38</f>
        <v>0.10458745669209249</v>
      </c>
      <c r="H38" s="246">
        <f>1-G38</f>
        <v>0.89541254330790754</v>
      </c>
      <c r="I38" s="157"/>
    </row>
    <row r="39" spans="1:9" ht="15.75" thickTop="1" x14ac:dyDescent="0.2">
      <c r="A39" s="167"/>
      <c r="B39" s="168"/>
      <c r="C39" s="226"/>
      <c r="D39" s="226"/>
      <c r="E39" s="226"/>
      <c r="F39" s="166"/>
      <c r="G39" s="241"/>
      <c r="H39" s="242"/>
      <c r="I39" s="157"/>
    </row>
    <row r="40" spans="1:9" ht="15.75" x14ac:dyDescent="0.25">
      <c r="A40" s="177" t="s">
        <v>59</v>
      </c>
      <c r="B40" s="165">
        <f>DATE(20,7,1)</f>
        <v>7488</v>
      </c>
      <c r="C40" s="226">
        <v>143439230.22</v>
      </c>
      <c r="D40" s="226">
        <v>12870761.890000001</v>
      </c>
      <c r="E40" s="226">
        <v>17279710.350000001</v>
      </c>
      <c r="F40" s="166">
        <f t="shared" ref="F40:F46" si="9">(+D40-E40)/E40</f>
        <v>-0.2551517572168101</v>
      </c>
      <c r="G40" s="241">
        <f t="shared" ref="G40:G46" si="10">D40/C40</f>
        <v>8.9729719479527764E-2</v>
      </c>
      <c r="H40" s="242">
        <f t="shared" ref="H40:H46" si="11">1-G40</f>
        <v>0.91027028052047221</v>
      </c>
      <c r="I40" s="157"/>
    </row>
    <row r="41" spans="1:9" ht="15.75" x14ac:dyDescent="0.25">
      <c r="A41" s="177"/>
      <c r="B41" s="165">
        <f>DATE(20,8,1)</f>
        <v>7519</v>
      </c>
      <c r="C41" s="226">
        <v>144700809.44999999</v>
      </c>
      <c r="D41" s="226">
        <v>13070251.67</v>
      </c>
      <c r="E41" s="226">
        <v>17467037.460000001</v>
      </c>
      <c r="F41" s="166">
        <f t="shared" si="9"/>
        <v>-0.25171903364086567</v>
      </c>
      <c r="G41" s="241">
        <f t="shared" si="10"/>
        <v>9.0326043922486166E-2</v>
      </c>
      <c r="H41" s="242">
        <f t="shared" si="11"/>
        <v>0.90967395607751378</v>
      </c>
      <c r="I41" s="157"/>
    </row>
    <row r="42" spans="1:9" ht="15.75" x14ac:dyDescent="0.25">
      <c r="A42" s="177"/>
      <c r="B42" s="165">
        <f>DATE(20,9,1)</f>
        <v>7550</v>
      </c>
      <c r="C42" s="226">
        <v>139818303.37</v>
      </c>
      <c r="D42" s="226">
        <v>12783360.18</v>
      </c>
      <c r="E42" s="226">
        <v>16156127.949999999</v>
      </c>
      <c r="F42" s="166">
        <f t="shared" si="9"/>
        <v>-0.20876089744015675</v>
      </c>
      <c r="G42" s="241">
        <f t="shared" si="10"/>
        <v>9.1428374339313084E-2</v>
      </c>
      <c r="H42" s="242">
        <f t="shared" si="11"/>
        <v>0.90857162566068694</v>
      </c>
      <c r="I42" s="157"/>
    </row>
    <row r="43" spans="1:9" ht="15.75" x14ac:dyDescent="0.25">
      <c r="A43" s="177"/>
      <c r="B43" s="165">
        <f>DATE(20,10,1)</f>
        <v>7580</v>
      </c>
      <c r="C43" s="226">
        <v>145940508.44</v>
      </c>
      <c r="D43" s="226">
        <v>13838790.18</v>
      </c>
      <c r="E43" s="226">
        <v>15798088.050000001</v>
      </c>
      <c r="F43" s="166">
        <f t="shared" si="9"/>
        <v>-0.12402120204666164</v>
      </c>
      <c r="G43" s="241">
        <f t="shared" si="10"/>
        <v>9.4824873011111185E-2</v>
      </c>
      <c r="H43" s="242">
        <f t="shared" si="11"/>
        <v>0.9051751269888888</v>
      </c>
      <c r="I43" s="157"/>
    </row>
    <row r="44" spans="1:9" ht="15.75" x14ac:dyDescent="0.25">
      <c r="A44" s="177"/>
      <c r="B44" s="165">
        <f>DATE(20,11,1)</f>
        <v>7611</v>
      </c>
      <c r="C44" s="226">
        <v>125885717.19</v>
      </c>
      <c r="D44" s="226">
        <v>11508836.74</v>
      </c>
      <c r="E44" s="226">
        <v>16997575.629999999</v>
      </c>
      <c r="F44" s="166">
        <f t="shared" si="9"/>
        <v>-0.3229130441586392</v>
      </c>
      <c r="G44" s="241">
        <f t="shared" si="10"/>
        <v>9.1422895280722352E-2</v>
      </c>
      <c r="H44" s="242">
        <f t="shared" si="11"/>
        <v>0.90857710471927766</v>
      </c>
      <c r="I44" s="157"/>
    </row>
    <row r="45" spans="1:9" ht="15.75" x14ac:dyDescent="0.25">
      <c r="A45" s="177"/>
      <c r="B45" s="165">
        <f>DATE(20,12,1)</f>
        <v>7641</v>
      </c>
      <c r="C45" s="226">
        <v>127434010.31</v>
      </c>
      <c r="D45" s="226">
        <v>12101151.109999999</v>
      </c>
      <c r="E45" s="226">
        <v>16683119.9</v>
      </c>
      <c r="F45" s="166">
        <f t="shared" si="9"/>
        <v>-0.27464699753191851</v>
      </c>
      <c r="G45" s="241">
        <f t="shared" si="10"/>
        <v>9.4960137255057392E-2</v>
      </c>
      <c r="H45" s="242">
        <f t="shared" si="11"/>
        <v>0.90503986274494264</v>
      </c>
      <c r="I45" s="157"/>
    </row>
    <row r="46" spans="1:9" ht="15.75" x14ac:dyDescent="0.25">
      <c r="A46" s="177"/>
      <c r="B46" s="165">
        <f>DATE(21,1,1)</f>
        <v>7672</v>
      </c>
      <c r="C46" s="226">
        <v>130447012.61</v>
      </c>
      <c r="D46" s="226">
        <v>12204646.310000001</v>
      </c>
      <c r="E46" s="226">
        <v>16201519.720000001</v>
      </c>
      <c r="F46" s="166">
        <f t="shared" si="9"/>
        <v>-0.24669743820797571</v>
      </c>
      <c r="G46" s="241">
        <f t="shared" si="10"/>
        <v>9.3560182527816657E-2</v>
      </c>
      <c r="H46" s="242">
        <f t="shared" si="11"/>
        <v>0.90643981747218338</v>
      </c>
      <c r="I46" s="157"/>
    </row>
    <row r="47" spans="1:9" ht="15.75" thickBot="1" x14ac:dyDescent="0.25">
      <c r="A47" s="167"/>
      <c r="B47" s="168"/>
      <c r="C47" s="226"/>
      <c r="D47" s="226"/>
      <c r="E47" s="226"/>
      <c r="F47" s="166"/>
      <c r="G47" s="241"/>
      <c r="H47" s="242"/>
      <c r="I47" s="157"/>
    </row>
    <row r="48" spans="1:9" ht="17.25" thickTop="1" thickBot="1" x14ac:dyDescent="0.3">
      <c r="A48" s="174" t="s">
        <v>14</v>
      </c>
      <c r="B48" s="178"/>
      <c r="C48" s="228">
        <f>SUM(C40:C47)</f>
        <v>957665591.59000003</v>
      </c>
      <c r="D48" s="228">
        <f>SUM(D40:D47)</f>
        <v>88377798.080000013</v>
      </c>
      <c r="E48" s="228">
        <f>SUM(E40:E47)</f>
        <v>116583179.06</v>
      </c>
      <c r="F48" s="176">
        <f>(+D48-E48)/E48</f>
        <v>-0.24193353798907796</v>
      </c>
      <c r="G48" s="245">
        <f>D48/C48</f>
        <v>9.2284612557988505E-2</v>
      </c>
      <c r="H48" s="246">
        <f>1-G48</f>
        <v>0.90771538744201152</v>
      </c>
      <c r="I48" s="157"/>
    </row>
    <row r="49" spans="1:9" ht="15.75" thickTop="1" x14ac:dyDescent="0.2">
      <c r="A49" s="167"/>
      <c r="B49" s="168"/>
      <c r="C49" s="226"/>
      <c r="D49" s="226"/>
      <c r="E49" s="226"/>
      <c r="F49" s="166"/>
      <c r="G49" s="241"/>
      <c r="H49" s="242"/>
      <c r="I49" s="157"/>
    </row>
    <row r="50" spans="1:9" ht="15.75" x14ac:dyDescent="0.25">
      <c r="A50" s="164" t="s">
        <v>63</v>
      </c>
      <c r="B50" s="165">
        <f>DATE(20,7,1)</f>
        <v>7488</v>
      </c>
      <c r="C50" s="226">
        <v>129097611.84999999</v>
      </c>
      <c r="D50" s="226">
        <v>13388447.99</v>
      </c>
      <c r="E50" s="226">
        <v>11411946.24</v>
      </c>
      <c r="F50" s="166">
        <f t="shared" ref="F50:F56" si="12">(+D50-E50)/E50</f>
        <v>0.17319585182343095</v>
      </c>
      <c r="G50" s="241">
        <f t="shared" ref="G50:G56" si="13">D50/C50</f>
        <v>0.10370794469502807</v>
      </c>
      <c r="H50" s="242">
        <f t="shared" ref="H50:H56" si="14">1-G50</f>
        <v>0.89629205530497191</v>
      </c>
      <c r="I50" s="157"/>
    </row>
    <row r="51" spans="1:9" ht="15.75" x14ac:dyDescent="0.25">
      <c r="A51" s="164"/>
      <c r="B51" s="165">
        <f>DATE(20,8,1)</f>
        <v>7519</v>
      </c>
      <c r="C51" s="226">
        <v>126740821.34999999</v>
      </c>
      <c r="D51" s="226">
        <v>12503132.880000001</v>
      </c>
      <c r="E51" s="226">
        <v>12220877.76</v>
      </c>
      <c r="F51" s="166">
        <f t="shared" si="12"/>
        <v>2.3096141336414206E-2</v>
      </c>
      <c r="G51" s="241">
        <f t="shared" si="13"/>
        <v>9.8651190254417598E-2</v>
      </c>
      <c r="H51" s="242">
        <f t="shared" si="14"/>
        <v>0.9013488097455824</v>
      </c>
      <c r="I51" s="157"/>
    </row>
    <row r="52" spans="1:9" ht="15.75" x14ac:dyDescent="0.25">
      <c r="A52" s="164"/>
      <c r="B52" s="165">
        <f>DATE(20,9,1)</f>
        <v>7550</v>
      </c>
      <c r="C52" s="226">
        <v>113747305.23</v>
      </c>
      <c r="D52" s="226">
        <v>11218535.91</v>
      </c>
      <c r="E52" s="226">
        <v>11441576.98</v>
      </c>
      <c r="F52" s="166">
        <f t="shared" si="12"/>
        <v>-1.9493909833397834E-2</v>
      </c>
      <c r="G52" s="241">
        <f t="shared" si="13"/>
        <v>9.8626828014218265E-2</v>
      </c>
      <c r="H52" s="242">
        <f t="shared" si="14"/>
        <v>0.90137317198578171</v>
      </c>
      <c r="I52" s="157"/>
    </row>
    <row r="53" spans="1:9" ht="15.75" x14ac:dyDescent="0.25">
      <c r="A53" s="164"/>
      <c r="B53" s="165">
        <f>DATE(20,10,1)</f>
        <v>7580</v>
      </c>
      <c r="C53" s="226">
        <v>112893213.81</v>
      </c>
      <c r="D53" s="226">
        <v>11439504.380000001</v>
      </c>
      <c r="E53" s="226">
        <v>11451574.32</v>
      </c>
      <c r="F53" s="166">
        <f t="shared" si="12"/>
        <v>-1.0539983117360127E-3</v>
      </c>
      <c r="G53" s="241">
        <f t="shared" si="13"/>
        <v>0.10133031024568721</v>
      </c>
      <c r="H53" s="242">
        <f t="shared" si="14"/>
        <v>0.89866968975431283</v>
      </c>
      <c r="I53" s="157"/>
    </row>
    <row r="54" spans="1:9" ht="15.75" x14ac:dyDescent="0.25">
      <c r="A54" s="164"/>
      <c r="B54" s="165">
        <f>DATE(20,11,1)</f>
        <v>7611</v>
      </c>
      <c r="C54" s="226">
        <v>102860879.98999999</v>
      </c>
      <c r="D54" s="226">
        <v>10067796.140000001</v>
      </c>
      <c r="E54" s="226">
        <v>11824386.49</v>
      </c>
      <c r="F54" s="166">
        <f t="shared" si="12"/>
        <v>-0.14855657428700977</v>
      </c>
      <c r="G54" s="241">
        <f t="shared" si="13"/>
        <v>9.787779514407012E-2</v>
      </c>
      <c r="H54" s="242">
        <f t="shared" si="14"/>
        <v>0.90212220485592987</v>
      </c>
      <c r="I54" s="157"/>
    </row>
    <row r="55" spans="1:9" ht="15.75" x14ac:dyDescent="0.25">
      <c r="A55" s="164"/>
      <c r="B55" s="165">
        <f>DATE(20,12,1)</f>
        <v>7641</v>
      </c>
      <c r="C55" s="226">
        <v>108722235.14</v>
      </c>
      <c r="D55" s="226">
        <v>10607281.23</v>
      </c>
      <c r="E55" s="226">
        <v>12045926.43</v>
      </c>
      <c r="F55" s="166">
        <f t="shared" si="12"/>
        <v>-0.11943001713982736</v>
      </c>
      <c r="G55" s="241">
        <f t="shared" si="13"/>
        <v>9.7563126956883864E-2</v>
      </c>
      <c r="H55" s="242">
        <f t="shared" si="14"/>
        <v>0.90243687304311615</v>
      </c>
      <c r="I55" s="157"/>
    </row>
    <row r="56" spans="1:9" ht="15.75" x14ac:dyDescent="0.25">
      <c r="A56" s="164"/>
      <c r="B56" s="165">
        <f>DATE(21,1,1)</f>
        <v>7672</v>
      </c>
      <c r="C56" s="226">
        <v>120263557.15000001</v>
      </c>
      <c r="D56" s="226">
        <v>11913560.08</v>
      </c>
      <c r="E56" s="226">
        <v>10728742.130000001</v>
      </c>
      <c r="F56" s="166">
        <f t="shared" si="12"/>
        <v>0.11043400387888708</v>
      </c>
      <c r="G56" s="241">
        <f t="shared" si="13"/>
        <v>9.9062096301880426E-2</v>
      </c>
      <c r="H56" s="242">
        <f t="shared" si="14"/>
        <v>0.90093790369811955</v>
      </c>
      <c r="I56" s="157"/>
    </row>
    <row r="57" spans="1:9" ht="15.75" thickBot="1" x14ac:dyDescent="0.25">
      <c r="A57" s="167"/>
      <c r="B57" s="165"/>
      <c r="C57" s="226"/>
      <c r="D57" s="226"/>
      <c r="E57" s="226"/>
      <c r="F57" s="166"/>
      <c r="G57" s="241"/>
      <c r="H57" s="242"/>
      <c r="I57" s="157"/>
    </row>
    <row r="58" spans="1:9" ht="17.25" thickTop="1" thickBot="1" x14ac:dyDescent="0.3">
      <c r="A58" s="174" t="s">
        <v>14</v>
      </c>
      <c r="B58" s="175"/>
      <c r="C58" s="228">
        <f>SUM(C50:C57)</f>
        <v>814325624.51999998</v>
      </c>
      <c r="D58" s="230">
        <f>SUM(D50:D57)</f>
        <v>81138258.609999999</v>
      </c>
      <c r="E58" s="271">
        <f>SUM(E50:E57)</f>
        <v>81125030.349999994</v>
      </c>
      <c r="F58" s="272">
        <f>(+D58-E58)/E58</f>
        <v>1.630601547134628E-4</v>
      </c>
      <c r="G58" s="249">
        <f>D58/C58</f>
        <v>9.9638591942659949E-2</v>
      </c>
      <c r="H58" s="270">
        <f>1-G58</f>
        <v>0.90036140805734011</v>
      </c>
      <c r="I58" s="157"/>
    </row>
    <row r="59" spans="1:9" ht="15.75" thickTop="1" x14ac:dyDescent="0.2">
      <c r="A59" s="167"/>
      <c r="B59" s="168"/>
      <c r="C59" s="226"/>
      <c r="D59" s="226"/>
      <c r="E59" s="226"/>
      <c r="F59" s="166"/>
      <c r="G59" s="241"/>
      <c r="H59" s="242"/>
      <c r="I59" s="157"/>
    </row>
    <row r="60" spans="1:9" ht="15.75" x14ac:dyDescent="0.25">
      <c r="A60" s="164" t="s">
        <v>68</v>
      </c>
      <c r="B60" s="165">
        <f>DATE(20,7,1)</f>
        <v>7488</v>
      </c>
      <c r="C60" s="226">
        <v>42751040.829999998</v>
      </c>
      <c r="D60" s="226">
        <v>4434379.57</v>
      </c>
      <c r="E60" s="226">
        <v>3906046.69</v>
      </c>
      <c r="F60" s="166">
        <f t="shared" ref="F60:F66" si="15">(+D60-E60)/E60</f>
        <v>0.13526025721930127</v>
      </c>
      <c r="G60" s="241">
        <f t="shared" ref="G60:G66" si="16">D60/C60</f>
        <v>0.10372565167789391</v>
      </c>
      <c r="H60" s="242">
        <f t="shared" ref="H60:H66" si="17">1-G60</f>
        <v>0.89627434832210606</v>
      </c>
      <c r="I60" s="157"/>
    </row>
    <row r="61" spans="1:9" ht="15.75" x14ac:dyDescent="0.25">
      <c r="A61" s="164"/>
      <c r="B61" s="165">
        <f>DATE(20,8,1)</f>
        <v>7519</v>
      </c>
      <c r="C61" s="226">
        <v>42673866.380000003</v>
      </c>
      <c r="D61" s="226">
        <v>4333573.3</v>
      </c>
      <c r="E61" s="226">
        <v>4670857.45</v>
      </c>
      <c r="F61" s="166">
        <f t="shared" si="15"/>
        <v>-7.2210328319910588E-2</v>
      </c>
      <c r="G61" s="241">
        <f t="shared" si="16"/>
        <v>0.1015509881717917</v>
      </c>
      <c r="H61" s="242">
        <f t="shared" si="17"/>
        <v>0.89844901182820824</v>
      </c>
      <c r="I61" s="157"/>
    </row>
    <row r="62" spans="1:9" ht="15.75" x14ac:dyDescent="0.25">
      <c r="A62" s="164"/>
      <c r="B62" s="165">
        <f>DATE(20,9,1)</f>
        <v>7550</v>
      </c>
      <c r="C62" s="226">
        <v>41605422.850000001</v>
      </c>
      <c r="D62" s="226">
        <v>4417017.5599999996</v>
      </c>
      <c r="E62" s="226">
        <v>4421418.32</v>
      </c>
      <c r="F62" s="166">
        <f t="shared" si="15"/>
        <v>-9.9532767123485097E-4</v>
      </c>
      <c r="G62" s="241">
        <f t="shared" si="16"/>
        <v>0.10616446745234796</v>
      </c>
      <c r="H62" s="242">
        <f t="shared" si="17"/>
        <v>0.89383553254765202</v>
      </c>
      <c r="I62" s="157"/>
    </row>
    <row r="63" spans="1:9" ht="15.75" x14ac:dyDescent="0.25">
      <c r="A63" s="164"/>
      <c r="B63" s="165">
        <f>DATE(20,10,1)</f>
        <v>7580</v>
      </c>
      <c r="C63" s="226">
        <v>43714895.32</v>
      </c>
      <c r="D63" s="226">
        <v>4440838.8899999997</v>
      </c>
      <c r="E63" s="226">
        <v>4469558.96</v>
      </c>
      <c r="F63" s="166">
        <f t="shared" si="15"/>
        <v>-6.4257055913186341E-3</v>
      </c>
      <c r="G63" s="241">
        <f t="shared" si="16"/>
        <v>0.10158640109949597</v>
      </c>
      <c r="H63" s="242">
        <f t="shared" si="17"/>
        <v>0.89841359890050398</v>
      </c>
      <c r="I63" s="157"/>
    </row>
    <row r="64" spans="1:9" ht="15.75" x14ac:dyDescent="0.25">
      <c r="A64" s="164"/>
      <c r="B64" s="165">
        <f>DATE(20,11,1)</f>
        <v>7611</v>
      </c>
      <c r="C64" s="226">
        <v>40694510.390000001</v>
      </c>
      <c r="D64" s="226">
        <v>4093288.05</v>
      </c>
      <c r="E64" s="226">
        <v>4362721.83</v>
      </c>
      <c r="F64" s="166">
        <f t="shared" si="15"/>
        <v>-6.1758184568920876E-2</v>
      </c>
      <c r="G64" s="241">
        <f t="shared" si="16"/>
        <v>0.10058575495248757</v>
      </c>
      <c r="H64" s="242">
        <f t="shared" si="17"/>
        <v>0.89941424504751244</v>
      </c>
      <c r="I64" s="157"/>
    </row>
    <row r="65" spans="1:9" ht="15.75" x14ac:dyDescent="0.25">
      <c r="A65" s="164"/>
      <c r="B65" s="165">
        <f>DATE(20,12,1)</f>
        <v>7641</v>
      </c>
      <c r="C65" s="226">
        <v>52442183.469999999</v>
      </c>
      <c r="D65" s="226">
        <v>5522096.1299999999</v>
      </c>
      <c r="E65" s="226">
        <v>4542091.8099999996</v>
      </c>
      <c r="F65" s="166">
        <f t="shared" si="15"/>
        <v>0.21576057045839422</v>
      </c>
      <c r="G65" s="241">
        <f t="shared" si="16"/>
        <v>0.105298745487189</v>
      </c>
      <c r="H65" s="242">
        <f t="shared" si="17"/>
        <v>0.89470125451281102</v>
      </c>
      <c r="I65" s="157"/>
    </row>
    <row r="66" spans="1:9" ht="15.75" x14ac:dyDescent="0.25">
      <c r="A66" s="164"/>
      <c r="B66" s="165">
        <f>DATE(21,1,1)</f>
        <v>7672</v>
      </c>
      <c r="C66" s="226">
        <v>59978368.890000001</v>
      </c>
      <c r="D66" s="226">
        <v>6117314.9299999997</v>
      </c>
      <c r="E66" s="226">
        <v>4236468.1100000003</v>
      </c>
      <c r="F66" s="166">
        <f t="shared" si="15"/>
        <v>0.44396576845706487</v>
      </c>
      <c r="G66" s="241">
        <f t="shared" si="16"/>
        <v>0.10199201884297857</v>
      </c>
      <c r="H66" s="242">
        <f t="shared" si="17"/>
        <v>0.89800798115702141</v>
      </c>
      <c r="I66" s="157"/>
    </row>
    <row r="67" spans="1:9" ht="15.75" thickBot="1" x14ac:dyDescent="0.25">
      <c r="A67" s="167"/>
      <c r="B67" s="165"/>
      <c r="C67" s="226"/>
      <c r="D67" s="226"/>
      <c r="E67" s="226"/>
      <c r="F67" s="166"/>
      <c r="G67" s="241"/>
      <c r="H67" s="242"/>
      <c r="I67" s="157"/>
    </row>
    <row r="68" spans="1:9" ht="17.25" thickTop="1" thickBot="1" x14ac:dyDescent="0.3">
      <c r="A68" s="174" t="s">
        <v>14</v>
      </c>
      <c r="B68" s="175"/>
      <c r="C68" s="228">
        <f>SUM(C60:C67)</f>
        <v>323860288.13</v>
      </c>
      <c r="D68" s="230">
        <f>SUM(D60:D67)</f>
        <v>33358508.43</v>
      </c>
      <c r="E68" s="271">
        <f>SUM(E60:E67)</f>
        <v>30609163.169999998</v>
      </c>
      <c r="F68" s="272">
        <f>(+D68-E68)/E68</f>
        <v>8.9820987419042916E-2</v>
      </c>
      <c r="G68" s="249">
        <f>D68/C68</f>
        <v>0.10300277512446861</v>
      </c>
      <c r="H68" s="270">
        <f>1-G68</f>
        <v>0.89699722487553135</v>
      </c>
      <c r="I68" s="157"/>
    </row>
    <row r="69" spans="1:9" ht="15.75" thickTop="1" x14ac:dyDescent="0.2">
      <c r="A69" s="167"/>
      <c r="B69" s="168"/>
      <c r="C69" s="226"/>
      <c r="D69" s="226"/>
      <c r="E69" s="226"/>
      <c r="F69" s="166"/>
      <c r="G69" s="241"/>
      <c r="H69" s="242"/>
      <c r="I69" s="157"/>
    </row>
    <row r="70" spans="1:9" ht="15.75" x14ac:dyDescent="0.25">
      <c r="A70" s="164" t="s">
        <v>66</v>
      </c>
      <c r="B70" s="165">
        <f>DATE(20,7,1)</f>
        <v>7488</v>
      </c>
      <c r="C70" s="226">
        <v>39014288.030000001</v>
      </c>
      <c r="D70" s="226">
        <v>4303428.05</v>
      </c>
      <c r="E70" s="226">
        <v>4987956.2</v>
      </c>
      <c r="F70" s="166">
        <f t="shared" ref="F70:F76" si="18">(+D70-E70)/E70</f>
        <v>-0.13723619906686438</v>
      </c>
      <c r="G70" s="241">
        <f t="shared" ref="G70:G76" si="19">D70/C70</f>
        <v>0.11030389806654636</v>
      </c>
      <c r="H70" s="242">
        <f t="shared" ref="H70:H76" si="20">1-G70</f>
        <v>0.88969610193345361</v>
      </c>
      <c r="I70" s="157"/>
    </row>
    <row r="71" spans="1:9" ht="15.75" x14ac:dyDescent="0.25">
      <c r="A71" s="164"/>
      <c r="B71" s="165">
        <f>DATE(20,8,1)</f>
        <v>7519</v>
      </c>
      <c r="C71" s="226">
        <v>37294361.380000003</v>
      </c>
      <c r="D71" s="226">
        <v>4134795.6</v>
      </c>
      <c r="E71" s="226">
        <v>5297182</v>
      </c>
      <c r="F71" s="166">
        <f t="shared" si="18"/>
        <v>-0.21943486178122631</v>
      </c>
      <c r="G71" s="241">
        <f t="shared" si="19"/>
        <v>0.11086918898730315</v>
      </c>
      <c r="H71" s="242">
        <f t="shared" si="20"/>
        <v>0.88913081101269686</v>
      </c>
      <c r="I71" s="157"/>
    </row>
    <row r="72" spans="1:9" ht="15.75" x14ac:dyDescent="0.25">
      <c r="A72" s="164"/>
      <c r="B72" s="165">
        <f>DATE(20,9,1)</f>
        <v>7550</v>
      </c>
      <c r="C72" s="226">
        <v>46478172.090000004</v>
      </c>
      <c r="D72" s="226">
        <v>5078159.95</v>
      </c>
      <c r="E72" s="226">
        <v>4757922.75</v>
      </c>
      <c r="F72" s="166">
        <f t="shared" si="18"/>
        <v>6.7306094870918237E-2</v>
      </c>
      <c r="G72" s="241">
        <f t="shared" si="19"/>
        <v>0.10925902895162674</v>
      </c>
      <c r="H72" s="242">
        <f t="shared" si="20"/>
        <v>0.89074097104837324</v>
      </c>
      <c r="I72" s="157"/>
    </row>
    <row r="73" spans="1:9" ht="15.75" x14ac:dyDescent="0.25">
      <c r="A73" s="164"/>
      <c r="B73" s="165">
        <f>DATE(20,10,1)</f>
        <v>7580</v>
      </c>
      <c r="C73" s="226">
        <v>52985429.619999997</v>
      </c>
      <c r="D73" s="226">
        <v>5823943.8200000003</v>
      </c>
      <c r="E73" s="226">
        <v>5100767.21</v>
      </c>
      <c r="F73" s="166">
        <f t="shared" si="18"/>
        <v>0.14177800715590788</v>
      </c>
      <c r="G73" s="241">
        <f t="shared" si="19"/>
        <v>0.10991594975766096</v>
      </c>
      <c r="H73" s="242">
        <f t="shared" si="20"/>
        <v>0.89008405024233905</v>
      </c>
      <c r="I73" s="157"/>
    </row>
    <row r="74" spans="1:9" ht="15.75" x14ac:dyDescent="0.25">
      <c r="A74" s="164"/>
      <c r="B74" s="165">
        <f>DATE(20,11,1)</f>
        <v>7611</v>
      </c>
      <c r="C74" s="226">
        <v>49334744.450000003</v>
      </c>
      <c r="D74" s="226">
        <v>5498815.8099999996</v>
      </c>
      <c r="E74" s="226">
        <v>5049815.8600000003</v>
      </c>
      <c r="F74" s="166">
        <f t="shared" si="18"/>
        <v>8.8914123296368913E-2</v>
      </c>
      <c r="G74" s="241">
        <f t="shared" si="19"/>
        <v>0.11145929448510601</v>
      </c>
      <c r="H74" s="242">
        <f t="shared" si="20"/>
        <v>0.88854070551489395</v>
      </c>
      <c r="I74" s="157"/>
    </row>
    <row r="75" spans="1:9" ht="15.75" x14ac:dyDescent="0.25">
      <c r="A75" s="164"/>
      <c r="B75" s="165">
        <f>DATE(20,12,1)</f>
        <v>7641</v>
      </c>
      <c r="C75" s="226">
        <v>53542414.659999996</v>
      </c>
      <c r="D75" s="226">
        <v>6073396.25</v>
      </c>
      <c r="E75" s="226">
        <v>5055651.33</v>
      </c>
      <c r="F75" s="166">
        <f t="shared" si="18"/>
        <v>0.20130836831265417</v>
      </c>
      <c r="G75" s="241">
        <f t="shared" si="19"/>
        <v>0.11343149703962194</v>
      </c>
      <c r="H75" s="242">
        <f t="shared" si="20"/>
        <v>0.88656850296037804</v>
      </c>
      <c r="I75" s="157"/>
    </row>
    <row r="76" spans="1:9" ht="15.75" x14ac:dyDescent="0.25">
      <c r="A76" s="164"/>
      <c r="B76" s="165">
        <f>DATE(21,1,1)</f>
        <v>7672</v>
      </c>
      <c r="C76" s="226">
        <v>59260434.829999998</v>
      </c>
      <c r="D76" s="226">
        <v>6544399.04</v>
      </c>
      <c r="E76" s="226">
        <v>4906027.53</v>
      </c>
      <c r="F76" s="166">
        <f t="shared" si="18"/>
        <v>0.33395073712519502</v>
      </c>
      <c r="G76" s="241">
        <f t="shared" si="19"/>
        <v>0.11043454302645386</v>
      </c>
      <c r="H76" s="242">
        <f t="shared" si="20"/>
        <v>0.88956545697354616</v>
      </c>
      <c r="I76" s="157"/>
    </row>
    <row r="77" spans="1:9" ht="15.75" thickBot="1" x14ac:dyDescent="0.25">
      <c r="A77" s="167"/>
      <c r="B77" s="165"/>
      <c r="C77" s="226"/>
      <c r="D77" s="226"/>
      <c r="E77" s="226"/>
      <c r="F77" s="166"/>
      <c r="G77" s="241"/>
      <c r="H77" s="242"/>
      <c r="I77" s="157"/>
    </row>
    <row r="78" spans="1:9" ht="17.25" thickTop="1" thickBot="1" x14ac:dyDescent="0.3">
      <c r="A78" s="174" t="s">
        <v>14</v>
      </c>
      <c r="B78" s="175"/>
      <c r="C78" s="228">
        <f>SUM(C70:C77)</f>
        <v>337909845.06</v>
      </c>
      <c r="D78" s="230">
        <f>SUM(D70:D77)</f>
        <v>37456938.520000003</v>
      </c>
      <c r="E78" s="271">
        <f>SUM(E70:E77)</f>
        <v>35155322.880000003</v>
      </c>
      <c r="F78" s="272">
        <f>(+D78-E78)/E78</f>
        <v>6.5469904738363199E-2</v>
      </c>
      <c r="G78" s="249">
        <f>D78/C78</f>
        <v>0.11084891152949115</v>
      </c>
      <c r="H78" s="270">
        <f>1-G78</f>
        <v>0.88915108847050883</v>
      </c>
      <c r="I78" s="157"/>
    </row>
    <row r="79" spans="1:9" ht="15.75" thickTop="1" x14ac:dyDescent="0.2">
      <c r="A79" s="167"/>
      <c r="B79" s="168"/>
      <c r="C79" s="226"/>
      <c r="D79" s="226"/>
      <c r="E79" s="226"/>
      <c r="F79" s="166"/>
      <c r="G79" s="241"/>
      <c r="H79" s="242"/>
      <c r="I79" s="157"/>
    </row>
    <row r="80" spans="1:9" ht="15.75" x14ac:dyDescent="0.25">
      <c r="A80" s="164" t="s">
        <v>60</v>
      </c>
      <c r="B80" s="165">
        <f>DATE(20,7,1)</f>
        <v>7488</v>
      </c>
      <c r="C80" s="226">
        <v>111521100.17</v>
      </c>
      <c r="D80" s="226">
        <v>10751795.77</v>
      </c>
      <c r="E80" s="226">
        <v>10859844.9</v>
      </c>
      <c r="F80" s="166">
        <f t="shared" ref="F80:F86" si="21">(+D80-E80)/E80</f>
        <v>-9.9494174175545382E-3</v>
      </c>
      <c r="G80" s="241">
        <f t="shared" ref="G80:G86" si="22">D80/C80</f>
        <v>9.6410416984859623E-2</v>
      </c>
      <c r="H80" s="242">
        <f t="shared" ref="H80:H86" si="23">1-G80</f>
        <v>0.90358958301514036</v>
      </c>
      <c r="I80" s="157"/>
    </row>
    <row r="81" spans="1:9" ht="15.75" x14ac:dyDescent="0.25">
      <c r="A81" s="164"/>
      <c r="B81" s="165">
        <f>DATE(20,8,1)</f>
        <v>7519</v>
      </c>
      <c r="C81" s="226">
        <v>112369794.01000001</v>
      </c>
      <c r="D81" s="226">
        <v>11312353.68</v>
      </c>
      <c r="E81" s="226">
        <v>10606265.73</v>
      </c>
      <c r="F81" s="166">
        <f t="shared" si="21"/>
        <v>6.6572719180777992E-2</v>
      </c>
      <c r="G81" s="241">
        <f t="shared" si="22"/>
        <v>0.10067076993122628</v>
      </c>
      <c r="H81" s="242">
        <f t="shared" si="23"/>
        <v>0.89932923006877374</v>
      </c>
      <c r="I81" s="157"/>
    </row>
    <row r="82" spans="1:9" ht="15.75" x14ac:dyDescent="0.25">
      <c r="A82" s="164"/>
      <c r="B82" s="165">
        <f>DATE(20,9,1)</f>
        <v>7550</v>
      </c>
      <c r="C82" s="226">
        <v>112239380.63</v>
      </c>
      <c r="D82" s="226">
        <v>10956999.039999999</v>
      </c>
      <c r="E82" s="226">
        <v>10294221.539999999</v>
      </c>
      <c r="F82" s="166">
        <f t="shared" si="21"/>
        <v>6.4383450212788018E-2</v>
      </c>
      <c r="G82" s="241">
        <f t="shared" si="22"/>
        <v>9.7621699072984264E-2</v>
      </c>
      <c r="H82" s="242">
        <f t="shared" si="23"/>
        <v>0.90237830092701576</v>
      </c>
      <c r="I82" s="157"/>
    </row>
    <row r="83" spans="1:9" ht="15.75" x14ac:dyDescent="0.25">
      <c r="A83" s="164"/>
      <c r="B83" s="165">
        <f>DATE(20,10,1)</f>
        <v>7580</v>
      </c>
      <c r="C83" s="226">
        <v>107780626.91</v>
      </c>
      <c r="D83" s="226">
        <v>10410650.699999999</v>
      </c>
      <c r="E83" s="226">
        <v>9880729.3699999992</v>
      </c>
      <c r="F83" s="166">
        <f t="shared" si="21"/>
        <v>5.3631802891895231E-2</v>
      </c>
      <c r="G83" s="241">
        <f t="shared" si="22"/>
        <v>9.6591112878692015E-2</v>
      </c>
      <c r="H83" s="242">
        <f t="shared" si="23"/>
        <v>0.90340888712130796</v>
      </c>
      <c r="I83" s="157"/>
    </row>
    <row r="84" spans="1:9" ht="15.75" x14ac:dyDescent="0.25">
      <c r="A84" s="164"/>
      <c r="B84" s="165">
        <f>DATE(20,11,1)</f>
        <v>7611</v>
      </c>
      <c r="C84" s="226">
        <v>99400505.129999995</v>
      </c>
      <c r="D84" s="226">
        <v>9890840.5199999996</v>
      </c>
      <c r="E84" s="226">
        <v>10205648.99</v>
      </c>
      <c r="F84" s="166">
        <f t="shared" si="21"/>
        <v>-3.0846492007364314E-2</v>
      </c>
      <c r="G84" s="241">
        <f t="shared" si="22"/>
        <v>9.9504932163718474E-2</v>
      </c>
      <c r="H84" s="242">
        <f t="shared" si="23"/>
        <v>0.90049506783628153</v>
      </c>
      <c r="I84" s="157"/>
    </row>
    <row r="85" spans="1:9" ht="15.75" x14ac:dyDescent="0.25">
      <c r="A85" s="164"/>
      <c r="B85" s="165">
        <f>DATE(20,12,1)</f>
        <v>7641</v>
      </c>
      <c r="C85" s="226">
        <v>128044113.2</v>
      </c>
      <c r="D85" s="226">
        <v>12890871.199999999</v>
      </c>
      <c r="E85" s="226">
        <v>10750579.369999999</v>
      </c>
      <c r="F85" s="166">
        <f t="shared" si="21"/>
        <v>0.19908618469183026</v>
      </c>
      <c r="G85" s="241">
        <f t="shared" si="22"/>
        <v>0.1006752351032722</v>
      </c>
      <c r="H85" s="242">
        <f t="shared" si="23"/>
        <v>0.89932476489672775</v>
      </c>
      <c r="I85" s="157"/>
    </row>
    <row r="86" spans="1:9" ht="15.75" x14ac:dyDescent="0.25">
      <c r="A86" s="164"/>
      <c r="B86" s="165">
        <f>DATE(21,1,1)</f>
        <v>7672</v>
      </c>
      <c r="C86" s="226">
        <v>144402324.74000001</v>
      </c>
      <c r="D86" s="226">
        <v>14761434.99</v>
      </c>
      <c r="E86" s="226">
        <v>10353140.800000001</v>
      </c>
      <c r="F86" s="166">
        <f t="shared" si="21"/>
        <v>0.42579293329034984</v>
      </c>
      <c r="G86" s="241">
        <f t="shared" si="22"/>
        <v>0.10222435834449571</v>
      </c>
      <c r="H86" s="242">
        <f t="shared" si="23"/>
        <v>0.89777564165550428</v>
      </c>
      <c r="I86" s="157"/>
    </row>
    <row r="87" spans="1:9" ht="15.75" thickBot="1" x14ac:dyDescent="0.25">
      <c r="A87" s="167"/>
      <c r="B87" s="165"/>
      <c r="C87" s="226"/>
      <c r="D87" s="226"/>
      <c r="E87" s="226"/>
      <c r="F87" s="166"/>
      <c r="G87" s="241"/>
      <c r="H87" s="242"/>
      <c r="I87" s="157"/>
    </row>
    <row r="88" spans="1:9" ht="17.25" thickTop="1" thickBot="1" x14ac:dyDescent="0.3">
      <c r="A88" s="174" t="s">
        <v>14</v>
      </c>
      <c r="B88" s="175"/>
      <c r="C88" s="228">
        <f>SUM(C80:C87)</f>
        <v>815757844.79000008</v>
      </c>
      <c r="D88" s="230">
        <f>SUM(D80:D87)</f>
        <v>80974945.899999991</v>
      </c>
      <c r="E88" s="271">
        <f>SUM(E80:E87)</f>
        <v>72950430.700000003</v>
      </c>
      <c r="F88" s="176">
        <f>(+D88-E88)/E88</f>
        <v>0.10999955891967048</v>
      </c>
      <c r="G88" s="249">
        <f>D88/C88</f>
        <v>9.9263459637149193E-2</v>
      </c>
      <c r="H88" s="270">
        <f>1-G88</f>
        <v>0.90073654036285078</v>
      </c>
      <c r="I88" s="157"/>
    </row>
    <row r="89" spans="1:9" ht="15.75" thickTop="1" x14ac:dyDescent="0.2">
      <c r="A89" s="167"/>
      <c r="B89" s="179"/>
      <c r="C89" s="229"/>
      <c r="D89" s="229"/>
      <c r="E89" s="229"/>
      <c r="F89" s="180"/>
      <c r="G89" s="247"/>
      <c r="H89" s="248"/>
      <c r="I89" s="157"/>
    </row>
    <row r="90" spans="1:9" ht="15.75" x14ac:dyDescent="0.25">
      <c r="A90" s="164" t="s">
        <v>16</v>
      </c>
      <c r="B90" s="165">
        <f>DATE(20,7,1)</f>
        <v>7488</v>
      </c>
      <c r="C90" s="226">
        <v>122917916.14</v>
      </c>
      <c r="D90" s="226">
        <v>12124639.109999999</v>
      </c>
      <c r="E90" s="226">
        <v>13562944.539999999</v>
      </c>
      <c r="F90" s="166">
        <f t="shared" ref="F90:F96" si="24">(+D90-E90)/E90</f>
        <v>-0.10604669404627676</v>
      </c>
      <c r="G90" s="241">
        <f t="shared" ref="G90:G96" si="25">D90/C90</f>
        <v>9.8640129045064362E-2</v>
      </c>
      <c r="H90" s="242">
        <f t="shared" ref="H90:H96" si="26">1-G90</f>
        <v>0.90135987095493564</v>
      </c>
      <c r="I90" s="157"/>
    </row>
    <row r="91" spans="1:9" ht="15.75" x14ac:dyDescent="0.25">
      <c r="A91" s="164"/>
      <c r="B91" s="165">
        <f>DATE(20,8,1)</f>
        <v>7519</v>
      </c>
      <c r="C91" s="226">
        <v>129077535.78</v>
      </c>
      <c r="D91" s="226">
        <v>12772714.18</v>
      </c>
      <c r="E91" s="226">
        <v>13870661.279999999</v>
      </c>
      <c r="F91" s="166">
        <f t="shared" si="24"/>
        <v>-7.9156074669858828E-2</v>
      </c>
      <c r="G91" s="241">
        <f t="shared" si="25"/>
        <v>9.8953811775349024E-2</v>
      </c>
      <c r="H91" s="242">
        <f t="shared" si="26"/>
        <v>0.90104618822465099</v>
      </c>
      <c r="I91" s="157"/>
    </row>
    <row r="92" spans="1:9" ht="15.75" x14ac:dyDescent="0.25">
      <c r="A92" s="164"/>
      <c r="B92" s="165">
        <f>DATE(20,9,1)</f>
        <v>7550</v>
      </c>
      <c r="C92" s="226">
        <v>120244266.26000001</v>
      </c>
      <c r="D92" s="226">
        <v>12144964.720000001</v>
      </c>
      <c r="E92" s="226">
        <v>12786419.43</v>
      </c>
      <c r="F92" s="166">
        <f t="shared" si="24"/>
        <v>-5.0166875372083662E-2</v>
      </c>
      <c r="G92" s="241">
        <f t="shared" si="25"/>
        <v>0.10100244359044418</v>
      </c>
      <c r="H92" s="242">
        <f t="shared" si="26"/>
        <v>0.89899755640955581</v>
      </c>
      <c r="I92" s="157"/>
    </row>
    <row r="93" spans="1:9" ht="15.75" x14ac:dyDescent="0.25">
      <c r="A93" s="164"/>
      <c r="B93" s="165">
        <f>DATE(20,10,1)</f>
        <v>7580</v>
      </c>
      <c r="C93" s="226">
        <v>126651805.83</v>
      </c>
      <c r="D93" s="226">
        <v>12789406.33</v>
      </c>
      <c r="E93" s="226">
        <v>13251508.66</v>
      </c>
      <c r="F93" s="166">
        <f t="shared" si="24"/>
        <v>-3.4871677018547112E-2</v>
      </c>
      <c r="G93" s="241">
        <f t="shared" si="25"/>
        <v>0.10098084465662292</v>
      </c>
      <c r="H93" s="242">
        <f t="shared" si="26"/>
        <v>0.89901915534337706</v>
      </c>
      <c r="I93" s="157"/>
    </row>
    <row r="94" spans="1:9" ht="15.75" x14ac:dyDescent="0.25">
      <c r="A94" s="164"/>
      <c r="B94" s="165">
        <f>DATE(20,11,1)</f>
        <v>7611</v>
      </c>
      <c r="C94" s="226">
        <v>115007879.84</v>
      </c>
      <c r="D94" s="226">
        <v>11020343.83</v>
      </c>
      <c r="E94" s="226">
        <v>13769145.800000001</v>
      </c>
      <c r="F94" s="166">
        <f t="shared" si="24"/>
        <v>-0.1996348945625952</v>
      </c>
      <c r="G94" s="241">
        <f t="shared" si="25"/>
        <v>9.5822510990826032E-2</v>
      </c>
      <c r="H94" s="242">
        <f t="shared" si="26"/>
        <v>0.90417748900917394</v>
      </c>
      <c r="I94" s="157"/>
    </row>
    <row r="95" spans="1:9" ht="15.75" x14ac:dyDescent="0.25">
      <c r="A95" s="164"/>
      <c r="B95" s="165">
        <f>DATE(20,12,1)</f>
        <v>7641</v>
      </c>
      <c r="C95" s="226">
        <v>128013467.42</v>
      </c>
      <c r="D95" s="226">
        <v>12188714.869999999</v>
      </c>
      <c r="E95" s="226">
        <v>13980639.65</v>
      </c>
      <c r="F95" s="166">
        <f t="shared" si="24"/>
        <v>-0.12817187373826641</v>
      </c>
      <c r="G95" s="241">
        <f t="shared" si="25"/>
        <v>9.5214317021895714E-2</v>
      </c>
      <c r="H95" s="242">
        <f t="shared" si="26"/>
        <v>0.90478568297810424</v>
      </c>
      <c r="I95" s="157"/>
    </row>
    <row r="96" spans="1:9" ht="15.75" x14ac:dyDescent="0.25">
      <c r="A96" s="164"/>
      <c r="B96" s="165">
        <f>DATE(21,1,1)</f>
        <v>7672</v>
      </c>
      <c r="C96" s="226">
        <v>143529356.00999999</v>
      </c>
      <c r="D96" s="226">
        <v>13712800.539999999</v>
      </c>
      <c r="E96" s="226">
        <v>12433682.390000001</v>
      </c>
      <c r="F96" s="166">
        <f t="shared" si="24"/>
        <v>0.10287524724201987</v>
      </c>
      <c r="G96" s="241">
        <f t="shared" si="25"/>
        <v>9.554004087529383E-2</v>
      </c>
      <c r="H96" s="242">
        <f t="shared" si="26"/>
        <v>0.90445995912470623</v>
      </c>
      <c r="I96" s="157"/>
    </row>
    <row r="97" spans="1:9" ht="15.75" customHeight="1" thickBot="1" x14ac:dyDescent="0.3">
      <c r="A97" s="164"/>
      <c r="B97" s="165"/>
      <c r="C97" s="226"/>
      <c r="D97" s="226"/>
      <c r="E97" s="226"/>
      <c r="F97" s="166"/>
      <c r="G97" s="241"/>
      <c r="H97" s="242"/>
      <c r="I97" s="157"/>
    </row>
    <row r="98" spans="1:9" ht="17.25" thickTop="1" thickBot="1" x14ac:dyDescent="0.3">
      <c r="A98" s="174" t="s">
        <v>14</v>
      </c>
      <c r="B98" s="181"/>
      <c r="C98" s="228">
        <f>SUM(C90:C97)</f>
        <v>885442227.27999997</v>
      </c>
      <c r="D98" s="228">
        <f>SUM(D90:D97)</f>
        <v>86753583.579999983</v>
      </c>
      <c r="E98" s="228">
        <f>SUM(E90:E97)</f>
        <v>93655001.75</v>
      </c>
      <c r="F98" s="176">
        <f>(+D98-E98)/E98</f>
        <v>-7.3689798099865145E-2</v>
      </c>
      <c r="G98" s="245">
        <f>D98/C98</f>
        <v>9.797768946089154E-2</v>
      </c>
      <c r="H98" s="246">
        <f>1-G98</f>
        <v>0.90202231053910842</v>
      </c>
      <c r="I98" s="157"/>
    </row>
    <row r="99" spans="1:9" ht="15.75" thickTop="1" x14ac:dyDescent="0.2">
      <c r="A99" s="171"/>
      <c r="B99" s="172"/>
      <c r="C99" s="227"/>
      <c r="D99" s="227"/>
      <c r="E99" s="227"/>
      <c r="F99" s="173"/>
      <c r="G99" s="243"/>
      <c r="H99" s="244"/>
      <c r="I99" s="157"/>
    </row>
    <row r="100" spans="1:9" ht="15.75" x14ac:dyDescent="0.25">
      <c r="A100" s="164" t="s">
        <v>54</v>
      </c>
      <c r="B100" s="165">
        <f>DATE(20,7,1)</f>
        <v>7488</v>
      </c>
      <c r="C100" s="226">
        <v>139778413.28999999</v>
      </c>
      <c r="D100" s="226">
        <v>13113665.15</v>
      </c>
      <c r="E100" s="226">
        <v>16247033.9</v>
      </c>
      <c r="F100" s="166">
        <f t="shared" ref="F100:F106" si="27">(+D100-E100)/E100</f>
        <v>-0.19285789451082513</v>
      </c>
      <c r="G100" s="241">
        <f t="shared" ref="G100:G106" si="28">D100/C100</f>
        <v>9.3817527623474437E-2</v>
      </c>
      <c r="H100" s="242">
        <f t="shared" ref="H100:H106" si="29">1-G100</f>
        <v>0.90618247237652561</v>
      </c>
      <c r="I100" s="157"/>
    </row>
    <row r="101" spans="1:9" ht="15.75" x14ac:dyDescent="0.25">
      <c r="A101" s="164"/>
      <c r="B101" s="165">
        <f>DATE(20,8,1)</f>
        <v>7519</v>
      </c>
      <c r="C101" s="226">
        <v>139190485.06</v>
      </c>
      <c r="D101" s="226">
        <v>13163225.939999999</v>
      </c>
      <c r="E101" s="226">
        <v>16871517.800000001</v>
      </c>
      <c r="F101" s="166">
        <f t="shared" si="27"/>
        <v>-0.21979598421192437</v>
      </c>
      <c r="G101" s="241">
        <f t="shared" si="28"/>
        <v>9.4569869013142724E-2</v>
      </c>
      <c r="H101" s="242">
        <f t="shared" si="29"/>
        <v>0.90543013098685732</v>
      </c>
      <c r="I101" s="157"/>
    </row>
    <row r="102" spans="1:9" ht="15.75" x14ac:dyDescent="0.25">
      <c r="A102" s="164"/>
      <c r="B102" s="165">
        <f>DATE(20,9,1)</f>
        <v>7550</v>
      </c>
      <c r="C102" s="226">
        <v>144179628.53</v>
      </c>
      <c r="D102" s="226">
        <v>13632742.51</v>
      </c>
      <c r="E102" s="226">
        <v>15944541.300000001</v>
      </c>
      <c r="F102" s="166">
        <f t="shared" si="27"/>
        <v>-0.1449899841270442</v>
      </c>
      <c r="G102" s="241">
        <f t="shared" si="28"/>
        <v>9.4553874559077419E-2</v>
      </c>
      <c r="H102" s="242">
        <f t="shared" si="29"/>
        <v>0.90544612544092262</v>
      </c>
      <c r="I102" s="157"/>
    </row>
    <row r="103" spans="1:9" ht="15.75" x14ac:dyDescent="0.25">
      <c r="A103" s="164"/>
      <c r="B103" s="165">
        <f>DATE(20,10,1)</f>
        <v>7580</v>
      </c>
      <c r="C103" s="226">
        <v>153697637.43000001</v>
      </c>
      <c r="D103" s="226">
        <v>14284849.609999999</v>
      </c>
      <c r="E103" s="226">
        <v>16080736.01</v>
      </c>
      <c r="F103" s="166">
        <f t="shared" si="27"/>
        <v>-0.11167936585012071</v>
      </c>
      <c r="G103" s="241">
        <f t="shared" si="28"/>
        <v>9.2941243917987262E-2</v>
      </c>
      <c r="H103" s="242">
        <f t="shared" si="29"/>
        <v>0.9070587560820127</v>
      </c>
      <c r="I103" s="157"/>
    </row>
    <row r="104" spans="1:9" ht="15.75" x14ac:dyDescent="0.25">
      <c r="A104" s="164"/>
      <c r="B104" s="165">
        <f>DATE(20,11,1)</f>
        <v>7611</v>
      </c>
      <c r="C104" s="226">
        <v>132944210.06999999</v>
      </c>
      <c r="D104" s="226">
        <v>12348288.83</v>
      </c>
      <c r="E104" s="226">
        <v>17058182.91</v>
      </c>
      <c r="F104" s="166">
        <f t="shared" si="27"/>
        <v>-0.276107607993752</v>
      </c>
      <c r="G104" s="241">
        <f t="shared" si="28"/>
        <v>9.2883238942848084E-2</v>
      </c>
      <c r="H104" s="242">
        <f t="shared" si="29"/>
        <v>0.90711676105715189</v>
      </c>
      <c r="I104" s="157"/>
    </row>
    <row r="105" spans="1:9" ht="15.75" x14ac:dyDescent="0.25">
      <c r="A105" s="164"/>
      <c r="B105" s="165">
        <f>DATE(20,12,1)</f>
        <v>7641</v>
      </c>
      <c r="C105" s="226">
        <v>134457499.72999999</v>
      </c>
      <c r="D105" s="226">
        <v>12123166.43</v>
      </c>
      <c r="E105" s="226">
        <v>16970606.43</v>
      </c>
      <c r="F105" s="166">
        <f t="shared" si="27"/>
        <v>-0.28563740606410376</v>
      </c>
      <c r="G105" s="241">
        <f t="shared" si="28"/>
        <v>9.0163556918313681E-2</v>
      </c>
      <c r="H105" s="242">
        <f t="shared" si="29"/>
        <v>0.90983644308168632</v>
      </c>
      <c r="I105" s="157"/>
    </row>
    <row r="106" spans="1:9" ht="15.75" x14ac:dyDescent="0.25">
      <c r="A106" s="164"/>
      <c r="B106" s="165">
        <f>DATE(21,1,1)</f>
        <v>7672</v>
      </c>
      <c r="C106" s="226">
        <v>139802539.06999999</v>
      </c>
      <c r="D106" s="226">
        <v>13355551.67</v>
      </c>
      <c r="E106" s="226">
        <v>16027792.039999999</v>
      </c>
      <c r="F106" s="166">
        <f t="shared" si="27"/>
        <v>-0.166725420652513</v>
      </c>
      <c r="G106" s="241">
        <f t="shared" si="28"/>
        <v>9.5531538689099152E-2</v>
      </c>
      <c r="H106" s="242">
        <f t="shared" si="29"/>
        <v>0.90446846131090086</v>
      </c>
      <c r="I106" s="157"/>
    </row>
    <row r="107" spans="1:9" ht="15.75" thickBot="1" x14ac:dyDescent="0.25">
      <c r="A107" s="167"/>
      <c r="B107" s="168"/>
      <c r="C107" s="226"/>
      <c r="D107" s="226"/>
      <c r="E107" s="226"/>
      <c r="F107" s="166"/>
      <c r="G107" s="241"/>
      <c r="H107" s="242"/>
      <c r="I107" s="157"/>
    </row>
    <row r="108" spans="1:9" ht="17.25" thickTop="1" thickBot="1" x14ac:dyDescent="0.3">
      <c r="A108" s="174" t="s">
        <v>14</v>
      </c>
      <c r="B108" s="175"/>
      <c r="C108" s="228">
        <f>SUM(C100:C107)</f>
        <v>984050413.17999983</v>
      </c>
      <c r="D108" s="228">
        <f>SUM(D100:D107)</f>
        <v>92021490.140000001</v>
      </c>
      <c r="E108" s="228">
        <f>SUM(E100:E107)</f>
        <v>115200410.38999999</v>
      </c>
      <c r="F108" s="176">
        <f>(+D108-E108)/E108</f>
        <v>-0.20120518817189942</v>
      </c>
      <c r="G108" s="249">
        <f>D108/C108</f>
        <v>9.3512983590575124E-2</v>
      </c>
      <c r="H108" s="270">
        <f>1-G108</f>
        <v>0.90648701640942486</v>
      </c>
      <c r="I108" s="157"/>
    </row>
    <row r="109" spans="1:9" ht="15.75" thickTop="1" x14ac:dyDescent="0.2">
      <c r="A109" s="167"/>
      <c r="B109" s="168"/>
      <c r="C109" s="226"/>
      <c r="D109" s="226"/>
      <c r="E109" s="226"/>
      <c r="F109" s="166"/>
      <c r="G109" s="241"/>
      <c r="H109" s="242"/>
      <c r="I109" s="157"/>
    </row>
    <row r="110" spans="1:9" ht="15.75" x14ac:dyDescent="0.25">
      <c r="A110" s="164" t="s">
        <v>55</v>
      </c>
      <c r="B110" s="165">
        <f>DATE(20,7,1)</f>
        <v>7488</v>
      </c>
      <c r="C110" s="226">
        <v>25124152.59</v>
      </c>
      <c r="D110" s="226">
        <v>2784731.95</v>
      </c>
      <c r="E110" s="226">
        <v>2612988.94</v>
      </c>
      <c r="F110" s="166">
        <f t="shared" ref="F110:F116" si="30">(+D110-E110)/E110</f>
        <v>6.5726650186280641E-2</v>
      </c>
      <c r="G110" s="241">
        <f t="shared" ref="G110:G116" si="31">D110/C110</f>
        <v>0.11083884083351685</v>
      </c>
      <c r="H110" s="242">
        <f t="shared" ref="H110:H116" si="32">1-G110</f>
        <v>0.88916115916648319</v>
      </c>
      <c r="I110" s="157"/>
    </row>
    <row r="111" spans="1:9" ht="15.75" x14ac:dyDescent="0.25">
      <c r="A111" s="164"/>
      <c r="B111" s="165">
        <f>DATE(20,8,1)</f>
        <v>7519</v>
      </c>
      <c r="C111" s="226">
        <v>26128366.460000001</v>
      </c>
      <c r="D111" s="226">
        <v>2961173.82</v>
      </c>
      <c r="E111" s="226">
        <v>2826240.12</v>
      </c>
      <c r="F111" s="166">
        <f t="shared" si="30"/>
        <v>4.7743183264980227E-2</v>
      </c>
      <c r="G111" s="241">
        <f t="shared" si="31"/>
        <v>0.1133317624174198</v>
      </c>
      <c r="H111" s="242">
        <f t="shared" si="32"/>
        <v>0.88666823758258018</v>
      </c>
      <c r="I111" s="157"/>
    </row>
    <row r="112" spans="1:9" ht="15.75" x14ac:dyDescent="0.25">
      <c r="A112" s="164"/>
      <c r="B112" s="165">
        <f>DATE(20,9,1)</f>
        <v>7550</v>
      </c>
      <c r="C112" s="226">
        <v>25242024.670000002</v>
      </c>
      <c r="D112" s="226">
        <v>2707604.99</v>
      </c>
      <c r="E112" s="226">
        <v>2549839.52</v>
      </c>
      <c r="F112" s="166">
        <f t="shared" si="30"/>
        <v>6.1872705620313002E-2</v>
      </c>
      <c r="G112" s="241">
        <f t="shared" si="31"/>
        <v>0.10726576118190602</v>
      </c>
      <c r="H112" s="242">
        <f t="shared" si="32"/>
        <v>0.89273423881809399</v>
      </c>
      <c r="I112" s="157"/>
    </row>
    <row r="113" spans="1:9" ht="15.75" x14ac:dyDescent="0.25">
      <c r="A113" s="164"/>
      <c r="B113" s="165">
        <f>DATE(20,10,1)</f>
        <v>7580</v>
      </c>
      <c r="C113" s="226">
        <v>24651178.559999999</v>
      </c>
      <c r="D113" s="226">
        <v>2777127.87</v>
      </c>
      <c r="E113" s="226">
        <v>2654170.6800000002</v>
      </c>
      <c r="F113" s="166">
        <f t="shared" si="30"/>
        <v>4.6326029793984438E-2</v>
      </c>
      <c r="G113" s="241">
        <f t="shared" si="31"/>
        <v>0.11265700190522657</v>
      </c>
      <c r="H113" s="242">
        <f t="shared" si="32"/>
        <v>0.88734299809477346</v>
      </c>
      <c r="I113" s="157"/>
    </row>
    <row r="114" spans="1:9" ht="15.75" x14ac:dyDescent="0.25">
      <c r="A114" s="164"/>
      <c r="B114" s="165">
        <f>DATE(20,11,1)</f>
        <v>7611</v>
      </c>
      <c r="C114" s="226">
        <v>22778053.699999999</v>
      </c>
      <c r="D114" s="226">
        <v>2545068.2999999998</v>
      </c>
      <c r="E114" s="226">
        <v>2750246.46</v>
      </c>
      <c r="F114" s="166">
        <f t="shared" si="30"/>
        <v>-7.4603553893857269E-2</v>
      </c>
      <c r="G114" s="241">
        <f t="shared" si="31"/>
        <v>0.11173335235398096</v>
      </c>
      <c r="H114" s="242">
        <f t="shared" si="32"/>
        <v>0.88826664764601904</v>
      </c>
      <c r="I114" s="157"/>
    </row>
    <row r="115" spans="1:9" ht="15.75" x14ac:dyDescent="0.25">
      <c r="A115" s="164"/>
      <c r="B115" s="165">
        <f>DATE(20,12,1)</f>
        <v>7641</v>
      </c>
      <c r="C115" s="226">
        <v>28927212.960000001</v>
      </c>
      <c r="D115" s="226">
        <v>3275319.33</v>
      </c>
      <c r="E115" s="226">
        <v>2678793.62</v>
      </c>
      <c r="F115" s="166">
        <f t="shared" si="30"/>
        <v>0.22268445973079476</v>
      </c>
      <c r="G115" s="241">
        <f t="shared" si="31"/>
        <v>0.11322623214787575</v>
      </c>
      <c r="H115" s="242">
        <f t="shared" si="32"/>
        <v>0.88677376785212425</v>
      </c>
      <c r="I115" s="157"/>
    </row>
    <row r="116" spans="1:9" ht="15.75" x14ac:dyDescent="0.25">
      <c r="A116" s="164"/>
      <c r="B116" s="165">
        <f>DATE(21,1,1)</f>
        <v>7672</v>
      </c>
      <c r="C116" s="226">
        <v>30658477.870000001</v>
      </c>
      <c r="D116" s="226">
        <v>3376789.13</v>
      </c>
      <c r="E116" s="226">
        <v>2358042.2999999998</v>
      </c>
      <c r="F116" s="166">
        <f t="shared" si="30"/>
        <v>0.43203076976184868</v>
      </c>
      <c r="G116" s="241">
        <f t="shared" si="31"/>
        <v>0.11014209982369225</v>
      </c>
      <c r="H116" s="242">
        <f t="shared" si="32"/>
        <v>0.88985790017630773</v>
      </c>
      <c r="I116" s="157"/>
    </row>
    <row r="117" spans="1:9" ht="15.75" thickBot="1" x14ac:dyDescent="0.25">
      <c r="A117" s="167"/>
      <c r="B117" s="168"/>
      <c r="C117" s="226"/>
      <c r="D117" s="226"/>
      <c r="E117" s="226"/>
      <c r="F117" s="166"/>
      <c r="G117" s="241"/>
      <c r="H117" s="242"/>
      <c r="I117" s="157"/>
    </row>
    <row r="118" spans="1:9" ht="17.25" thickTop="1" thickBot="1" x14ac:dyDescent="0.3">
      <c r="A118" s="182" t="s">
        <v>14</v>
      </c>
      <c r="B118" s="183"/>
      <c r="C118" s="230">
        <f>SUM(C110:C117)</f>
        <v>183509466.81</v>
      </c>
      <c r="D118" s="230">
        <f>SUM(D110:D117)</f>
        <v>20427815.389999997</v>
      </c>
      <c r="E118" s="230">
        <f>SUM(E110:E117)</f>
        <v>18430321.640000001</v>
      </c>
      <c r="F118" s="176">
        <f>(+D118-E118)/E118</f>
        <v>0.10838084049845134</v>
      </c>
      <c r="G118" s="249">
        <f>D118/C118</f>
        <v>0.1113175017349395</v>
      </c>
      <c r="H118" s="246">
        <f>1-G118</f>
        <v>0.88868249826506052</v>
      </c>
      <c r="I118" s="157"/>
    </row>
    <row r="119" spans="1:9" ht="15.75" thickTop="1" x14ac:dyDescent="0.2">
      <c r="A119" s="167"/>
      <c r="B119" s="168"/>
      <c r="C119" s="226"/>
      <c r="D119" s="226"/>
      <c r="E119" s="226"/>
      <c r="F119" s="166"/>
      <c r="G119" s="241"/>
      <c r="H119" s="242"/>
      <c r="I119" s="157"/>
    </row>
    <row r="120" spans="1:9" ht="15.75" x14ac:dyDescent="0.25">
      <c r="A120" s="164" t="s">
        <v>37</v>
      </c>
      <c r="B120" s="165">
        <f>DATE(20,7,1)</f>
        <v>7488</v>
      </c>
      <c r="C120" s="226">
        <v>193788423.05000001</v>
      </c>
      <c r="D120" s="226">
        <v>17781520.260000002</v>
      </c>
      <c r="E120" s="226">
        <v>19119192.239999998</v>
      </c>
      <c r="F120" s="166">
        <f t="shared" ref="F120:F126" si="33">(+D120-E120)/E120</f>
        <v>-6.9964879436768337E-2</v>
      </c>
      <c r="G120" s="241">
        <f t="shared" ref="G120:G126" si="34">D120/C120</f>
        <v>9.1757391799468485E-2</v>
      </c>
      <c r="H120" s="242">
        <f t="shared" ref="H120:H126" si="35">1-G120</f>
        <v>0.90824260820053149</v>
      </c>
      <c r="I120" s="157"/>
    </row>
    <row r="121" spans="1:9" ht="15.75" x14ac:dyDescent="0.25">
      <c r="A121" s="164"/>
      <c r="B121" s="165">
        <f>DATE(20,8,1)</f>
        <v>7519</v>
      </c>
      <c r="C121" s="226">
        <v>187407837.13</v>
      </c>
      <c r="D121" s="226">
        <v>17286123.989999998</v>
      </c>
      <c r="E121" s="226">
        <v>19394509.940000001</v>
      </c>
      <c r="F121" s="166">
        <f t="shared" si="33"/>
        <v>-0.10871045241785587</v>
      </c>
      <c r="G121" s="241">
        <f t="shared" si="34"/>
        <v>9.223799951337712E-2</v>
      </c>
      <c r="H121" s="242">
        <f t="shared" si="35"/>
        <v>0.90776200048662292</v>
      </c>
      <c r="I121" s="157"/>
    </row>
    <row r="122" spans="1:9" ht="15.75" x14ac:dyDescent="0.25">
      <c r="A122" s="164"/>
      <c r="B122" s="165">
        <f>DATE(20,9,1)</f>
        <v>7550</v>
      </c>
      <c r="C122" s="226">
        <v>182127854.37</v>
      </c>
      <c r="D122" s="226">
        <v>16702603.76</v>
      </c>
      <c r="E122" s="226">
        <v>17543226.640000001</v>
      </c>
      <c r="F122" s="166">
        <f t="shared" si="33"/>
        <v>-4.7917233086604005E-2</v>
      </c>
      <c r="G122" s="241">
        <f t="shared" si="34"/>
        <v>9.1708123492565796E-2</v>
      </c>
      <c r="H122" s="242">
        <f t="shared" si="35"/>
        <v>0.90829187650743415</v>
      </c>
      <c r="I122" s="157"/>
    </row>
    <row r="123" spans="1:9" ht="15.75" x14ac:dyDescent="0.25">
      <c r="A123" s="164"/>
      <c r="B123" s="165">
        <f>DATE(20,10,1)</f>
        <v>7580</v>
      </c>
      <c r="C123" s="226">
        <v>186473597.18000001</v>
      </c>
      <c r="D123" s="226">
        <v>17754592.84</v>
      </c>
      <c r="E123" s="226">
        <v>18312994.41</v>
      </c>
      <c r="F123" s="166">
        <f t="shared" si="33"/>
        <v>-3.0492095257511755E-2</v>
      </c>
      <c r="G123" s="241">
        <f t="shared" si="34"/>
        <v>9.5212368445178719E-2</v>
      </c>
      <c r="H123" s="242">
        <f t="shared" si="35"/>
        <v>0.90478763155482134</v>
      </c>
      <c r="I123" s="157"/>
    </row>
    <row r="124" spans="1:9" ht="15.75" x14ac:dyDescent="0.25">
      <c r="A124" s="164"/>
      <c r="B124" s="165">
        <f>DATE(20,11,1)</f>
        <v>7611</v>
      </c>
      <c r="C124" s="226">
        <v>166737487.81</v>
      </c>
      <c r="D124" s="226">
        <v>15307588.33</v>
      </c>
      <c r="E124" s="226">
        <v>17726569.68</v>
      </c>
      <c r="F124" s="166">
        <f t="shared" si="33"/>
        <v>-0.13646077011330709</v>
      </c>
      <c r="G124" s="241">
        <f t="shared" si="34"/>
        <v>9.1806518924186009E-2</v>
      </c>
      <c r="H124" s="242">
        <f t="shared" si="35"/>
        <v>0.90819348107581399</v>
      </c>
      <c r="I124" s="157"/>
    </row>
    <row r="125" spans="1:9" ht="15.75" x14ac:dyDescent="0.25">
      <c r="A125" s="164"/>
      <c r="B125" s="165">
        <f>DATE(20,12,1)</f>
        <v>7641</v>
      </c>
      <c r="C125" s="226">
        <v>206068326.33000001</v>
      </c>
      <c r="D125" s="226">
        <v>19390114.289999999</v>
      </c>
      <c r="E125" s="226">
        <v>17987460.18</v>
      </c>
      <c r="F125" s="166">
        <f t="shared" si="33"/>
        <v>7.7979553309009714E-2</v>
      </c>
      <c r="G125" s="241">
        <f t="shared" si="34"/>
        <v>9.4095558668965282E-2</v>
      </c>
      <c r="H125" s="242">
        <f t="shared" si="35"/>
        <v>0.90590444133103476</v>
      </c>
      <c r="I125" s="157"/>
    </row>
    <row r="126" spans="1:9" ht="15.75" x14ac:dyDescent="0.25">
      <c r="A126" s="164"/>
      <c r="B126" s="165">
        <f>DATE(21,1,1)</f>
        <v>7672</v>
      </c>
      <c r="C126" s="226">
        <v>233360885</v>
      </c>
      <c r="D126" s="226">
        <v>21258676.82</v>
      </c>
      <c r="E126" s="226">
        <v>17177529.199999999</v>
      </c>
      <c r="F126" s="166">
        <f t="shared" si="33"/>
        <v>0.23758641725959059</v>
      </c>
      <c r="G126" s="241">
        <f t="shared" si="34"/>
        <v>9.1097858237896207E-2</v>
      </c>
      <c r="H126" s="242">
        <f t="shared" si="35"/>
        <v>0.90890214176210382</v>
      </c>
      <c r="I126" s="157"/>
    </row>
    <row r="127" spans="1:9" ht="15.75" thickBot="1" x14ac:dyDescent="0.25">
      <c r="A127" s="167"/>
      <c r="B127" s="168"/>
      <c r="C127" s="226"/>
      <c r="D127" s="226"/>
      <c r="E127" s="226"/>
      <c r="F127" s="166"/>
      <c r="G127" s="241"/>
      <c r="H127" s="242"/>
      <c r="I127" s="157"/>
    </row>
    <row r="128" spans="1:9" ht="17.25" thickTop="1" thickBot="1" x14ac:dyDescent="0.3">
      <c r="A128" s="174" t="s">
        <v>14</v>
      </c>
      <c r="B128" s="175"/>
      <c r="C128" s="228">
        <f>SUM(C120:C127)</f>
        <v>1355964410.8699999</v>
      </c>
      <c r="D128" s="228">
        <f>SUM(D120:D127)</f>
        <v>125481220.28999999</v>
      </c>
      <c r="E128" s="228">
        <f>SUM(E120:E127)</f>
        <v>127261482.29000001</v>
      </c>
      <c r="F128" s="176">
        <f>(+D128-E128)/E128</f>
        <v>-1.3989008834135707E-2</v>
      </c>
      <c r="G128" s="245">
        <f>D128/C128</f>
        <v>9.2540201854921858E-2</v>
      </c>
      <c r="H128" s="246">
        <f>1-G128</f>
        <v>0.90745979814507816</v>
      </c>
      <c r="I128" s="157"/>
    </row>
    <row r="129" spans="1:9" ht="15.75" thickTop="1" x14ac:dyDescent="0.2">
      <c r="A129" s="167"/>
      <c r="B129" s="168"/>
      <c r="C129" s="226"/>
      <c r="D129" s="226"/>
      <c r="E129" s="226"/>
      <c r="F129" s="166"/>
      <c r="G129" s="241"/>
      <c r="H129" s="242"/>
      <c r="I129" s="157"/>
    </row>
    <row r="130" spans="1:9" ht="15.75" x14ac:dyDescent="0.25">
      <c r="A130" s="164" t="s">
        <v>58</v>
      </c>
      <c r="B130" s="165">
        <f>DATE(20,7,1)</f>
        <v>7488</v>
      </c>
      <c r="C130" s="226">
        <v>30630065.859999999</v>
      </c>
      <c r="D130" s="226">
        <v>3357321.79</v>
      </c>
      <c r="E130" s="226">
        <v>3293709.88</v>
      </c>
      <c r="F130" s="166">
        <f t="shared" ref="F130:F136" si="36">(+D130-E130)/E130</f>
        <v>1.9313149098608574E-2</v>
      </c>
      <c r="G130" s="241">
        <f t="shared" ref="G130:G136" si="37">D130/C130</f>
        <v>0.10960870294387282</v>
      </c>
      <c r="H130" s="242">
        <f t="shared" ref="H130:H136" si="38">1-G130</f>
        <v>0.89039129705612718</v>
      </c>
      <c r="I130" s="157"/>
    </row>
    <row r="131" spans="1:9" ht="15.75" x14ac:dyDescent="0.25">
      <c r="A131" s="164"/>
      <c r="B131" s="165">
        <f>DATE(20,8,1)</f>
        <v>7519</v>
      </c>
      <c r="C131" s="226">
        <v>29521795.920000002</v>
      </c>
      <c r="D131" s="226">
        <v>3360444.04</v>
      </c>
      <c r="E131" s="226">
        <v>3283356.99</v>
      </c>
      <c r="F131" s="166">
        <f t="shared" si="36"/>
        <v>2.3478120178457906E-2</v>
      </c>
      <c r="G131" s="241">
        <f t="shared" si="37"/>
        <v>0.11382925514106053</v>
      </c>
      <c r="H131" s="242">
        <f t="shared" si="38"/>
        <v>0.88617074485893943</v>
      </c>
      <c r="I131" s="157"/>
    </row>
    <row r="132" spans="1:9" ht="15.75" x14ac:dyDescent="0.25">
      <c r="A132" s="164"/>
      <c r="B132" s="165">
        <f>DATE(20,9,1)</f>
        <v>7550</v>
      </c>
      <c r="C132" s="226">
        <v>27722632.809999999</v>
      </c>
      <c r="D132" s="226">
        <v>3031984.28</v>
      </c>
      <c r="E132" s="226">
        <v>3164787.25</v>
      </c>
      <c r="F132" s="166">
        <f t="shared" si="36"/>
        <v>-4.1962684853460594E-2</v>
      </c>
      <c r="G132" s="241">
        <f t="shared" si="37"/>
        <v>0.10936855459508574</v>
      </c>
      <c r="H132" s="242">
        <f t="shared" si="38"/>
        <v>0.89063144540491423</v>
      </c>
      <c r="I132" s="157"/>
    </row>
    <row r="133" spans="1:9" ht="15.75" x14ac:dyDescent="0.25">
      <c r="A133" s="164"/>
      <c r="B133" s="165">
        <f>DATE(20,10,1)</f>
        <v>7580</v>
      </c>
      <c r="C133" s="226">
        <v>24051972.260000002</v>
      </c>
      <c r="D133" s="226">
        <v>2770053.1200000001</v>
      </c>
      <c r="E133" s="226">
        <v>3114034.79</v>
      </c>
      <c r="F133" s="166">
        <f t="shared" si="36"/>
        <v>-0.11046172994104536</v>
      </c>
      <c r="G133" s="241">
        <f t="shared" si="37"/>
        <v>0.11516947924502553</v>
      </c>
      <c r="H133" s="242">
        <f t="shared" si="38"/>
        <v>0.88483052075497448</v>
      </c>
      <c r="I133" s="157"/>
    </row>
    <row r="134" spans="1:9" ht="15.75" x14ac:dyDescent="0.25">
      <c r="A134" s="164"/>
      <c r="B134" s="165">
        <f>DATE(20,11,1)</f>
        <v>7611</v>
      </c>
      <c r="C134" s="226">
        <v>21330939.300000001</v>
      </c>
      <c r="D134" s="226">
        <v>2396488.16</v>
      </c>
      <c r="E134" s="226">
        <v>3192066.7</v>
      </c>
      <c r="F134" s="166">
        <f t="shared" si="36"/>
        <v>-0.24923618920619672</v>
      </c>
      <c r="G134" s="241">
        <f t="shared" si="37"/>
        <v>0.11234799022657198</v>
      </c>
      <c r="H134" s="242">
        <f t="shared" si="38"/>
        <v>0.88765200977342806</v>
      </c>
      <c r="I134" s="157"/>
    </row>
    <row r="135" spans="1:9" ht="15.75" x14ac:dyDescent="0.25">
      <c r="A135" s="164"/>
      <c r="B135" s="165">
        <f>DATE(20,12,1)</f>
        <v>7641</v>
      </c>
      <c r="C135" s="226">
        <v>23281170.02</v>
      </c>
      <c r="D135" s="226">
        <v>2648752.5099999998</v>
      </c>
      <c r="E135" s="226">
        <v>3336598.49</v>
      </c>
      <c r="F135" s="166">
        <f t="shared" si="36"/>
        <v>-0.20615185856539797</v>
      </c>
      <c r="G135" s="241">
        <f t="shared" si="37"/>
        <v>0.11377231074402848</v>
      </c>
      <c r="H135" s="242">
        <f t="shared" si="38"/>
        <v>0.88622768925597151</v>
      </c>
      <c r="I135" s="157"/>
    </row>
    <row r="136" spans="1:9" ht="15.75" x14ac:dyDescent="0.25">
      <c r="A136" s="164"/>
      <c r="B136" s="165">
        <f>DATE(21,1,1)</f>
        <v>7672</v>
      </c>
      <c r="C136" s="226">
        <v>26242266.289999999</v>
      </c>
      <c r="D136" s="226">
        <v>3041407.25</v>
      </c>
      <c r="E136" s="226">
        <v>3179496.92</v>
      </c>
      <c r="F136" s="166">
        <f t="shared" si="36"/>
        <v>-4.3431295413866901E-2</v>
      </c>
      <c r="G136" s="241">
        <f t="shared" si="37"/>
        <v>0.11589727870260096</v>
      </c>
      <c r="H136" s="242">
        <f t="shared" si="38"/>
        <v>0.88410272129739909</v>
      </c>
      <c r="I136" s="157"/>
    </row>
    <row r="137" spans="1:9" ht="15.75" thickBot="1" x14ac:dyDescent="0.25">
      <c r="A137" s="167"/>
      <c r="B137" s="168"/>
      <c r="C137" s="226"/>
      <c r="D137" s="226"/>
      <c r="E137" s="226"/>
      <c r="F137" s="166"/>
      <c r="G137" s="241"/>
      <c r="H137" s="242"/>
      <c r="I137" s="157"/>
    </row>
    <row r="138" spans="1:9" ht="17.25" thickTop="1" thickBot="1" x14ac:dyDescent="0.3">
      <c r="A138" s="169" t="s">
        <v>14</v>
      </c>
      <c r="B138" s="155"/>
      <c r="C138" s="223">
        <f>SUM(C130:C137)</f>
        <v>182780842.46000001</v>
      </c>
      <c r="D138" s="223">
        <f>SUM(D130:D137)</f>
        <v>20606451.149999999</v>
      </c>
      <c r="E138" s="223">
        <f>SUM(E130:E137)</f>
        <v>22564051.020000003</v>
      </c>
      <c r="F138" s="176">
        <f>(+D138-E138)/E138</f>
        <v>-8.6757465149536098E-2</v>
      </c>
      <c r="G138" s="245">
        <f>D138/C138</f>
        <v>0.1127385719020829</v>
      </c>
      <c r="H138" s="246">
        <f>1-G138</f>
        <v>0.88726142809791708</v>
      </c>
      <c r="I138" s="157"/>
    </row>
    <row r="139" spans="1:9" ht="16.5" thickTop="1" thickBot="1" x14ac:dyDescent="0.25">
      <c r="A139" s="171"/>
      <c r="B139" s="172"/>
      <c r="C139" s="227"/>
      <c r="D139" s="227"/>
      <c r="E139" s="227"/>
      <c r="F139" s="173"/>
      <c r="G139" s="243"/>
      <c r="H139" s="244"/>
      <c r="I139" s="157"/>
    </row>
    <row r="140" spans="1:9" ht="17.25" thickTop="1" thickBot="1" x14ac:dyDescent="0.3">
      <c r="A140" s="184" t="s">
        <v>38</v>
      </c>
      <c r="B140" s="155"/>
      <c r="C140" s="223">
        <f>C138+C128+C98+C78+C58+C38+C18+C48+C118+C28+C88+C108+C68</f>
        <v>8212066310.0600004</v>
      </c>
      <c r="D140" s="223">
        <f>D138+D128+D98+D78+D58+D38+D18+D48+D118+D28+D88+D108+D68</f>
        <v>802802286.64999998</v>
      </c>
      <c r="E140" s="223">
        <f>E138+E128+E98+E78+E58+E38+E18+E48+E118+E28+E88+E108+E68</f>
        <v>857393979.5999999</v>
      </c>
      <c r="F140" s="170">
        <f>(+D140-E140)/E140</f>
        <v>-6.367165416238238E-2</v>
      </c>
      <c r="G140" s="236">
        <f>D140/C140</f>
        <v>9.7758865593492075E-2</v>
      </c>
      <c r="H140" s="237">
        <f>1-G140</f>
        <v>0.90224113440650788</v>
      </c>
      <c r="I140" s="157"/>
    </row>
    <row r="141" spans="1:9" ht="17.25" thickTop="1" thickBot="1" x14ac:dyDescent="0.3">
      <c r="A141" s="184"/>
      <c r="B141" s="155"/>
      <c r="C141" s="223"/>
      <c r="D141" s="223"/>
      <c r="E141" s="223"/>
      <c r="F141" s="170"/>
      <c r="G141" s="236"/>
      <c r="H141" s="237"/>
      <c r="I141" s="157"/>
    </row>
    <row r="142" spans="1:9" ht="17.25" thickTop="1" thickBot="1" x14ac:dyDescent="0.3">
      <c r="A142" s="184" t="s">
        <v>39</v>
      </c>
      <c r="B142" s="155"/>
      <c r="C142" s="223">
        <f>SUM(C16+C26+C36+C46+C56+C66+C76+C86+C96+C106+C116+C126+C136)</f>
        <v>1303415542.4000001</v>
      </c>
      <c r="D142" s="223">
        <f>SUM(D16+D26+D36+D46+D56+D66+D76+D86+D96+D106+D116+D126+D136)</f>
        <v>127773712.99000001</v>
      </c>
      <c r="E142" s="223">
        <f>SUM(E16+E26+E36+E46+E56+E66+E76+E86+E96+E106+E116+E126+E136)</f>
        <v>116214466.05</v>
      </c>
      <c r="F142" s="170">
        <f>(+D142-E142)/E142</f>
        <v>9.9464785520132867E-2</v>
      </c>
      <c r="G142" s="236">
        <f>D142/C142</f>
        <v>9.8029913587441356E-2</v>
      </c>
      <c r="H142" s="246">
        <f>1-G142</f>
        <v>0.9019700864125586</v>
      </c>
      <c r="I142" s="157"/>
    </row>
    <row r="143" spans="1:9" ht="16.5" thickTop="1" x14ac:dyDescent="0.25">
      <c r="A143" s="185"/>
      <c r="B143" s="186"/>
      <c r="C143" s="231"/>
      <c r="D143" s="231"/>
      <c r="E143" s="231"/>
      <c r="F143" s="187"/>
      <c r="G143" s="250"/>
      <c r="H143" s="250"/>
      <c r="I143" s="151"/>
    </row>
    <row r="144" spans="1:9" ht="16.5" customHeight="1" x14ac:dyDescent="0.3">
      <c r="A144" s="188" t="s">
        <v>49</v>
      </c>
      <c r="B144" s="189"/>
      <c r="C144" s="232"/>
      <c r="D144" s="232"/>
      <c r="E144" s="232"/>
      <c r="F144" s="190"/>
      <c r="G144" s="251"/>
      <c r="H144" s="251"/>
      <c r="I144" s="151"/>
    </row>
    <row r="145" spans="1:9" ht="15.75" x14ac:dyDescent="0.25">
      <c r="A145" s="191"/>
      <c r="B145" s="189"/>
      <c r="C145" s="232"/>
      <c r="D145" s="232"/>
      <c r="E145" s="232"/>
      <c r="F145" s="190"/>
      <c r="G145" s="257"/>
      <c r="H145" s="257"/>
      <c r="I145" s="151"/>
    </row>
    <row r="146" spans="1:9" ht="15.75" x14ac:dyDescent="0.25">
      <c r="A146" s="72"/>
      <c r="I146" s="151"/>
    </row>
  </sheetData>
  <phoneticPr fontId="0" type="noConversion"/>
  <printOptions horizontalCentered="1"/>
  <pageMargins left="0.75" right="0.25" top="0.31940000000000002" bottom="0.2" header="0.5" footer="0.5"/>
  <pageSetup scale="63" orientation="landscape" r:id="rId1"/>
  <headerFooter alignWithMargins="0"/>
  <rowBreaks count="3" manualBreakCount="3">
    <brk id="48" max="8" man="1"/>
    <brk id="88" max="8" man="1"/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2021-02-09T14:16:44Z</cp:lastPrinted>
  <dcterms:created xsi:type="dcterms:W3CDTF">2003-09-09T14:41:43Z</dcterms:created>
  <dcterms:modified xsi:type="dcterms:W3CDTF">2021-02-09T20:37:23Z</dcterms:modified>
</cp:coreProperties>
</file>