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STATS'!$A$1:$M$104</definedName>
    <definedName name="_xlnm.Print_Area" localSheetId="3">'SLOT STATS'!$A$1:$I$105</definedName>
    <definedName name="_xlnm.Print_Area" localSheetId="2">'TABLE STATS'!$A$1:$H$104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<sst xmlns="http://schemas.openxmlformats.org/spreadsheetml/2006/main" count="192" uniqueCount="75">
  <si>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</si>
  <si>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</si>
  <si>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</si>
  <si>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</si>
  <si>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</si>
  <si>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</si>
  <si>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</si>
  <si>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</si>
  <si>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</si>
  <si>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</si>
  <si>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</si>
  <si>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</si>
  <si>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</si>
  <si>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</si>
  <si>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</si>
  <si>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</si>
  <si>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</si>
  <si>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</si>
  <si>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</si>
  <si>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</si>
  <si>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</si>
  <si>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</si>
  <si>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</si>
  <si>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</si>
  <si>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</si>
  <si>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</si>
  <si>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</si>
  <si>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</si>
  <si>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</si>
  <si>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</si>
  <si>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</si>
  <si>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</si>
  <si>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</si>
  <si>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</si>
  <si>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</si>
  <si>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</si>
  <si>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</si>
  <si>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</si>
  <si>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</si>
  <si>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</si>
  <si>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</si>
  <si>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</si>
  <si>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</si>
  <si>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</si>
  <si>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</si>
  <si>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</si>
  <si>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</si>
  <si>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</si>
  <si>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</si>
  <si>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</si>
  <si>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</si>
  <si>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</si>
  <si>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</si>
  <si>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</si>
  <si>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</si>
  <si>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</si>
  <si>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</si>
  <si>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</si>
  <si>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</si>
  <si>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</si>
  <si>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</si>
  <si>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</si>
  <si>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</si>
  <si>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</si>
  <si>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</si>
  <si>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</si>
  <si>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</si>
  <si>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</si>
  <si>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2020 YTD ADMISSIONS, PATRONS AND AGR SUMMARY </t>
  </si>
  <si>
    <t>MONTH ENDED:   OCTOBER 31, 2019</t>
  </si>
  <si>
    <t>(as reported on the tax remittal database dtd 11/7/19)</t>
  </si>
  <si>
    <t>FOR THE MONTH ENDED:   OCTOBER 31, 2019</t>
  </si>
  <si>
    <t>THRU MONTH ENDED:   OCTOBER 31, 2019</t>
  </si>
  <si>
    <t>(as reported on the tax remittal database as of 11/7/19)</t>
  </si>
  <si>
    <t>THRU MONTH ENDED:     OCTOBER 31,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</si>
</sst>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4"/>
  <sheetViews>
    <sheetView tabSelected="1" showOutlineSymbols="0" workbookViewId="0" topLeftCell="A1">
      <selection activeCell="A3" sqref="A3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DATE(2019,7,1)</f>
        <v>43647</v>
      </c>
      <c r="C9" s="21">
        <v>273819</v>
      </c>
      <c r="D9" s="22">
        <v>261456</v>
      </c>
      <c r="E9" s="23">
        <f>(+C9-D9)/D9</f>
        <v>0.04728520286396182</v>
      </c>
      <c r="F9" s="21">
        <f>+C9-121652</f>
        <v>152167</v>
      </c>
      <c r="G9" s="21">
        <f>+D9-122888</f>
        <v>138568</v>
      </c>
      <c r="H9" s="23">
        <f>(+F9-G9)/G9</f>
        <v>0.0981395415969055</v>
      </c>
      <c r="I9" s="24">
        <f>K9/C9</f>
        <v>53.293904623126956</v>
      </c>
      <c r="J9" s="24">
        <f>K9/F9</f>
        <v>95.9004493089829</v>
      </c>
      <c r="K9" s="21">
        <v>14592883.67</v>
      </c>
      <c r="L9" s="21">
        <v>13375050.09</v>
      </c>
      <c r="M9" s="25">
        <f>(+K9-L9)/L9</f>
        <v>0.09105263694754508</v>
      </c>
      <c r="N9" s="10"/>
      <c r="R9" s="2"/>
    </row>
    <row r="10" spans="1:18" ht="15.75">
      <c r="A10" s="19"/>
      <c r="B10" s="20">
        <f>DATE(2019,8,1)</f>
        <v>43678</v>
      </c>
      <c r="C10" s="21">
        <v>276880</v>
      </c>
      <c r="D10" s="22">
        <v>266367</v>
      </c>
      <c r="E10" s="23">
        <f>(+C10-D10)/D10</f>
        <v>0.03946810227993708</v>
      </c>
      <c r="F10" s="21">
        <f>+C10-123357</f>
        <v>153523</v>
      </c>
      <c r="G10" s="21">
        <f>+D10-122166</f>
        <v>144201</v>
      </c>
      <c r="H10" s="23">
        <f>(+F10-G10)/G10</f>
        <v>0.06464587624218972</v>
      </c>
      <c r="I10" s="24">
        <f>K10/C10</f>
        <v>52.376661297312914</v>
      </c>
      <c r="J10" s="24">
        <f>K10/F10</f>
        <v>94.46174175856386</v>
      </c>
      <c r="K10" s="21">
        <v>14502049.98</v>
      </c>
      <c r="L10" s="21">
        <v>13957901.84</v>
      </c>
      <c r="M10" s="25">
        <f>(+K10-L10)/L10</f>
        <v>0.03898495248337415</v>
      </c>
      <c r="N10" s="10"/>
      <c r="R10" s="2"/>
    </row>
    <row r="11" spans="1:18" ht="15.75">
      <c r="A11" s="19"/>
      <c r="B11" s="20">
        <f>DATE(2019,9,1)</f>
        <v>43709</v>
      </c>
      <c r="C11" s="21">
        <v>254028</v>
      </c>
      <c r="D11" s="22">
        <v>263613</v>
      </c>
      <c r="E11" s="23">
        <f>(+C11-D11)/D11</f>
        <v>-0.03636011881052907</v>
      </c>
      <c r="F11" s="21">
        <f>+C11-112781</f>
        <v>141247</v>
      </c>
      <c r="G11" s="21">
        <f>+D11-122145</f>
        <v>141468</v>
      </c>
      <c r="H11" s="23">
        <f>(+F11-G11)/G11</f>
        <v>-0.00156219074278282</v>
      </c>
      <c r="I11" s="24">
        <f>K11/C11</f>
        <v>50.2853637394303</v>
      </c>
      <c r="J11" s="24">
        <f>K11/F11</f>
        <v>90.43654293542518</v>
      </c>
      <c r="K11" s="21">
        <v>12773890.38</v>
      </c>
      <c r="L11" s="21">
        <v>13536102.3</v>
      </c>
      <c r="M11" s="25">
        <f>(+K11-L11)/L11</f>
        <v>-0.05630955670303998</v>
      </c>
      <c r="N11" s="10"/>
      <c r="R11" s="2"/>
    </row>
    <row r="12" spans="1:18" ht="15.75">
      <c r="A12" s="19"/>
      <c r="B12" s="20">
        <f>DATE(2019,10,1)</f>
        <v>43739</v>
      </c>
      <c r="C12" s="21">
        <v>250952</v>
      </c>
      <c r="D12" s="22">
        <v>264243</v>
      </c>
      <c r="E12" s="23">
        <f>(+C12-D12)/D12</f>
        <v>-0.05029839957917523</v>
      </c>
      <c r="F12" s="21">
        <f>+C12-113545</f>
        <v>137407</v>
      </c>
      <c r="G12" s="21">
        <f>+D12-121413</f>
        <v>142830</v>
      </c>
      <c r="H12" s="23">
        <f>(+F12-G12)/G12</f>
        <v>-0.03796821396065252</v>
      </c>
      <c r="I12" s="24">
        <f>K12/C12</f>
        <v>53.29527722432975</v>
      </c>
      <c r="J12" s="24">
        <f>K12/F12</f>
        <v>97.3353352449293</v>
      </c>
      <c r="K12" s="21">
        <v>13374556.41</v>
      </c>
      <c r="L12" s="21">
        <v>13965262.38</v>
      </c>
      <c r="M12" s="25">
        <f>(+K12-L12)/L12</f>
        <v>-0.04229823643313464</v>
      </c>
      <c r="N12" s="10"/>
      <c r="R12" s="2"/>
    </row>
    <row r="13" spans="1:18" ht="15.75" customHeight="1" thickBot="1">
      <c r="A13" s="19"/>
      <c r="B13" s="20"/>
      <c r="C13" s="21"/>
      <c r="D13" s="21"/>
      <c r="E13" s="23"/>
      <c r="F13" s="21"/>
      <c r="G13" s="21"/>
      <c r="H13" s="23"/>
      <c r="I13" s="24"/>
      <c r="J13" s="24"/>
      <c r="K13" s="21"/>
      <c r="L13" s="21"/>
      <c r="M13" s="25"/>
      <c r="N13" s="10"/>
      <c r="R13" s="2"/>
    </row>
    <row r="14" spans="1:18" ht="17.25" thickBot="1" thickTop="1">
      <c r="A14" s="26" t="s">
        <v>14</v>
      </c>
      <c r="B14" s="27"/>
      <c r="C14" s="28">
        <f>SUM(C9:C13)</f>
        <v>1055679</v>
      </c>
      <c r="D14" s="28">
        <f>SUM(D9:D13)</f>
        <v>1055679</v>
      </c>
      <c r="E14" s="279">
        <f>(+C14-D14)/D14</f>
        <v>0</v>
      </c>
      <c r="F14" s="28">
        <f>SUM(F9:F13)</f>
        <v>584344</v>
      </c>
      <c r="G14" s="28">
        <f>SUM(G9:G13)</f>
        <v>567067</v>
      </c>
      <c r="H14" s="30">
        <f>(+F14-G14)/G14</f>
        <v>0.030467299278568494</v>
      </c>
      <c r="I14" s="31">
        <f>K14/C14</f>
        <v>52.329714278677514</v>
      </c>
      <c r="J14" s="31">
        <f>K14/F14</f>
        <v>94.53914208069219</v>
      </c>
      <c r="K14" s="28">
        <f>SUM(K9:K13)</f>
        <v>55243380.44</v>
      </c>
      <c r="L14" s="28">
        <f>SUM(L9:L13)</f>
        <v>54834316.61000001</v>
      </c>
      <c r="M14" s="32">
        <f>(+K14-L14)/L14</f>
        <v>0.007459996864908329</v>
      </c>
      <c r="N14" s="10"/>
      <c r="R14" s="2"/>
    </row>
    <row r="15" spans="1:18" ht="15.75" customHeight="1" thickTop="1">
      <c r="A15" s="15"/>
      <c r="B15" s="16"/>
      <c r="C15" s="16"/>
      <c r="D15" s="16"/>
      <c r="E15" s="17"/>
      <c r="F15" s="16"/>
      <c r="G15" s="16"/>
      <c r="H15" s="17"/>
      <c r="I15" s="16"/>
      <c r="J15" s="16"/>
      <c r="K15" s="195"/>
      <c r="L15" s="195"/>
      <c r="M15" s="18"/>
      <c r="N15" s="10"/>
      <c r="R15" s="2"/>
    </row>
    <row r="16" spans="1:18" ht="15.75">
      <c r="A16" s="19" t="s">
        <v>15</v>
      </c>
      <c r="B16" s="20">
        <f>DATE(2019,7,1)</f>
        <v>43647</v>
      </c>
      <c r="C16" s="21">
        <v>128877</v>
      </c>
      <c r="D16" s="21">
        <v>142478</v>
      </c>
      <c r="E16" s="23">
        <f>(+C16-D16)/D16</f>
        <v>-0.09546035177360715</v>
      </c>
      <c r="F16" s="21">
        <f>+C16-61988</f>
        <v>66889</v>
      </c>
      <c r="G16" s="21">
        <f>+D16-67444</f>
        <v>75034</v>
      </c>
      <c r="H16" s="23">
        <f>(+F16-G16)/G16</f>
        <v>-0.10855079030839353</v>
      </c>
      <c r="I16" s="24">
        <f>K16/C16</f>
        <v>54.055501214336154</v>
      </c>
      <c r="J16" s="24">
        <f>K16/F16</f>
        <v>104.15032112903467</v>
      </c>
      <c r="K16" s="21">
        <v>6966510.83</v>
      </c>
      <c r="L16" s="21">
        <v>7374850.26</v>
      </c>
      <c r="M16" s="25">
        <f>(+K16-L16)/L16</f>
        <v>-0.05536918250595094</v>
      </c>
      <c r="N16" s="10"/>
      <c r="R16" s="2"/>
    </row>
    <row r="17" spans="1:18" ht="15.75">
      <c r="A17" s="19"/>
      <c r="B17" s="20">
        <f>DATE(2019,8,1)</f>
        <v>43678</v>
      </c>
      <c r="C17" s="21">
        <v>130133</v>
      </c>
      <c r="D17" s="21">
        <v>137794</v>
      </c>
      <c r="E17" s="23">
        <f>(+C17-D17)/D17</f>
        <v>-0.05559748610244278</v>
      </c>
      <c r="F17" s="21">
        <f>+C17-62200</f>
        <v>67933</v>
      </c>
      <c r="G17" s="21">
        <f>+D17-65911</f>
        <v>71883</v>
      </c>
      <c r="H17" s="23">
        <f>(+F17-G17)/G17</f>
        <v>-0.05495040552008124</v>
      </c>
      <c r="I17" s="24">
        <f>K17/C17</f>
        <v>53.532999700306604</v>
      </c>
      <c r="J17" s="24">
        <f>K17/F17</f>
        <v>102.54824385791882</v>
      </c>
      <c r="K17" s="21">
        <v>6966409.85</v>
      </c>
      <c r="L17" s="21">
        <v>7098601.26</v>
      </c>
      <c r="M17" s="25">
        <f>(+K17-L17)/L17</f>
        <v>-0.01862217712451145</v>
      </c>
      <c r="N17" s="10"/>
      <c r="R17" s="2"/>
    </row>
    <row r="18" spans="1:18" ht="15.75">
      <c r="A18" s="19"/>
      <c r="B18" s="20">
        <f>DATE(2019,9,1)</f>
        <v>43709</v>
      </c>
      <c r="C18" s="21">
        <v>118251</v>
      </c>
      <c r="D18" s="21">
        <v>137262</v>
      </c>
      <c r="E18" s="23">
        <f>(+C18-D18)/D18</f>
        <v>-0.13850155177689383</v>
      </c>
      <c r="F18" s="21">
        <f>+C18-55723</f>
        <v>62528</v>
      </c>
      <c r="G18" s="21">
        <f>+D18-65092</f>
        <v>72170</v>
      </c>
      <c r="H18" s="23">
        <f>(+F18-G18)/G18</f>
        <v>-0.1336012193432174</v>
      </c>
      <c r="I18" s="24">
        <f>K18/C18</f>
        <v>54.24698818614642</v>
      </c>
      <c r="J18" s="24">
        <f>K18/F18</f>
        <v>102.59020918628454</v>
      </c>
      <c r="K18" s="21">
        <v>6414760.6</v>
      </c>
      <c r="L18" s="21">
        <v>6514977.22</v>
      </c>
      <c r="M18" s="25">
        <f>(+K18-L18)/L18</f>
        <v>-0.015382497377327763</v>
      </c>
      <c r="N18" s="10"/>
      <c r="R18" s="2"/>
    </row>
    <row r="19" spans="1:18" ht="15.75">
      <c r="A19" s="19"/>
      <c r="B19" s="20">
        <f>DATE(2019,10,1)</f>
        <v>43739</v>
      </c>
      <c r="C19" s="21">
        <v>113052</v>
      </c>
      <c r="D19" s="21">
        <v>119937</v>
      </c>
      <c r="E19" s="23">
        <f>(+C19-D19)/D19</f>
        <v>-0.05740513769729108</v>
      </c>
      <c r="F19" s="21">
        <f>+C19-54189</f>
        <v>58863</v>
      </c>
      <c r="G19" s="21">
        <f>+D19-56627</f>
        <v>63310</v>
      </c>
      <c r="H19" s="23">
        <f>(+F19-G19)/G19</f>
        <v>-0.07024166798294108</v>
      </c>
      <c r="I19" s="24">
        <f>K19/C19</f>
        <v>53.51621147790397</v>
      </c>
      <c r="J19" s="24">
        <f>K19/F19</f>
        <v>102.78298319827397</v>
      </c>
      <c r="K19" s="21">
        <v>6050114.74</v>
      </c>
      <c r="L19" s="21">
        <v>6347121.87</v>
      </c>
      <c r="M19" s="25">
        <f>(+K19-L19)/L19</f>
        <v>-0.04679398569670128</v>
      </c>
      <c r="N19" s="10"/>
      <c r="R19" s="2"/>
    </row>
    <row r="20" spans="1:18" ht="15.75" customHeight="1" thickBot="1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7.25" customHeight="1" thickBot="1" thickTop="1">
      <c r="A21" s="26" t="s">
        <v>14</v>
      </c>
      <c r="B21" s="27"/>
      <c r="C21" s="28">
        <f>SUM(C16:C20)</f>
        <v>490313</v>
      </c>
      <c r="D21" s="28">
        <f>SUM(D16:D20)</f>
        <v>537471</v>
      </c>
      <c r="E21" s="279">
        <f>(+C21-D21)/D21</f>
        <v>-0.08774054786211721</v>
      </c>
      <c r="F21" s="28">
        <f>SUM(F16:F20)</f>
        <v>256213</v>
      </c>
      <c r="G21" s="28">
        <f>SUM(G16:G20)</f>
        <v>282397</v>
      </c>
      <c r="H21" s="30">
        <f>(+F21-G21)/G21</f>
        <v>-0.09272053173369406</v>
      </c>
      <c r="I21" s="31">
        <f>K21/C21</f>
        <v>53.838662283072246</v>
      </c>
      <c r="J21" s="31">
        <f>K21/F21</f>
        <v>103.03066596933022</v>
      </c>
      <c r="K21" s="28">
        <f>SUM(K16:K20)</f>
        <v>26397796.020000003</v>
      </c>
      <c r="L21" s="28">
        <f>SUM(L16:L20)</f>
        <v>27335550.61</v>
      </c>
      <c r="M21" s="32">
        <f>(+K21-L21)/L21</f>
        <v>-0.03430531191337858</v>
      </c>
      <c r="N21" s="10"/>
      <c r="R21" s="2"/>
    </row>
    <row r="22" spans="1:18" ht="15.75" customHeight="1" thickTop="1">
      <c r="A22" s="33"/>
      <c r="B22" s="34"/>
      <c r="C22" s="35"/>
      <c r="D22" s="35"/>
      <c r="E22" s="29"/>
      <c r="F22" s="35"/>
      <c r="G22" s="35"/>
      <c r="H22" s="29"/>
      <c r="I22" s="36"/>
      <c r="J22" s="36"/>
      <c r="K22" s="35"/>
      <c r="L22" s="35"/>
      <c r="M22" s="37"/>
      <c r="N22" s="10"/>
      <c r="R22" s="2"/>
    </row>
    <row r="23" spans="1:18" ht="15.75" customHeight="1">
      <c r="A23" s="19" t="s">
        <v>56</v>
      </c>
      <c r="B23" s="20">
        <f>DATE(2019,7,1)</f>
        <v>43647</v>
      </c>
      <c r="C23" s="21">
        <v>66822</v>
      </c>
      <c r="D23" s="21">
        <v>72910</v>
      </c>
      <c r="E23" s="23">
        <f>(+C23-D23)/D23</f>
        <v>-0.08350020573309559</v>
      </c>
      <c r="F23" s="21">
        <f>+C23-35692</f>
        <v>31130</v>
      </c>
      <c r="G23" s="21">
        <f>+D23-39365</f>
        <v>33545</v>
      </c>
      <c r="H23" s="23">
        <f>(+F23-G23)/G23</f>
        <v>-0.07199284543150991</v>
      </c>
      <c r="I23" s="24">
        <f>K23/C23</f>
        <v>48.793103618568736</v>
      </c>
      <c r="J23" s="24">
        <f>K23/F23</f>
        <v>104.73667748152907</v>
      </c>
      <c r="K23" s="21">
        <v>3260452.77</v>
      </c>
      <c r="L23" s="21">
        <v>3264963.85</v>
      </c>
      <c r="M23" s="25">
        <f>(+K23-L23)/L23</f>
        <v>-0.001381663077219086</v>
      </c>
      <c r="N23" s="10"/>
      <c r="R23" s="2"/>
    </row>
    <row r="24" spans="1:18" ht="15.75" customHeight="1">
      <c r="A24" s="19"/>
      <c r="B24" s="20">
        <f>DATE(2019,8,1)</f>
        <v>43678</v>
      </c>
      <c r="C24" s="21">
        <v>69025</v>
      </c>
      <c r="D24" s="21">
        <v>70574</v>
      </c>
      <c r="E24" s="23">
        <f>(+C24-D24)/D24</f>
        <v>-0.021948592966248192</v>
      </c>
      <c r="F24" s="21">
        <f>+C24-37871</f>
        <v>31154</v>
      </c>
      <c r="G24" s="21">
        <f>+D24-38367</f>
        <v>32207</v>
      </c>
      <c r="H24" s="23">
        <f>(+F24-G24)/G24</f>
        <v>-0.03269475579842891</v>
      </c>
      <c r="I24" s="24">
        <f>K24/C24</f>
        <v>46.687241434262944</v>
      </c>
      <c r="J24" s="24">
        <f>K24/F24</f>
        <v>103.4405482442062</v>
      </c>
      <c r="K24" s="21">
        <v>3222586.84</v>
      </c>
      <c r="L24" s="21">
        <v>3124652.26</v>
      </c>
      <c r="M24" s="25">
        <f>(+K24-L24)/L24</f>
        <v>0.03134255329903497</v>
      </c>
      <c r="N24" s="10"/>
      <c r="R24" s="2"/>
    </row>
    <row r="25" spans="1:18" ht="15.75" customHeight="1">
      <c r="A25" s="19"/>
      <c r="B25" s="20">
        <f>DATE(2019,9,1)</f>
        <v>43709</v>
      </c>
      <c r="C25" s="21">
        <v>65573</v>
      </c>
      <c r="D25" s="21">
        <v>68201</v>
      </c>
      <c r="E25" s="23">
        <f>(+C25-D25)/D25</f>
        <v>-0.03853315933783962</v>
      </c>
      <c r="F25" s="21">
        <f>+C25-35939</f>
        <v>29634</v>
      </c>
      <c r="G25" s="21">
        <f>+D25-36459</f>
        <v>31742</v>
      </c>
      <c r="H25" s="23">
        <f>(+F25-G25)/G25</f>
        <v>-0.0664104341251339</v>
      </c>
      <c r="I25" s="24">
        <f>K25/C25</f>
        <v>47.458679486983975</v>
      </c>
      <c r="J25" s="24">
        <f>K25/F25</f>
        <v>105.0147799824526</v>
      </c>
      <c r="K25" s="21">
        <v>3112007.99</v>
      </c>
      <c r="L25" s="21">
        <v>3126829.64</v>
      </c>
      <c r="M25" s="25">
        <f>(+K25-L25)/L25</f>
        <v>-0.004740152712637042</v>
      </c>
      <c r="N25" s="10"/>
      <c r="R25" s="2"/>
    </row>
    <row r="26" spans="1:18" ht="15.75" customHeight="1">
      <c r="A26" s="19"/>
      <c r="B26" s="20">
        <f>DATE(2019,10,1)</f>
        <v>43739</v>
      </c>
      <c r="C26" s="21">
        <v>63039</v>
      </c>
      <c r="D26" s="21">
        <v>62804</v>
      </c>
      <c r="E26" s="23">
        <f>(+C26-D26)/D26</f>
        <v>0.0037417998853576206</v>
      </c>
      <c r="F26" s="21">
        <f>+C26-34568</f>
        <v>28471</v>
      </c>
      <c r="G26" s="21">
        <f>+D26-33338</f>
        <v>29466</v>
      </c>
      <c r="H26" s="23">
        <f>(+F26-G26)/G26</f>
        <v>-0.03376773230163578</v>
      </c>
      <c r="I26" s="24">
        <f>K26/C26</f>
        <v>49.58215057345453</v>
      </c>
      <c r="J26" s="24">
        <f>K26/F26</f>
        <v>109.78220610445716</v>
      </c>
      <c r="K26" s="21">
        <v>3125609.19</v>
      </c>
      <c r="L26" s="21">
        <v>2846929.77</v>
      </c>
      <c r="M26" s="25">
        <f>(+K26-L26)/L26</f>
        <v>0.0978877044796226</v>
      </c>
      <c r="N26" s="10"/>
      <c r="R26" s="2"/>
    </row>
    <row r="27" spans="1:18" ht="15.75" customHeight="1" thickBot="1">
      <c r="A27" s="38"/>
      <c r="B27" s="20"/>
      <c r="C27" s="21"/>
      <c r="D27" s="21"/>
      <c r="E27" s="23"/>
      <c r="F27" s="21"/>
      <c r="G27" s="21"/>
      <c r="H27" s="23"/>
      <c r="I27" s="24"/>
      <c r="J27" s="24"/>
      <c r="K27" s="21"/>
      <c r="L27" s="21"/>
      <c r="M27" s="25"/>
      <c r="N27" s="10"/>
      <c r="R27" s="2"/>
    </row>
    <row r="28" spans="1:18" ht="17.25" customHeight="1" thickBot="1" thickTop="1">
      <c r="A28" s="39" t="s">
        <v>14</v>
      </c>
      <c r="B28" s="40"/>
      <c r="C28" s="41">
        <f>SUM(C23:C27)</f>
        <v>264459</v>
      </c>
      <c r="D28" s="41">
        <f>SUM(D23:D27)</f>
        <v>274489</v>
      </c>
      <c r="E28" s="280">
        <f>(+C28-D28)/D28</f>
        <v>-0.03654062640032934</v>
      </c>
      <c r="F28" s="41">
        <f>SUM(F23:F27)</f>
        <v>120389</v>
      </c>
      <c r="G28" s="41">
        <f>SUM(G23:G27)</f>
        <v>126960</v>
      </c>
      <c r="H28" s="42">
        <f>(+F28-G28)/G28</f>
        <v>-0.05175645872715816</v>
      </c>
      <c r="I28" s="43">
        <f>K28/C28</f>
        <v>48.100676437557425</v>
      </c>
      <c r="J28" s="43">
        <f>K28/F28</f>
        <v>105.66294918971002</v>
      </c>
      <c r="K28" s="41">
        <f>SUM(K23:K27)</f>
        <v>12720656.79</v>
      </c>
      <c r="L28" s="41">
        <f>SUM(L23:L27)</f>
        <v>12363375.52</v>
      </c>
      <c r="M28" s="44">
        <f>(+K28-L28)/L28</f>
        <v>0.02889835946680034</v>
      </c>
      <c r="N28" s="10"/>
      <c r="R28" s="2"/>
    </row>
    <row r="29" spans="1:18" ht="15.75" customHeight="1" thickTop="1">
      <c r="A29" s="38"/>
      <c r="B29" s="45"/>
      <c r="C29" s="21"/>
      <c r="D29" s="21"/>
      <c r="E29" s="23"/>
      <c r="F29" s="21"/>
      <c r="G29" s="21"/>
      <c r="H29" s="23"/>
      <c r="I29" s="24"/>
      <c r="J29" s="24"/>
      <c r="K29" s="21"/>
      <c r="L29" s="21"/>
      <c r="M29" s="25"/>
      <c r="N29" s="10"/>
      <c r="R29" s="2"/>
    </row>
    <row r="30" spans="1:18" ht="15.75" customHeight="1">
      <c r="A30" s="177" t="s">
        <v>65</v>
      </c>
      <c r="B30" s="20">
        <f>DATE(2019,7,1)</f>
        <v>43647</v>
      </c>
      <c r="C30" s="21">
        <v>438217</v>
      </c>
      <c r="D30" s="21">
        <v>465892</v>
      </c>
      <c r="E30" s="23">
        <f>(+C30-D30)/D30</f>
        <v>-0.059402179045787436</v>
      </c>
      <c r="F30" s="21">
        <f>+C30-221917</f>
        <v>216300</v>
      </c>
      <c r="G30" s="21">
        <f>+D30-233751</f>
        <v>232141</v>
      </c>
      <c r="H30" s="23">
        <f>(+F30-G30)/G30</f>
        <v>-0.06823869975575189</v>
      </c>
      <c r="I30" s="24">
        <f>K30/C30</f>
        <v>46.65962582464852</v>
      </c>
      <c r="J30" s="24">
        <f>K30/F30</f>
        <v>94.53093504392048</v>
      </c>
      <c r="K30" s="21">
        <v>20447041.25</v>
      </c>
      <c r="L30" s="21">
        <v>20180093.42</v>
      </c>
      <c r="M30" s="25">
        <f>(+K30-L30)/L30</f>
        <v>0.01322827523362368</v>
      </c>
      <c r="N30" s="10"/>
      <c r="R30" s="2"/>
    </row>
    <row r="31" spans="1:18" ht="15.75" customHeight="1">
      <c r="A31" s="177"/>
      <c r="B31" s="20">
        <f>DATE(2019,8,1)</f>
        <v>43678</v>
      </c>
      <c r="C31" s="21">
        <v>437029</v>
      </c>
      <c r="D31" s="21">
        <v>454572</v>
      </c>
      <c r="E31" s="23">
        <f>(+C31-D31)/D31</f>
        <v>-0.038592346206981515</v>
      </c>
      <c r="F31" s="21">
        <f>+C31-215022</f>
        <v>222007</v>
      </c>
      <c r="G31" s="21">
        <f>+D31-227733</f>
        <v>226839</v>
      </c>
      <c r="H31" s="23">
        <f>(+F31-G31)/G31</f>
        <v>-0.02130145169040597</v>
      </c>
      <c r="I31" s="24">
        <f>K31/C31</f>
        <v>48.82252111415947</v>
      </c>
      <c r="J31" s="24">
        <f>K31/F31</f>
        <v>96.10894061898948</v>
      </c>
      <c r="K31" s="21">
        <v>21336857.58</v>
      </c>
      <c r="L31" s="21">
        <v>20410400.74</v>
      </c>
      <c r="M31" s="25">
        <f>(+K31-L31)/L31</f>
        <v>0.04539140861572324</v>
      </c>
      <c r="N31" s="10"/>
      <c r="R31" s="2"/>
    </row>
    <row r="32" spans="1:18" ht="15.75" customHeight="1">
      <c r="A32" s="177"/>
      <c r="B32" s="20">
        <f>DATE(2019,9,1)</f>
        <v>43709</v>
      </c>
      <c r="C32" s="21">
        <v>403849</v>
      </c>
      <c r="D32" s="21">
        <v>400695</v>
      </c>
      <c r="E32" s="23">
        <f>(+C32-D32)/D32</f>
        <v>0.007871323575287937</v>
      </c>
      <c r="F32" s="21">
        <f>+C32-198275</f>
        <v>205574</v>
      </c>
      <c r="G32" s="21">
        <f>+D32-202275</f>
        <v>198420</v>
      </c>
      <c r="H32" s="23">
        <f>(+F32-G32)/G32</f>
        <v>0.036054833182138896</v>
      </c>
      <c r="I32" s="24">
        <f>K32/C32</f>
        <v>46.879226914019846</v>
      </c>
      <c r="J32" s="24">
        <f>K32/F32</f>
        <v>92.09398518295116</v>
      </c>
      <c r="K32" s="21">
        <v>18932128.91</v>
      </c>
      <c r="L32" s="21">
        <v>19424363</v>
      </c>
      <c r="M32" s="25">
        <f>(+K32-L32)/L32</f>
        <v>-0.02534106729780533</v>
      </c>
      <c r="N32" s="10"/>
      <c r="R32" s="2"/>
    </row>
    <row r="33" spans="1:18" ht="15.75" customHeight="1">
      <c r="A33" s="177"/>
      <c r="B33" s="20">
        <f>DATE(2019,10,1)</f>
        <v>43739</v>
      </c>
      <c r="C33" s="21">
        <v>396586</v>
      </c>
      <c r="D33" s="21">
        <v>385385</v>
      </c>
      <c r="E33" s="23">
        <f>(+C33-D33)/D33</f>
        <v>0.029064442051455038</v>
      </c>
      <c r="F33" s="21">
        <f>+C33-195500</f>
        <v>201086</v>
      </c>
      <c r="G33" s="21">
        <f>+D33-195549</f>
        <v>189836</v>
      </c>
      <c r="H33" s="23">
        <f>(+F33-G33)/G33</f>
        <v>0.05926167850144335</v>
      </c>
      <c r="I33" s="24">
        <f>K33/C33</f>
        <v>47.99270914757455</v>
      </c>
      <c r="J33" s="24">
        <f>K33/F33</f>
        <v>94.65222118894404</v>
      </c>
      <c r="K33" s="21">
        <v>19033236.55</v>
      </c>
      <c r="L33" s="21">
        <v>18152971.32</v>
      </c>
      <c r="M33" s="25">
        <f>(+K33-L33)/L33</f>
        <v>0.048491523204808346</v>
      </c>
      <c r="N33" s="10"/>
      <c r="R33" s="2"/>
    </row>
    <row r="34" spans="1:18" ht="15.75" thickBot="1">
      <c r="A34" s="38"/>
      <c r="B34" s="45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thickBot="1" thickTop="1">
      <c r="A35" s="39" t="s">
        <v>14</v>
      </c>
      <c r="B35" s="40"/>
      <c r="C35" s="41">
        <f>SUM(C30:C34)</f>
        <v>1675681</v>
      </c>
      <c r="D35" s="41">
        <f>SUM(D30:D34)</f>
        <v>1706544</v>
      </c>
      <c r="E35" s="280">
        <f>(+C35-D35)/D35</f>
        <v>-0.01808508892826672</v>
      </c>
      <c r="F35" s="41">
        <f>SUM(F30:F34)</f>
        <v>844967</v>
      </c>
      <c r="G35" s="41">
        <f>SUM(G30:G34)</f>
        <v>847236</v>
      </c>
      <c r="H35" s="42">
        <f>(+F35-G35)/G35</f>
        <v>-0.002678120382042312</v>
      </c>
      <c r="I35" s="43">
        <f>K35/C35</f>
        <v>47.5921516625181</v>
      </c>
      <c r="J35" s="43">
        <f>K35/F35</f>
        <v>94.38151346738984</v>
      </c>
      <c r="K35" s="41">
        <f>SUM(K30:K34)</f>
        <v>79749264.28999999</v>
      </c>
      <c r="L35" s="41">
        <f>SUM(L30:L34)</f>
        <v>78167828.47999999</v>
      </c>
      <c r="M35" s="44">
        <f>(+K35-L35)/L35</f>
        <v>0.020231287484270187</v>
      </c>
      <c r="N35" s="10"/>
      <c r="R35" s="2"/>
    </row>
    <row r="36" spans="1:18" ht="15.75" thickTop="1">
      <c r="A36" s="38"/>
      <c r="B36" s="45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5.75">
      <c r="A37" s="19" t="s">
        <v>16</v>
      </c>
      <c r="B37" s="20">
        <f>DATE(2019,7,1)</f>
        <v>43647</v>
      </c>
      <c r="C37" s="21">
        <v>288759</v>
      </c>
      <c r="D37" s="21">
        <v>289167</v>
      </c>
      <c r="E37" s="23">
        <f>(+C37-D37)/D37</f>
        <v>-0.001410949382190914</v>
      </c>
      <c r="F37" s="21">
        <f>+C37-131177</f>
        <v>157582</v>
      </c>
      <c r="G37" s="21">
        <f>+D37-134357</f>
        <v>154810</v>
      </c>
      <c r="H37" s="23">
        <f>(+F37-G37)/G37</f>
        <v>0.01790582003746528</v>
      </c>
      <c r="I37" s="24">
        <f>K37/C37</f>
        <v>48.75163974109898</v>
      </c>
      <c r="J37" s="24">
        <f>K37/F37</f>
        <v>89.3342814534655</v>
      </c>
      <c r="K37" s="21">
        <v>14077474.74</v>
      </c>
      <c r="L37" s="21">
        <v>14895059.23</v>
      </c>
      <c r="M37" s="25">
        <f>(+K37-L37)/L37</f>
        <v>-0.054889643429769715</v>
      </c>
      <c r="N37" s="10"/>
      <c r="R37" s="2"/>
    </row>
    <row r="38" spans="1:18" ht="15.75">
      <c r="A38" s="19"/>
      <c r="B38" s="20">
        <f>DATE(2019,8,1)</f>
        <v>43678</v>
      </c>
      <c r="C38" s="21">
        <v>292957</v>
      </c>
      <c r="D38" s="21">
        <v>292132</v>
      </c>
      <c r="E38" s="23">
        <f>(+C38-D38)/D38</f>
        <v>0.0028240658332534608</v>
      </c>
      <c r="F38" s="21">
        <f>+C38-131852</f>
        <v>161105</v>
      </c>
      <c r="G38" s="21">
        <f>+D38-136807</f>
        <v>155325</v>
      </c>
      <c r="H38" s="23">
        <f>(+F38-G38)/G38</f>
        <v>0.03721229679703847</v>
      </c>
      <c r="I38" s="24">
        <f>K38/C38</f>
        <v>53.18311991179593</v>
      </c>
      <c r="J38" s="24">
        <f>K38/F38</f>
        <v>96.70939610812823</v>
      </c>
      <c r="K38" s="21">
        <v>15580367.26</v>
      </c>
      <c r="L38" s="21">
        <v>14589427.75</v>
      </c>
      <c r="M38" s="25">
        <f>(+K38-L38)/L38</f>
        <v>0.06792175313387462</v>
      </c>
      <c r="N38" s="10"/>
      <c r="R38" s="2"/>
    </row>
    <row r="39" spans="1:18" ht="15.75">
      <c r="A39" s="19"/>
      <c r="B39" s="20">
        <f>DATE(2019,9,1)</f>
        <v>43709</v>
      </c>
      <c r="C39" s="21">
        <v>276713</v>
      </c>
      <c r="D39" s="21">
        <v>292955</v>
      </c>
      <c r="E39" s="23">
        <f>(+C39-D39)/D39</f>
        <v>-0.05544196207608677</v>
      </c>
      <c r="F39" s="21">
        <f>+C39-125818</f>
        <v>150895</v>
      </c>
      <c r="G39" s="21">
        <f>+D39-135433</f>
        <v>157522</v>
      </c>
      <c r="H39" s="23">
        <f>(+F39-G39)/G39</f>
        <v>-0.04207031398788741</v>
      </c>
      <c r="I39" s="24">
        <f>K39/C39</f>
        <v>52.91830336847203</v>
      </c>
      <c r="J39" s="24">
        <f>K39/F39</f>
        <v>97.04219808476093</v>
      </c>
      <c r="K39" s="21">
        <v>14643182.48</v>
      </c>
      <c r="L39" s="21">
        <v>15232551.26</v>
      </c>
      <c r="M39" s="25">
        <f>(+K39-L39)/L39</f>
        <v>-0.03869140303158903</v>
      </c>
      <c r="N39" s="10"/>
      <c r="R39" s="2"/>
    </row>
    <row r="40" spans="1:18" ht="15.75">
      <c r="A40" s="19"/>
      <c r="B40" s="20">
        <f>DATE(2019,10,1)</f>
        <v>43739</v>
      </c>
      <c r="C40" s="21">
        <v>265282</v>
      </c>
      <c r="D40" s="21">
        <v>283107</v>
      </c>
      <c r="E40" s="23">
        <f>(+C40-D40)/D40</f>
        <v>-0.06296206028109513</v>
      </c>
      <c r="F40" s="21">
        <f>+C40-120858</f>
        <v>144424</v>
      </c>
      <c r="G40" s="21">
        <f>+D40-129714</f>
        <v>153393</v>
      </c>
      <c r="H40" s="23">
        <f>(+F40-G40)/G40</f>
        <v>-0.058470725522025126</v>
      </c>
      <c r="I40" s="24">
        <f>K40/C40</f>
        <v>55.320004071139394</v>
      </c>
      <c r="J40" s="24">
        <f>K40/F40</f>
        <v>101.61331440757769</v>
      </c>
      <c r="K40" s="21">
        <v>14675401.32</v>
      </c>
      <c r="L40" s="21">
        <v>14681050.11</v>
      </c>
      <c r="M40" s="25">
        <f>(+K40-L40)/L40</f>
        <v>-0.00038476743541331776</v>
      </c>
      <c r="N40" s="10"/>
      <c r="R40" s="2"/>
    </row>
    <row r="41" spans="1:18" ht="15.75" thickBot="1">
      <c r="A41" s="38"/>
      <c r="B41" s="20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7.25" thickBot="1" thickTop="1">
      <c r="A42" s="39" t="s">
        <v>14</v>
      </c>
      <c r="B42" s="40"/>
      <c r="C42" s="41">
        <f>SUM(C37:C41)</f>
        <v>1123711</v>
      </c>
      <c r="D42" s="41">
        <f>SUM(D37:D41)</f>
        <v>1157361</v>
      </c>
      <c r="E42" s="281">
        <f>(+C42-D42)/D42</f>
        <v>-0.029074765781808787</v>
      </c>
      <c r="F42" s="47">
        <f>SUM(F37:F41)</f>
        <v>614006</v>
      </c>
      <c r="G42" s="48">
        <f>SUM(G37:G41)</f>
        <v>621050</v>
      </c>
      <c r="H42" s="49">
        <f>(+F42-G42)/G42</f>
        <v>-0.011342081957974398</v>
      </c>
      <c r="I42" s="50">
        <f>K42/C42</f>
        <v>52.48362417027154</v>
      </c>
      <c r="J42" s="51">
        <f>K42/F42</f>
        <v>96.0518721315427</v>
      </c>
      <c r="K42" s="48">
        <f>SUM(K37:K41)</f>
        <v>58976425.800000004</v>
      </c>
      <c r="L42" s="47">
        <f>SUM(L37:L41)</f>
        <v>59398088.35</v>
      </c>
      <c r="M42" s="44">
        <f>(+K42-L42)/L42</f>
        <v>-0.007098924590222052</v>
      </c>
      <c r="N42" s="10"/>
      <c r="R42" s="2"/>
    </row>
    <row r="43" spans="1:18" ht="15.75" customHeight="1" thickTop="1">
      <c r="A43" s="273"/>
      <c r="B43" s="45"/>
      <c r="C43" s="21"/>
      <c r="D43" s="21"/>
      <c r="E43" s="23"/>
      <c r="F43" s="21"/>
      <c r="G43" s="21"/>
      <c r="H43" s="23"/>
      <c r="I43" s="24"/>
      <c r="J43" s="24"/>
      <c r="K43" s="21"/>
      <c r="L43" s="21"/>
      <c r="M43" s="25"/>
      <c r="N43" s="10"/>
      <c r="R43" s="2"/>
    </row>
    <row r="44" spans="1:18" ht="15.75">
      <c r="A44" s="274" t="s">
        <v>66</v>
      </c>
      <c r="B44" s="20">
        <f>DATE(2019,7,1)</f>
        <v>43647</v>
      </c>
      <c r="C44" s="21">
        <v>110928</v>
      </c>
      <c r="D44" s="21">
        <v>129160</v>
      </c>
      <c r="E44" s="23">
        <f>(+C44-D44)/D44</f>
        <v>-0.1411582533292041</v>
      </c>
      <c r="F44" s="21">
        <f>+C44-54910</f>
        <v>56018</v>
      </c>
      <c r="G44" s="21">
        <f>+D44-62596</f>
        <v>66564</v>
      </c>
      <c r="H44" s="23">
        <f>(+F44-G44)/G44</f>
        <v>-0.15843398834204675</v>
      </c>
      <c r="I44" s="24">
        <f>K44/C44</f>
        <v>40.17884745059859</v>
      </c>
      <c r="J44" s="24">
        <f>K44/F44</f>
        <v>79.56298314827377</v>
      </c>
      <c r="K44" s="21">
        <v>4456959.19</v>
      </c>
      <c r="L44" s="21">
        <v>5218892.55</v>
      </c>
      <c r="M44" s="25">
        <f>(+K44-L44)/L44</f>
        <v>-0.1459952188515549</v>
      </c>
      <c r="N44" s="10"/>
      <c r="R44" s="2"/>
    </row>
    <row r="45" spans="1:18" ht="15.75">
      <c r="A45" s="274"/>
      <c r="B45" s="20">
        <f>DATE(2019,8,1)</f>
        <v>43678</v>
      </c>
      <c r="C45" s="21">
        <v>114308</v>
      </c>
      <c r="D45" s="21">
        <v>120860</v>
      </c>
      <c r="E45" s="23">
        <f>(+C45-D45)/D45</f>
        <v>-0.05421148436207182</v>
      </c>
      <c r="F45" s="21">
        <f>+C45-54234</f>
        <v>60074</v>
      </c>
      <c r="G45" s="21">
        <f>+D45-58336</f>
        <v>62524</v>
      </c>
      <c r="H45" s="23">
        <f>(+F45-G45)/G45</f>
        <v>-0.03918495297805643</v>
      </c>
      <c r="I45" s="24">
        <f>K45/C45</f>
        <v>45.628914424187286</v>
      </c>
      <c r="J45" s="24">
        <f>K45/F45</f>
        <v>86.82208526151081</v>
      </c>
      <c r="K45" s="21">
        <v>5215749.95</v>
      </c>
      <c r="L45" s="21">
        <v>5263252.67</v>
      </c>
      <c r="M45" s="25">
        <f>(+K45-L45)/L45</f>
        <v>-0.009025354277737865</v>
      </c>
      <c r="N45" s="10"/>
      <c r="R45" s="2"/>
    </row>
    <row r="46" spans="1:18" ht="15.75">
      <c r="A46" s="274"/>
      <c r="B46" s="20">
        <f>DATE(2019,9,1)</f>
        <v>43709</v>
      </c>
      <c r="C46" s="21">
        <v>108669</v>
      </c>
      <c r="D46" s="21">
        <v>129571</v>
      </c>
      <c r="E46" s="23">
        <f>(+C46-D46)/D46</f>
        <v>-0.1613169613570938</v>
      </c>
      <c r="F46" s="21">
        <f>+C46-53294</f>
        <v>55375</v>
      </c>
      <c r="G46" s="21">
        <f>+D46-62477</f>
        <v>67094</v>
      </c>
      <c r="H46" s="23">
        <f>(+F46-G46)/G46</f>
        <v>-0.17466539481920887</v>
      </c>
      <c r="I46" s="24">
        <f>K46/C46</f>
        <v>46.652023300113186</v>
      </c>
      <c r="J46" s="24">
        <f>K46/F46</f>
        <v>91.55085724604966</v>
      </c>
      <c r="K46" s="21">
        <v>5069628.72</v>
      </c>
      <c r="L46" s="21">
        <v>5057302.72</v>
      </c>
      <c r="M46" s="25">
        <f>(+K46-L46)/L46</f>
        <v>0.0024372675875728475</v>
      </c>
      <c r="N46" s="10"/>
      <c r="R46" s="2"/>
    </row>
    <row r="47" spans="1:18" ht="15.75">
      <c r="A47" s="274"/>
      <c r="B47" s="20">
        <f>DATE(2019,10,1)</f>
        <v>43739</v>
      </c>
      <c r="C47" s="21">
        <v>108666</v>
      </c>
      <c r="D47" s="21">
        <v>116235</v>
      </c>
      <c r="E47" s="23">
        <f>(+C47-D47)/D47</f>
        <v>-0.0651180797522261</v>
      </c>
      <c r="F47" s="21">
        <f>+C47-52911</f>
        <v>55755</v>
      </c>
      <c r="G47" s="21">
        <f>+D47-55536</f>
        <v>60699</v>
      </c>
      <c r="H47" s="23">
        <f>(+F47-G47)/G47</f>
        <v>-0.0814510947462067</v>
      </c>
      <c r="I47" s="24">
        <f>K47/C47</f>
        <v>46.9644641378168</v>
      </c>
      <c r="J47" s="24">
        <f>K47/F47</f>
        <v>91.5333236481033</v>
      </c>
      <c r="K47" s="21">
        <v>5103440.46</v>
      </c>
      <c r="L47" s="21">
        <v>4939589.44</v>
      </c>
      <c r="M47" s="25">
        <f>(+K47-L47)/L47</f>
        <v>0.033170979489339815</v>
      </c>
      <c r="N47" s="10"/>
      <c r="R47" s="2"/>
    </row>
    <row r="48" spans="1:18" ht="15.75" customHeight="1" thickBot="1">
      <c r="A48" s="19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25" customHeight="1" thickBot="1" thickTop="1">
      <c r="A49" s="39" t="s">
        <v>14</v>
      </c>
      <c r="B49" s="52"/>
      <c r="C49" s="47">
        <f>SUM(C44:C48)</f>
        <v>442571</v>
      </c>
      <c r="D49" s="48">
        <f>SUM(D44:D48)</f>
        <v>495826</v>
      </c>
      <c r="E49" s="281">
        <f>(+C49-D49)/D49</f>
        <v>-0.10740663055184682</v>
      </c>
      <c r="F49" s="48">
        <f>SUM(F44:F48)</f>
        <v>227222</v>
      </c>
      <c r="G49" s="47">
        <f>SUM(G44:G48)</f>
        <v>256881</v>
      </c>
      <c r="H49" s="46">
        <f>(+F49-G49)/G49</f>
        <v>-0.11545813041836492</v>
      </c>
      <c r="I49" s="51">
        <f>K49/C49</f>
        <v>44.8420215513443</v>
      </c>
      <c r="J49" s="50">
        <f>K49/F49</f>
        <v>87.34091910114337</v>
      </c>
      <c r="K49" s="47">
        <f>SUM(K44:K48)</f>
        <v>19845778.32</v>
      </c>
      <c r="L49" s="48">
        <f>SUM(L44:L48)</f>
        <v>20479037.38</v>
      </c>
      <c r="M49" s="44">
        <f>(+K49-L49)/L49</f>
        <v>-0.030922305978036097</v>
      </c>
      <c r="N49" s="10"/>
      <c r="R49" s="2"/>
    </row>
    <row r="50" spans="1:18" ht="15.75" customHeight="1" thickTop="1">
      <c r="A50" s="19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>
      <c r="A51" s="19" t="s">
        <v>17</v>
      </c>
      <c r="B51" s="20">
        <f>DATE(2019,7,1)</f>
        <v>43647</v>
      </c>
      <c r="C51" s="21">
        <v>151411</v>
      </c>
      <c r="D51" s="21">
        <v>164240</v>
      </c>
      <c r="E51" s="23">
        <f>(+C51-D51)/D51</f>
        <v>-0.07811130053580127</v>
      </c>
      <c r="F51" s="21">
        <f>+C51-71749</f>
        <v>79662</v>
      </c>
      <c r="G51" s="21">
        <f>+D51-78084</f>
        <v>86156</v>
      </c>
      <c r="H51" s="23">
        <f>(+F51-G51)/G51</f>
        <v>-0.07537490134175218</v>
      </c>
      <c r="I51" s="24">
        <f>K51/C51</f>
        <v>34.63009424678524</v>
      </c>
      <c r="J51" s="24">
        <f>K51/F51</f>
        <v>65.82030579197108</v>
      </c>
      <c r="K51" s="21">
        <v>5243377.2</v>
      </c>
      <c r="L51" s="21">
        <v>5776329.81</v>
      </c>
      <c r="M51" s="25">
        <f>(+K51-L51)/L51</f>
        <v>-0.09226492037856811</v>
      </c>
      <c r="N51" s="10"/>
      <c r="R51" s="2"/>
    </row>
    <row r="52" spans="1:18" ht="15.75">
      <c r="A52" s="19"/>
      <c r="B52" s="20">
        <f>DATE(2019,8,1)</f>
        <v>43678</v>
      </c>
      <c r="C52" s="21">
        <v>153444</v>
      </c>
      <c r="D52" s="21">
        <v>161125</v>
      </c>
      <c r="E52" s="23">
        <f>(+C52-D52)/D52</f>
        <v>-0.047671062839410396</v>
      </c>
      <c r="F52" s="21">
        <f>+C52-72860</f>
        <v>80584</v>
      </c>
      <c r="G52" s="21">
        <f>+D52-76425</f>
        <v>84700</v>
      </c>
      <c r="H52" s="23">
        <f>(+F52-G52)/G52</f>
        <v>-0.04859504132231405</v>
      </c>
      <c r="I52" s="24">
        <f>K52/C52</f>
        <v>36.91110437684106</v>
      </c>
      <c r="J52" s="24">
        <f>K52/F52</f>
        <v>70.28426858929812</v>
      </c>
      <c r="K52" s="21">
        <v>5663787.5</v>
      </c>
      <c r="L52" s="21">
        <v>5562742.82</v>
      </c>
      <c r="M52" s="25">
        <f>(+K52-L52)/L52</f>
        <v>0.018164542792938197</v>
      </c>
      <c r="N52" s="10"/>
      <c r="R52" s="2"/>
    </row>
    <row r="53" spans="1:18" ht="15.75">
      <c r="A53" s="19"/>
      <c r="B53" s="20">
        <f>DATE(2019,9,1)</f>
        <v>43709</v>
      </c>
      <c r="C53" s="21">
        <v>143049</v>
      </c>
      <c r="D53" s="21">
        <v>154193</v>
      </c>
      <c r="E53" s="23">
        <f>(+C53-D53)/D53</f>
        <v>-0.0722730603853612</v>
      </c>
      <c r="F53" s="21">
        <f>+C53-67371</f>
        <v>75678</v>
      </c>
      <c r="G53" s="21">
        <f>+D53-72768</f>
        <v>81425</v>
      </c>
      <c r="H53" s="23">
        <f>(+F53-G53)/G53</f>
        <v>-0.07058028860914953</v>
      </c>
      <c r="I53" s="24">
        <f>K53/C53</f>
        <v>35.52142797223329</v>
      </c>
      <c r="J53" s="24">
        <f>K53/F53</f>
        <v>67.1437504955205</v>
      </c>
      <c r="K53" s="21">
        <v>5081304.75</v>
      </c>
      <c r="L53" s="21">
        <v>5375376.3</v>
      </c>
      <c r="M53" s="25">
        <f>(+K53-L53)/L53</f>
        <v>-0.05470715603668525</v>
      </c>
      <c r="N53" s="10"/>
      <c r="R53" s="2"/>
    </row>
    <row r="54" spans="1:18" ht="15.75">
      <c r="A54" s="19"/>
      <c r="B54" s="20">
        <f>DATE(2019,10,1)</f>
        <v>43739</v>
      </c>
      <c r="C54" s="21">
        <v>147133</v>
      </c>
      <c r="D54" s="21">
        <v>153175</v>
      </c>
      <c r="E54" s="23">
        <f>(+C54-D54)/D54</f>
        <v>-0.03944507915782602</v>
      </c>
      <c r="F54" s="21">
        <f>+C54-70441</f>
        <v>76692</v>
      </c>
      <c r="G54" s="21">
        <f>+D54-73639</f>
        <v>79536</v>
      </c>
      <c r="H54" s="23">
        <f>(+F54-G54)/G54</f>
        <v>-0.03575739287869644</v>
      </c>
      <c r="I54" s="24">
        <f>K54/C54</f>
        <v>36.7198467373057</v>
      </c>
      <c r="J54" s="24">
        <f>K54/F54</f>
        <v>70.44673773014135</v>
      </c>
      <c r="K54" s="21">
        <v>5402701.21</v>
      </c>
      <c r="L54" s="21">
        <v>5256338.8</v>
      </c>
      <c r="M54" s="25">
        <f>(+K54-L54)/L54</f>
        <v>0.027844934576896022</v>
      </c>
      <c r="N54" s="10"/>
      <c r="R54" s="2"/>
    </row>
    <row r="55" spans="1:18" ht="15.75" customHeight="1" thickBot="1">
      <c r="A55" s="19"/>
      <c r="B55" s="45"/>
      <c r="C55" s="21"/>
      <c r="D55" s="21"/>
      <c r="E55" s="23"/>
      <c r="F55" s="21"/>
      <c r="G55" s="21"/>
      <c r="H55" s="23"/>
      <c r="I55" s="24"/>
      <c r="J55" s="24"/>
      <c r="K55" s="21"/>
      <c r="L55" s="21"/>
      <c r="M55" s="25"/>
      <c r="N55" s="10"/>
      <c r="R55" s="2"/>
    </row>
    <row r="56" spans="1:18" ht="17.25" customHeight="1" thickBot="1" thickTop="1">
      <c r="A56" s="39" t="s">
        <v>14</v>
      </c>
      <c r="B56" s="52"/>
      <c r="C56" s="47">
        <f>SUM(C51:C55)</f>
        <v>595037</v>
      </c>
      <c r="D56" s="48">
        <f>SUM(D51:D55)</f>
        <v>632733</v>
      </c>
      <c r="E56" s="281">
        <f>(+C56-D56)/D56</f>
        <v>-0.059576472224461184</v>
      </c>
      <c r="F56" s="48">
        <f>SUM(F51:F55)</f>
        <v>312616</v>
      </c>
      <c r="G56" s="47">
        <f>SUM(G51:G55)</f>
        <v>331817</v>
      </c>
      <c r="H56" s="53">
        <f>(+F56-G56)/G56</f>
        <v>-0.0578662334961741</v>
      </c>
      <c r="I56" s="51">
        <f>K56/C56</f>
        <v>35.949311824306726</v>
      </c>
      <c r="J56" s="50">
        <f>K56/F56</f>
        <v>68.42634625227116</v>
      </c>
      <c r="K56" s="47">
        <f>SUM(K51:K55)</f>
        <v>21391170.66</v>
      </c>
      <c r="L56" s="48">
        <f>SUM(L51:L55)</f>
        <v>21970787.73</v>
      </c>
      <c r="M56" s="44">
        <f>(+K56-L56)/L56</f>
        <v>-0.026381260295394983</v>
      </c>
      <c r="N56" s="10"/>
      <c r="R56" s="2"/>
    </row>
    <row r="57" spans="1:18" ht="15.75" customHeight="1" thickTop="1">
      <c r="A57" s="19"/>
      <c r="B57" s="45"/>
      <c r="C57" s="21"/>
      <c r="D57" s="21"/>
      <c r="E57" s="23"/>
      <c r="F57" s="21"/>
      <c r="G57" s="21"/>
      <c r="H57" s="23"/>
      <c r="I57" s="24"/>
      <c r="J57" s="24"/>
      <c r="K57" s="21"/>
      <c r="L57" s="21"/>
      <c r="M57" s="25"/>
      <c r="N57" s="10"/>
      <c r="R57" s="2"/>
    </row>
    <row r="58" spans="1:18" ht="15.75" customHeight="1">
      <c r="A58" s="19" t="s">
        <v>67</v>
      </c>
      <c r="B58" s="20">
        <f>DATE(2019,7,1)</f>
        <v>43647</v>
      </c>
      <c r="C58" s="21">
        <v>323721</v>
      </c>
      <c r="D58" s="21">
        <v>388346</v>
      </c>
      <c r="E58" s="23">
        <f>(+C58-D58)/D58</f>
        <v>-0.1664108810184732</v>
      </c>
      <c r="F58" s="21">
        <f>+C58-139052</f>
        <v>184669</v>
      </c>
      <c r="G58" s="21">
        <f>+D58-165497</f>
        <v>222849</v>
      </c>
      <c r="H58" s="23">
        <f>(+F58-G58)/G58</f>
        <v>-0.17132677283721265</v>
      </c>
      <c r="I58" s="24">
        <f>K58/C58</f>
        <v>38.80653328020116</v>
      </c>
      <c r="J58" s="24">
        <f>K58/F58</f>
        <v>68.0270633403549</v>
      </c>
      <c r="K58" s="21">
        <v>12562489.76</v>
      </c>
      <c r="L58" s="21">
        <v>13426296.74</v>
      </c>
      <c r="M58" s="25">
        <f>(+K58-L58)/L58</f>
        <v>-0.06433694984757207</v>
      </c>
      <c r="N58" s="10"/>
      <c r="R58" s="2"/>
    </row>
    <row r="59" spans="1:18" ht="15.75" customHeight="1">
      <c r="A59" s="19"/>
      <c r="B59" s="20">
        <f>DATE(2019,8,1)</f>
        <v>43678</v>
      </c>
      <c r="C59" s="21">
        <v>324702</v>
      </c>
      <c r="D59" s="21">
        <v>374981</v>
      </c>
      <c r="E59" s="23">
        <f>(+C59-D59)/D59</f>
        <v>-0.13408412692909774</v>
      </c>
      <c r="F59" s="21">
        <f>+C59-140464</f>
        <v>184238</v>
      </c>
      <c r="G59" s="21">
        <f>+D59-161656</f>
        <v>213325</v>
      </c>
      <c r="H59" s="23">
        <f>(+F59-G59)/G59</f>
        <v>-0.1363506386968241</v>
      </c>
      <c r="I59" s="24">
        <f>K59/C59</f>
        <v>39.7735203663667</v>
      </c>
      <c r="J59" s="24">
        <f>K59/F59</f>
        <v>70.09705712176641</v>
      </c>
      <c r="K59" s="21">
        <v>12914541.61</v>
      </c>
      <c r="L59" s="21">
        <v>14006614.06</v>
      </c>
      <c r="M59" s="25">
        <f>(+K59-L59)/L59</f>
        <v>-0.07796834019427541</v>
      </c>
      <c r="N59" s="10"/>
      <c r="R59" s="2"/>
    </row>
    <row r="60" spans="1:18" ht="15.75" customHeight="1">
      <c r="A60" s="19"/>
      <c r="B60" s="20">
        <f>DATE(2019,9,1)</f>
        <v>43709</v>
      </c>
      <c r="C60" s="21">
        <v>300782</v>
      </c>
      <c r="D60" s="21">
        <v>360336</v>
      </c>
      <c r="E60" s="23">
        <f>(+C60-D60)/D60</f>
        <v>-0.16527352249012034</v>
      </c>
      <c r="F60" s="21">
        <f>+C60-129542</f>
        <v>171240</v>
      </c>
      <c r="G60" s="21">
        <f>+D60-155587</f>
        <v>204749</v>
      </c>
      <c r="H60" s="23">
        <f>(+F60-G60)/G60</f>
        <v>-0.16365891896907922</v>
      </c>
      <c r="I60" s="24">
        <f>K60/C60</f>
        <v>40.86106582175795</v>
      </c>
      <c r="J60" s="24">
        <f>K60/F60</f>
        <v>71.7722091800981</v>
      </c>
      <c r="K60" s="21">
        <v>12290273.1</v>
      </c>
      <c r="L60" s="21">
        <v>13292569.29</v>
      </c>
      <c r="M60" s="25">
        <f>(+K60-L60)/L60</f>
        <v>-0.07540274330215657</v>
      </c>
      <c r="N60" s="10"/>
      <c r="R60" s="2"/>
    </row>
    <row r="61" spans="1:18" ht="15.75" customHeight="1">
      <c r="A61" s="19"/>
      <c r="B61" s="20">
        <f>DATE(2019,10,1)</f>
        <v>43739</v>
      </c>
      <c r="C61" s="21">
        <v>283543</v>
      </c>
      <c r="D61" s="21">
        <v>333769</v>
      </c>
      <c r="E61" s="23">
        <f>(+C61-D61)/D61</f>
        <v>-0.15048132091356597</v>
      </c>
      <c r="F61" s="21">
        <f>+C61-124663</f>
        <v>158880</v>
      </c>
      <c r="G61" s="21">
        <f>+D61-146853</f>
        <v>186916</v>
      </c>
      <c r="H61" s="23">
        <f>(+F61-G61)/G61</f>
        <v>-0.14999251000449398</v>
      </c>
      <c r="I61" s="24">
        <f>K61/C61</f>
        <v>41.993366297175385</v>
      </c>
      <c r="J61" s="24">
        <f>K61/F61</f>
        <v>74.94288179758308</v>
      </c>
      <c r="K61" s="21">
        <v>11906925.06</v>
      </c>
      <c r="L61" s="21">
        <v>13297492.66</v>
      </c>
      <c r="M61" s="25">
        <f>(+K61-L61)/L61</f>
        <v>-0.10457366930405958</v>
      </c>
      <c r="N61" s="10"/>
      <c r="R61" s="2"/>
    </row>
    <row r="62" spans="1:18" ht="15.75" customHeight="1" thickBot="1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thickBot="1" thickTop="1">
      <c r="A63" s="39" t="s">
        <v>14</v>
      </c>
      <c r="B63" s="40"/>
      <c r="C63" s="41">
        <f>SUM(C58:C62)</f>
        <v>1232748</v>
      </c>
      <c r="D63" s="41">
        <f>SUM(D58:D62)</f>
        <v>1457432</v>
      </c>
      <c r="E63" s="280">
        <f>(+C63-D63)/D63</f>
        <v>-0.1541643109249694</v>
      </c>
      <c r="F63" s="41">
        <f>SUM(F58:F62)</f>
        <v>699027</v>
      </c>
      <c r="G63" s="41">
        <f>SUM(G58:G62)</f>
        <v>827839</v>
      </c>
      <c r="H63" s="42">
        <f>(+F63-G63)/G63</f>
        <v>-0.1556003039238306</v>
      </c>
      <c r="I63" s="43">
        <f>K63/C63</f>
        <v>40.295526360618716</v>
      </c>
      <c r="J63" s="43">
        <f>K63/F63</f>
        <v>71.0619611688819</v>
      </c>
      <c r="K63" s="41">
        <f>SUM(K58:K62)</f>
        <v>49674229.53</v>
      </c>
      <c r="L63" s="41">
        <f>SUM(L58:L62)</f>
        <v>54022972.75</v>
      </c>
      <c r="M63" s="44">
        <f>(+K63-L63)/L63</f>
        <v>-0.0804980362729113</v>
      </c>
      <c r="N63" s="10"/>
      <c r="R63" s="2"/>
    </row>
    <row r="64" spans="1:18" ht="15.75" customHeight="1" thickTop="1">
      <c r="A64" s="54"/>
      <c r="B64" s="55"/>
      <c r="C64" s="55"/>
      <c r="D64" s="55"/>
      <c r="E64" s="56"/>
      <c r="F64" s="55"/>
      <c r="G64" s="55"/>
      <c r="H64" s="56"/>
      <c r="I64" s="55"/>
      <c r="J64" s="55"/>
      <c r="K64" s="196"/>
      <c r="L64" s="196"/>
      <c r="M64" s="57"/>
      <c r="N64" s="10"/>
      <c r="R64" s="2"/>
    </row>
    <row r="65" spans="1:18" ht="15.75" customHeight="1">
      <c r="A65" s="19" t="s">
        <v>18</v>
      </c>
      <c r="B65" s="20">
        <f>DATE(2019,7,1)</f>
        <v>43647</v>
      </c>
      <c r="C65" s="21">
        <v>366609</v>
      </c>
      <c r="D65" s="21">
        <v>413730</v>
      </c>
      <c r="E65" s="23">
        <f>(+C65-D65)/D65</f>
        <v>-0.11389311870060184</v>
      </c>
      <c r="F65" s="21">
        <f>+C65-178251</f>
        <v>188358</v>
      </c>
      <c r="G65" s="21">
        <f>+D65-202461</f>
        <v>211269</v>
      </c>
      <c r="H65" s="23">
        <f>(+F65-G65)/G65</f>
        <v>-0.10844468426508386</v>
      </c>
      <c r="I65" s="24">
        <f>K65/C65</f>
        <v>42.79596253774457</v>
      </c>
      <c r="J65" s="24">
        <f>K65/F65</f>
        <v>83.29555967890931</v>
      </c>
      <c r="K65" s="21">
        <v>15689385.03</v>
      </c>
      <c r="L65" s="21">
        <v>17628524.71</v>
      </c>
      <c r="M65" s="25">
        <f>(+K65-L65)/L65</f>
        <v>-0.11000011129121885</v>
      </c>
      <c r="N65" s="10"/>
      <c r="R65" s="2"/>
    </row>
    <row r="66" spans="1:18" ht="15.75" customHeight="1">
      <c r="A66" s="19"/>
      <c r="B66" s="20">
        <f>DATE(2019,8,1)</f>
        <v>43678</v>
      </c>
      <c r="C66" s="21">
        <v>384946</v>
      </c>
      <c r="D66" s="21">
        <v>405657</v>
      </c>
      <c r="E66" s="23">
        <f>(+C66-D66)/D66</f>
        <v>-0.05105544832210464</v>
      </c>
      <c r="F66" s="21">
        <f>+C66-186236</f>
        <v>198710</v>
      </c>
      <c r="G66" s="21">
        <f>+D66-195459</f>
        <v>210198</v>
      </c>
      <c r="H66" s="23">
        <f>(+F66-G66)/G66</f>
        <v>-0.05465323171485932</v>
      </c>
      <c r="I66" s="24">
        <f>K66/C66</f>
        <v>43.11652096657713</v>
      </c>
      <c r="J66" s="24">
        <f>K66/F66</f>
        <v>83.52640672336571</v>
      </c>
      <c r="K66" s="21">
        <v>16597532.28</v>
      </c>
      <c r="L66" s="21">
        <v>17799458.53</v>
      </c>
      <c r="M66" s="25">
        <f>(+K66-L66)/L66</f>
        <v>-0.06752600074739475</v>
      </c>
      <c r="N66" s="10"/>
      <c r="R66" s="2"/>
    </row>
    <row r="67" spans="1:18" ht="15.75" customHeight="1">
      <c r="A67" s="19"/>
      <c r="B67" s="20">
        <f>DATE(2019,9,1)</f>
        <v>43709</v>
      </c>
      <c r="C67" s="21">
        <v>348168</v>
      </c>
      <c r="D67" s="21">
        <v>386512</v>
      </c>
      <c r="E67" s="23">
        <f>(+C67-D67)/D67</f>
        <v>-0.09920519932110776</v>
      </c>
      <c r="F67" s="21">
        <f>+C67-163347</f>
        <v>184821</v>
      </c>
      <c r="G67" s="21">
        <f>+D67-188889</f>
        <v>197623</v>
      </c>
      <c r="H67" s="23">
        <f>(+F67-G67)/G67</f>
        <v>-0.06477990922109268</v>
      </c>
      <c r="I67" s="24">
        <f>K67/C67</f>
        <v>44.42201589462558</v>
      </c>
      <c r="J67" s="24">
        <f>K67/F67</f>
        <v>83.68272236380065</v>
      </c>
      <c r="K67" s="21">
        <v>15466324.43</v>
      </c>
      <c r="L67" s="21">
        <v>16599689.7</v>
      </c>
      <c r="M67" s="25">
        <f>(+K67-L67)/L67</f>
        <v>-0.06827629253816712</v>
      </c>
      <c r="N67" s="10"/>
      <c r="R67" s="2"/>
    </row>
    <row r="68" spans="1:18" ht="15.75" customHeight="1">
      <c r="A68" s="19"/>
      <c r="B68" s="20">
        <f>DATE(2019,10,1)</f>
        <v>43739</v>
      </c>
      <c r="C68" s="21">
        <v>347400</v>
      </c>
      <c r="D68" s="21">
        <v>353857</v>
      </c>
      <c r="E68" s="23">
        <f>(+C68-D68)/D68</f>
        <v>-0.01824748415320313</v>
      </c>
      <c r="F68" s="21">
        <f>+C68-164019</f>
        <v>183381</v>
      </c>
      <c r="G68" s="21">
        <f>+D68-169336</f>
        <v>184521</v>
      </c>
      <c r="H68" s="23">
        <f>(+F68-G68)/G68</f>
        <v>-0.006178158583575853</v>
      </c>
      <c r="I68" s="24">
        <f>K68/C68</f>
        <v>47.036089982728846</v>
      </c>
      <c r="J68" s="24">
        <f>K68/F68</f>
        <v>89.10594696288057</v>
      </c>
      <c r="K68" s="21">
        <v>16340337.66</v>
      </c>
      <c r="L68" s="21">
        <v>15074320.55</v>
      </c>
      <c r="M68" s="25">
        <f>(+K68-L68)/L68</f>
        <v>0.08398501980906857</v>
      </c>
      <c r="N68" s="10"/>
      <c r="R68" s="2"/>
    </row>
    <row r="69" spans="1:18" ht="15.75" customHeight="1" thickBot="1">
      <c r="A69" s="19"/>
      <c r="B69" s="45"/>
      <c r="C69" s="21"/>
      <c r="D69" s="21"/>
      <c r="E69" s="23"/>
      <c r="F69" s="21"/>
      <c r="G69" s="21"/>
      <c r="H69" s="23"/>
      <c r="I69" s="24"/>
      <c r="J69" s="24"/>
      <c r="K69" s="21"/>
      <c r="L69" s="21"/>
      <c r="M69" s="25"/>
      <c r="N69" s="10"/>
      <c r="R69" s="2"/>
    </row>
    <row r="70" spans="1:18" ht="17.25" thickBot="1" thickTop="1">
      <c r="A70" s="39" t="s">
        <v>14</v>
      </c>
      <c r="B70" s="40"/>
      <c r="C70" s="41">
        <f>SUM(C65:C69)</f>
        <v>1447123</v>
      </c>
      <c r="D70" s="41">
        <f>SUM(D65:D69)</f>
        <v>1559756</v>
      </c>
      <c r="E70" s="280">
        <f>(+C70-D70)/D70</f>
        <v>-0.07221193571302179</v>
      </c>
      <c r="F70" s="41">
        <f>SUM(F65:F69)</f>
        <v>755270</v>
      </c>
      <c r="G70" s="41">
        <f>SUM(G65:G69)</f>
        <v>803611</v>
      </c>
      <c r="H70" s="42">
        <f>(+F70-G70)/G70</f>
        <v>-0.060154726602796624</v>
      </c>
      <c r="I70" s="43">
        <f>K70/C70</f>
        <v>44.290346708607345</v>
      </c>
      <c r="J70" s="43">
        <f>K70/F70</f>
        <v>84.861810213566</v>
      </c>
      <c r="K70" s="41">
        <f>SUM(K65:K69)</f>
        <v>64093579.39999999</v>
      </c>
      <c r="L70" s="41">
        <f>SUM(L65:L69)</f>
        <v>67101993.489999995</v>
      </c>
      <c r="M70" s="44">
        <f>(+K70-L70)/L70</f>
        <v>-0.0448334532780809</v>
      </c>
      <c r="N70" s="10"/>
      <c r="R70" s="2"/>
    </row>
    <row r="71" spans="1:18" ht="15.75" customHeight="1" thickTop="1">
      <c r="A71" s="54"/>
      <c r="B71" s="55"/>
      <c r="C71" s="55"/>
      <c r="D71" s="55"/>
      <c r="E71" s="56"/>
      <c r="F71" s="55"/>
      <c r="G71" s="55"/>
      <c r="H71" s="56"/>
      <c r="I71" s="55"/>
      <c r="J71" s="55"/>
      <c r="K71" s="196"/>
      <c r="L71" s="196"/>
      <c r="M71" s="57"/>
      <c r="N71" s="10"/>
      <c r="R71" s="2"/>
    </row>
    <row r="72" spans="1:18" ht="15.75" customHeight="1">
      <c r="A72" s="19" t="s">
        <v>58</v>
      </c>
      <c r="B72" s="20">
        <f>DATE(2019,7,1)</f>
        <v>43647</v>
      </c>
      <c r="C72" s="21">
        <v>420442</v>
      </c>
      <c r="D72" s="21">
        <v>437171</v>
      </c>
      <c r="E72" s="23">
        <f>(+C72-D72)/D72</f>
        <v>-0.038266490686710695</v>
      </c>
      <c r="F72" s="21">
        <f>+C72-190554</f>
        <v>229888</v>
      </c>
      <c r="G72" s="21">
        <f>+D72-202695</f>
        <v>234476</v>
      </c>
      <c r="H72" s="23">
        <f>(+F72-G72)/G72</f>
        <v>-0.01956703457923199</v>
      </c>
      <c r="I72" s="24">
        <f>K72/C72</f>
        <v>43.35257134158814</v>
      </c>
      <c r="J72" s="24">
        <f>K72/F72</f>
        <v>79.28748695016704</v>
      </c>
      <c r="K72" s="21">
        <v>18227241.8</v>
      </c>
      <c r="L72" s="21">
        <v>19587162.53</v>
      </c>
      <c r="M72" s="25">
        <f>(+K72-L72)/L72</f>
        <v>-0.06942918495300812</v>
      </c>
      <c r="N72" s="10"/>
      <c r="R72" s="2"/>
    </row>
    <row r="73" spans="1:18" ht="15.75" customHeight="1">
      <c r="A73" s="19"/>
      <c r="B73" s="20">
        <f>DATE(2019,8,1)</f>
        <v>43678</v>
      </c>
      <c r="C73" s="21">
        <v>440157</v>
      </c>
      <c r="D73" s="21">
        <v>428435</v>
      </c>
      <c r="E73" s="23">
        <f>(+C73-D73)/D73</f>
        <v>0.027360042947004795</v>
      </c>
      <c r="F73" s="21">
        <f>+C73-199137</f>
        <v>241020</v>
      </c>
      <c r="G73" s="21">
        <f>+D73-198491</f>
        <v>229944</v>
      </c>
      <c r="H73" s="23">
        <f>(+F73-G73)/G73</f>
        <v>0.04816824966078698</v>
      </c>
      <c r="I73" s="24">
        <f>K73/C73</f>
        <v>44.34990310275652</v>
      </c>
      <c r="J73" s="24">
        <f>K73/F73</f>
        <v>80.99294788814207</v>
      </c>
      <c r="K73" s="21">
        <v>19520920.3</v>
      </c>
      <c r="L73" s="21">
        <v>19072987.46</v>
      </c>
      <c r="M73" s="25">
        <f>(+K73-L73)/L73</f>
        <v>0.023485195538423525</v>
      </c>
      <c r="N73" s="10"/>
      <c r="R73" s="2"/>
    </row>
    <row r="74" spans="1:18" ht="15.75" customHeight="1">
      <c r="A74" s="19"/>
      <c r="B74" s="20">
        <f>DATE(2019,9,1)</f>
        <v>43709</v>
      </c>
      <c r="C74" s="21">
        <v>423245</v>
      </c>
      <c r="D74" s="21">
        <v>430488</v>
      </c>
      <c r="E74" s="23">
        <f>(+C74-D74)/D74</f>
        <v>-0.016825091524037838</v>
      </c>
      <c r="F74" s="21">
        <f>+C74-190485</f>
        <v>232760</v>
      </c>
      <c r="G74" s="21">
        <f>+D74-198602</f>
        <v>231886</v>
      </c>
      <c r="H74" s="23">
        <f>(+F74-G74)/G74</f>
        <v>0.0037690934338424917</v>
      </c>
      <c r="I74" s="24">
        <f>K74/C74</f>
        <v>43.615039823270216</v>
      </c>
      <c r="J74" s="24">
        <f>K74/F74</f>
        <v>79.3085045970098</v>
      </c>
      <c r="K74" s="21">
        <v>18459847.53</v>
      </c>
      <c r="L74" s="21">
        <v>18193233.45</v>
      </c>
      <c r="M74" s="25">
        <f>(+K74-L74)/L74</f>
        <v>0.014654573676126931</v>
      </c>
      <c r="N74" s="10"/>
      <c r="R74" s="2"/>
    </row>
    <row r="75" spans="1:18" ht="15.75" customHeight="1">
      <c r="A75" s="19"/>
      <c r="B75" s="20">
        <f>DATE(2019,10,1)</f>
        <v>43739</v>
      </c>
      <c r="C75" s="21">
        <v>421056</v>
      </c>
      <c r="D75" s="21">
        <v>407351</v>
      </c>
      <c r="E75" s="23">
        <f>(+C75-D75)/D75</f>
        <v>0.033644203647468646</v>
      </c>
      <c r="F75" s="21">
        <f>+C75-184690</f>
        <v>236366</v>
      </c>
      <c r="G75" s="21">
        <f>+D75-184649</f>
        <v>222702</v>
      </c>
      <c r="H75" s="23">
        <f>(+F75-G75)/G75</f>
        <v>0.061355533403382095</v>
      </c>
      <c r="I75" s="24">
        <f>K75/C75</f>
        <v>44.22628460347317</v>
      </c>
      <c r="J75" s="24">
        <f>K75/F75</f>
        <v>78.78350731492684</v>
      </c>
      <c r="K75" s="21">
        <v>18621742.49</v>
      </c>
      <c r="L75" s="21">
        <v>16758743.75</v>
      </c>
      <c r="M75" s="25">
        <f>(+K75-L75)/L75</f>
        <v>0.11116577517929996</v>
      </c>
      <c r="N75" s="10"/>
      <c r="R75" s="2"/>
    </row>
    <row r="76" spans="1:18" ht="15.75" customHeight="1" thickBot="1">
      <c r="A76" s="19"/>
      <c r="B76" s="45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thickBot="1" thickTop="1">
      <c r="A77" s="39" t="s">
        <v>14</v>
      </c>
      <c r="B77" s="40"/>
      <c r="C77" s="41">
        <f>SUM(C72:C76)</f>
        <v>1704900</v>
      </c>
      <c r="D77" s="41">
        <f>SUM(D72:D76)</f>
        <v>1703445</v>
      </c>
      <c r="E77" s="280">
        <f>(+C77-D77)/D77</f>
        <v>0.0008541514401697736</v>
      </c>
      <c r="F77" s="41">
        <f>SUM(F72:F76)</f>
        <v>940034</v>
      </c>
      <c r="G77" s="41">
        <f>SUM(G72:G76)</f>
        <v>919008</v>
      </c>
      <c r="H77" s="42">
        <f>(+F77-G77)/G77</f>
        <v>0.0228790173752568</v>
      </c>
      <c r="I77" s="43">
        <f>K77/C77</f>
        <v>43.89099191741452</v>
      </c>
      <c r="J77" s="43">
        <f>K77/F77</f>
        <v>79.60324001046772</v>
      </c>
      <c r="K77" s="41">
        <f>SUM(K72:K76)</f>
        <v>74829752.12</v>
      </c>
      <c r="L77" s="41">
        <f>SUM(L72:L76)</f>
        <v>73612127.19</v>
      </c>
      <c r="M77" s="44">
        <f>(+K77-L77)/L77</f>
        <v>0.01654109148153265</v>
      </c>
      <c r="N77" s="10"/>
      <c r="R77" s="2"/>
    </row>
    <row r="78" spans="1:18" ht="15.75" customHeight="1" thickTop="1">
      <c r="A78" s="58"/>
      <c r="B78" s="59"/>
      <c r="C78" s="59"/>
      <c r="D78" s="59"/>
      <c r="E78" s="60"/>
      <c r="F78" s="59"/>
      <c r="G78" s="59"/>
      <c r="H78" s="60"/>
      <c r="I78" s="59"/>
      <c r="J78" s="59"/>
      <c r="K78" s="197"/>
      <c r="L78" s="197"/>
      <c r="M78" s="61"/>
      <c r="N78" s="10"/>
      <c r="R78" s="2"/>
    </row>
    <row r="79" spans="1:18" ht="15" customHeight="1">
      <c r="A79" s="19" t="s">
        <v>59</v>
      </c>
      <c r="B79" s="20">
        <f>DATE(2019,7,1)</f>
        <v>43647</v>
      </c>
      <c r="C79" s="21">
        <v>61327</v>
      </c>
      <c r="D79" s="21">
        <v>63934</v>
      </c>
      <c r="E79" s="23">
        <f>(+C79-D79)/D79</f>
        <v>-0.04077642568899177</v>
      </c>
      <c r="F79" s="21">
        <f>+C79-29380</f>
        <v>31947</v>
      </c>
      <c r="G79" s="21">
        <f>+D79-30110</f>
        <v>33824</v>
      </c>
      <c r="H79" s="23">
        <f>(+F79-G79)/G79</f>
        <v>-0.05549314096499527</v>
      </c>
      <c r="I79" s="24">
        <f>K79/C79</f>
        <v>44.82402432859915</v>
      </c>
      <c r="J79" s="24">
        <f>K79/F79</f>
        <v>86.04635615237737</v>
      </c>
      <c r="K79" s="21">
        <v>2748922.94</v>
      </c>
      <c r="L79" s="21">
        <v>2819787.79</v>
      </c>
      <c r="M79" s="25">
        <f>(+K79-L79)/L79</f>
        <v>-0.025131270605296185</v>
      </c>
      <c r="N79" s="10"/>
      <c r="R79" s="2"/>
    </row>
    <row r="80" spans="1:18" ht="15" customHeight="1">
      <c r="A80" s="19"/>
      <c r="B80" s="20">
        <f>DATE(2019,8,1)</f>
        <v>43678</v>
      </c>
      <c r="C80" s="21">
        <v>62887</v>
      </c>
      <c r="D80" s="21">
        <v>61004</v>
      </c>
      <c r="E80" s="23">
        <f>(+C80-D80)/D80</f>
        <v>0.030866828404694773</v>
      </c>
      <c r="F80" s="21">
        <f>+C80-30695</f>
        <v>32192</v>
      </c>
      <c r="G80" s="21">
        <f>+D80-29259</f>
        <v>31745</v>
      </c>
      <c r="H80" s="23">
        <f>(+F80-G80)/G80</f>
        <v>0.014080957631123011</v>
      </c>
      <c r="I80" s="24">
        <f>K80/C80</f>
        <v>47.076432649037166</v>
      </c>
      <c r="J80" s="24">
        <f>K80/F80</f>
        <v>91.96370588966204</v>
      </c>
      <c r="K80" s="21">
        <v>2960495.62</v>
      </c>
      <c r="L80" s="21">
        <v>2779592.61</v>
      </c>
      <c r="M80" s="25">
        <f>(+K80-L80)/L80</f>
        <v>0.06508256258459409</v>
      </c>
      <c r="N80" s="10"/>
      <c r="R80" s="2"/>
    </row>
    <row r="81" spans="1:18" ht="15" customHeight="1">
      <c r="A81" s="19"/>
      <c r="B81" s="20">
        <f>DATE(2019,9,1)</f>
        <v>43709</v>
      </c>
      <c r="C81" s="21">
        <v>59108</v>
      </c>
      <c r="D81" s="21">
        <v>57391</v>
      </c>
      <c r="E81" s="23">
        <f>(+C81-D81)/D81</f>
        <v>0.029917582896272936</v>
      </c>
      <c r="F81" s="21">
        <f>+C81-28508</f>
        <v>30600</v>
      </c>
      <c r="G81" s="21">
        <f>+D81-27760</f>
        <v>29631</v>
      </c>
      <c r="H81" s="23">
        <f>(+F81-G81)/G81</f>
        <v>0.03270223752151463</v>
      </c>
      <c r="I81" s="24">
        <f>K81/C81</f>
        <v>45.64173242200717</v>
      </c>
      <c r="J81" s="24">
        <f>K81/F81</f>
        <v>88.16312156862745</v>
      </c>
      <c r="K81" s="21">
        <v>2697791.52</v>
      </c>
      <c r="L81" s="21">
        <v>2617109.27</v>
      </c>
      <c r="M81" s="25">
        <f>(+K81-L81)/L81</f>
        <v>0.03082876627463094</v>
      </c>
      <c r="N81" s="10"/>
      <c r="R81" s="2"/>
    </row>
    <row r="82" spans="1:18" ht="15" customHeight="1">
      <c r="A82" s="19"/>
      <c r="B82" s="20">
        <f>DATE(2019,10,1)</f>
        <v>43739</v>
      </c>
      <c r="C82" s="21">
        <v>56197</v>
      </c>
      <c r="D82" s="21">
        <v>54970</v>
      </c>
      <c r="E82" s="23">
        <f>(+C82-D82)/D82</f>
        <v>0.022321266145170094</v>
      </c>
      <c r="F82" s="21">
        <f>+C82-27661</f>
        <v>28536</v>
      </c>
      <c r="G82" s="21">
        <f>+D82-26236</f>
        <v>28734</v>
      </c>
      <c r="H82" s="23">
        <f>(+F82-G82)/G82</f>
        <v>-0.006890791396951347</v>
      </c>
      <c r="I82" s="24">
        <f>K82/C82</f>
        <v>50.092445860099296</v>
      </c>
      <c r="J82" s="24">
        <f>K82/F82</f>
        <v>98.64890594336978</v>
      </c>
      <c r="K82" s="21">
        <v>2815045.18</v>
      </c>
      <c r="L82" s="21">
        <v>2535463.88</v>
      </c>
      <c r="M82" s="25">
        <f>(+K82-L82)/L82</f>
        <v>0.11026830325029134</v>
      </c>
      <c r="N82" s="10"/>
      <c r="R82" s="2"/>
    </row>
    <row r="83" spans="1:18" ht="15.75" thickBot="1">
      <c r="A83" s="38"/>
      <c r="B83" s="20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7.25" thickBot="1" thickTop="1">
      <c r="A84" s="62" t="s">
        <v>14</v>
      </c>
      <c r="B84" s="52"/>
      <c r="C84" s="48">
        <f>SUM(C79:C83)</f>
        <v>239519</v>
      </c>
      <c r="D84" s="48">
        <f>SUM(D79:D83)</f>
        <v>237299</v>
      </c>
      <c r="E84" s="280">
        <f>(+C84-D84)/D84</f>
        <v>0.009355285947264843</v>
      </c>
      <c r="F84" s="48">
        <f>SUM(F79:F83)</f>
        <v>123275</v>
      </c>
      <c r="G84" s="48">
        <f>SUM(G79:G83)</f>
        <v>123934</v>
      </c>
      <c r="H84" s="42">
        <f>(+F84-G84)/G84</f>
        <v>-0.005317346329497959</v>
      </c>
      <c r="I84" s="50">
        <f>K84/C84</f>
        <v>46.85329873621717</v>
      </c>
      <c r="J84" s="50">
        <f>K84/F84</f>
        <v>91.03431563577368</v>
      </c>
      <c r="K84" s="48">
        <f>SUM(K79:K83)</f>
        <v>11222255.26</v>
      </c>
      <c r="L84" s="48">
        <f>SUM(L79:L83)</f>
        <v>10751953.55</v>
      </c>
      <c r="M84" s="44">
        <f>(+K84-L84)/L84</f>
        <v>0.04374104741179793</v>
      </c>
      <c r="N84" s="10"/>
      <c r="R84" s="2"/>
    </row>
    <row r="85" spans="1:18" ht="15.75" customHeight="1" thickTop="1">
      <c r="A85" s="19"/>
      <c r="B85" s="45"/>
      <c r="C85" s="21"/>
      <c r="D85" s="21"/>
      <c r="E85" s="23"/>
      <c r="F85" s="21"/>
      <c r="G85" s="21"/>
      <c r="H85" s="23"/>
      <c r="I85" s="24"/>
      <c r="J85" s="24"/>
      <c r="K85" s="21"/>
      <c r="L85" s="21"/>
      <c r="M85" s="25"/>
      <c r="N85" s="10"/>
      <c r="R85" s="2"/>
    </row>
    <row r="86" spans="1:18" ht="15.75">
      <c r="A86" s="19" t="s">
        <v>19</v>
      </c>
      <c r="B86" s="20">
        <f>DATE(2019,7,1)</f>
        <v>43647</v>
      </c>
      <c r="C86" s="21">
        <v>447474</v>
      </c>
      <c r="D86" s="21">
        <v>470294</v>
      </c>
      <c r="E86" s="23">
        <f>(+C86-D86)/D86</f>
        <v>-0.048522838905025366</v>
      </c>
      <c r="F86" s="21">
        <f>+C86-208413</f>
        <v>239061</v>
      </c>
      <c r="G86" s="21">
        <f>+D86-224781</f>
        <v>245513</v>
      </c>
      <c r="H86" s="23">
        <f>(+F86-G86)/G86</f>
        <v>-0.02627966747178357</v>
      </c>
      <c r="I86" s="24">
        <f>K86/C86</f>
        <v>50.94836323451195</v>
      </c>
      <c r="J86" s="24">
        <f>K86/F86</f>
        <v>95.36506535988723</v>
      </c>
      <c r="K86" s="21">
        <v>22798067.89</v>
      </c>
      <c r="L86" s="21">
        <v>23419555.78</v>
      </c>
      <c r="M86" s="25">
        <f>(+K86-L86)/L86</f>
        <v>-0.02653713400194991</v>
      </c>
      <c r="N86" s="10"/>
      <c r="R86" s="2"/>
    </row>
    <row r="87" spans="1:18" ht="15.75">
      <c r="A87" s="19"/>
      <c r="B87" s="20">
        <f>DATE(2019,8,1)</f>
        <v>43678</v>
      </c>
      <c r="C87" s="21">
        <v>463395</v>
      </c>
      <c r="D87" s="21">
        <v>474770</v>
      </c>
      <c r="E87" s="23">
        <f>(+C87-D87)/D87</f>
        <v>-0.0239589696063357</v>
      </c>
      <c r="F87" s="21">
        <f>+C87-219743</f>
        <v>243652</v>
      </c>
      <c r="G87" s="21">
        <f>+D87-232249</f>
        <v>242521</v>
      </c>
      <c r="H87" s="23">
        <f>(+F87-G87)/G87</f>
        <v>0.004663513675104424</v>
      </c>
      <c r="I87" s="24">
        <f>K87/C87</f>
        <v>50.06706664940278</v>
      </c>
      <c r="J87" s="24">
        <f>K87/F87</f>
        <v>95.22116933166977</v>
      </c>
      <c r="K87" s="21">
        <v>23200828.35</v>
      </c>
      <c r="L87" s="21">
        <v>23787231.31</v>
      </c>
      <c r="M87" s="25">
        <f>(+K87-L87)/L87</f>
        <v>-0.02465200562259119</v>
      </c>
      <c r="N87" s="10"/>
      <c r="R87" s="2"/>
    </row>
    <row r="88" spans="1:18" ht="15.75">
      <c r="A88" s="19"/>
      <c r="B88" s="20">
        <f>DATE(2019,9,1)</f>
        <v>43709</v>
      </c>
      <c r="C88" s="21">
        <v>425895</v>
      </c>
      <c r="D88" s="21">
        <v>439040</v>
      </c>
      <c r="E88" s="23">
        <f>(+C88-D88)/D88</f>
        <v>-0.029940324344023325</v>
      </c>
      <c r="F88" s="21">
        <f>+C88-202221</f>
        <v>223674</v>
      </c>
      <c r="G88" s="21">
        <f>+D88-213778</f>
        <v>225262</v>
      </c>
      <c r="H88" s="23">
        <f>(+F88-G88)/G88</f>
        <v>-0.007049568946382435</v>
      </c>
      <c r="I88" s="24">
        <f>K88/C88</f>
        <v>50.554484485612655</v>
      </c>
      <c r="J88" s="24">
        <f>K88/F88</f>
        <v>96.26019193111404</v>
      </c>
      <c r="K88" s="21">
        <v>21530902.17</v>
      </c>
      <c r="L88" s="21">
        <v>21674295.54</v>
      </c>
      <c r="M88" s="25">
        <f>(+K88-L88)/L88</f>
        <v>-0.006615826093879927</v>
      </c>
      <c r="N88" s="10"/>
      <c r="R88" s="2"/>
    </row>
    <row r="89" spans="1:18" ht="15.75">
      <c r="A89" s="19"/>
      <c r="B89" s="20">
        <f>DATE(2019,10,1)</f>
        <v>43739</v>
      </c>
      <c r="C89" s="21">
        <v>405696</v>
      </c>
      <c r="D89" s="21">
        <v>422287</v>
      </c>
      <c r="E89" s="23">
        <f>(+C89-D89)/D89</f>
        <v>-0.039288446009467494</v>
      </c>
      <c r="F89" s="21">
        <f>+C89-186355</f>
        <v>219341</v>
      </c>
      <c r="G89" s="21">
        <f>+D89-199383</f>
        <v>222904</v>
      </c>
      <c r="H89" s="23">
        <f>(+F89-G89)/G89</f>
        <v>-0.015984459677708788</v>
      </c>
      <c r="I89" s="24">
        <f>K89/C89</f>
        <v>53.73031084851712</v>
      </c>
      <c r="J89" s="24">
        <f>K89/F89</f>
        <v>99.38029000506062</v>
      </c>
      <c r="K89" s="21">
        <v>21798172.19</v>
      </c>
      <c r="L89" s="21">
        <v>20754214.07</v>
      </c>
      <c r="M89" s="25">
        <f>(+K89-L89)/L89</f>
        <v>0.050301019179956885</v>
      </c>
      <c r="N89" s="10"/>
      <c r="R89" s="2"/>
    </row>
    <row r="90" spans="1:18" ht="15.75" thickBot="1">
      <c r="A90" s="38"/>
      <c r="B90" s="45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25" thickBot="1" thickTop="1">
      <c r="A91" s="39" t="s">
        <v>14</v>
      </c>
      <c r="B91" s="40"/>
      <c r="C91" s="41">
        <f>SUM(C86:C90)</f>
        <v>1742460</v>
      </c>
      <c r="D91" s="41">
        <f>SUM(D86:D90)</f>
        <v>1806391</v>
      </c>
      <c r="E91" s="280">
        <f>(+C91-D91)/D91</f>
        <v>-0.03539156251332076</v>
      </c>
      <c r="F91" s="41">
        <f>SUM(F86:F90)</f>
        <v>925728</v>
      </c>
      <c r="G91" s="41">
        <f>SUM(G86:G90)</f>
        <v>936200</v>
      </c>
      <c r="H91" s="42">
        <f>(+F91-G91)/G91</f>
        <v>-0.011185644093142492</v>
      </c>
      <c r="I91" s="43">
        <f>K91/C91</f>
        <v>51.26543541889053</v>
      </c>
      <c r="J91" s="43">
        <f>K91/F91</f>
        <v>96.49483498392615</v>
      </c>
      <c r="K91" s="41">
        <f>SUM(K86:K90)</f>
        <v>89327970.6</v>
      </c>
      <c r="L91" s="41">
        <f>SUM(L86:L90)</f>
        <v>89635296.69999999</v>
      </c>
      <c r="M91" s="44">
        <f>(+K91-L91)/L91</f>
        <v>-0.0034286281332741335</v>
      </c>
      <c r="N91" s="10"/>
      <c r="R91" s="2"/>
    </row>
    <row r="92" spans="1:18" ht="15.75" customHeight="1" thickTop="1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>
      <c r="A93" s="19" t="s">
        <v>63</v>
      </c>
      <c r="B93" s="20">
        <f>DATE(2019,7,1)</f>
        <v>43647</v>
      </c>
      <c r="C93" s="21">
        <v>77431</v>
      </c>
      <c r="D93" s="21">
        <v>83462</v>
      </c>
      <c r="E93" s="23">
        <f>(+C93-D93)/D93</f>
        <v>-0.07226042989624021</v>
      </c>
      <c r="F93" s="21">
        <f>+C93-35761</f>
        <v>41670</v>
      </c>
      <c r="G93" s="21">
        <f>+D93-37670</f>
        <v>45792</v>
      </c>
      <c r="H93" s="23">
        <f>(+F93-G93)/G93</f>
        <v>-0.09001572327044025</v>
      </c>
      <c r="I93" s="24">
        <f>K93/C93</f>
        <v>43.86689930389637</v>
      </c>
      <c r="J93" s="24">
        <f>K93/F93</f>
        <v>81.51326805855531</v>
      </c>
      <c r="K93" s="21">
        <v>3396657.88</v>
      </c>
      <c r="L93" s="21">
        <v>3596592.5</v>
      </c>
      <c r="M93" s="25">
        <f>(+K93-L93)/L93</f>
        <v>-0.05559001193490786</v>
      </c>
      <c r="N93" s="10"/>
      <c r="R93" s="2"/>
    </row>
    <row r="94" spans="1:18" ht="15.75">
      <c r="A94" s="19"/>
      <c r="B94" s="20">
        <f>DATE(2019,8,1)</f>
        <v>43678</v>
      </c>
      <c r="C94" s="21">
        <v>83032</v>
      </c>
      <c r="D94" s="21">
        <v>82775</v>
      </c>
      <c r="E94" s="23">
        <f>(+C94-D94)/D94</f>
        <v>0.0031048021745696164</v>
      </c>
      <c r="F94" s="21">
        <f>+C94-37844</f>
        <v>45188</v>
      </c>
      <c r="G94" s="21">
        <f>+D94-37255</f>
        <v>45520</v>
      </c>
      <c r="H94" s="23">
        <f>(+F94-G94)/G94</f>
        <v>-0.007293497363796133</v>
      </c>
      <c r="I94" s="24">
        <f>K94/C94</f>
        <v>42.0536719577994</v>
      </c>
      <c r="J94" s="24">
        <f>K94/F94</f>
        <v>77.27273811631407</v>
      </c>
      <c r="K94" s="21">
        <v>3491800.49</v>
      </c>
      <c r="L94" s="21">
        <v>3639194.09</v>
      </c>
      <c r="M94" s="25">
        <f>(+K94-L94)/L94</f>
        <v>-0.04050171448811064</v>
      </c>
      <c r="N94" s="10"/>
      <c r="R94" s="2"/>
    </row>
    <row r="95" spans="1:18" ht="15.75">
      <c r="A95" s="19"/>
      <c r="B95" s="20">
        <f>DATE(2019,9,1)</f>
        <v>43709</v>
      </c>
      <c r="C95" s="21">
        <v>70924</v>
      </c>
      <c r="D95" s="21">
        <v>77092</v>
      </c>
      <c r="E95" s="23">
        <f>(+C95-D95)/D95</f>
        <v>-0.08000830176931459</v>
      </c>
      <c r="F95" s="21">
        <f>+C95-32729</f>
        <v>38195</v>
      </c>
      <c r="G95" s="21">
        <f>+D95-35421</f>
        <v>41671</v>
      </c>
      <c r="H95" s="23">
        <f>(+F95-G95)/G95</f>
        <v>-0.08341532480622016</v>
      </c>
      <c r="I95" s="24">
        <f>K95/C95</f>
        <v>47.53593635440753</v>
      </c>
      <c r="J95" s="24">
        <f>K95/F95</f>
        <v>88.26911244927346</v>
      </c>
      <c r="K95" s="21">
        <v>3371438.75</v>
      </c>
      <c r="L95" s="21">
        <v>3422069</v>
      </c>
      <c r="M95" s="25">
        <f>(+K95-L95)/L95</f>
        <v>-0.014795215993599195</v>
      </c>
      <c r="N95" s="10"/>
      <c r="R95" s="2"/>
    </row>
    <row r="96" spans="1:18" ht="15.75">
      <c r="A96" s="19"/>
      <c r="B96" s="20">
        <f>DATE(2019,10,1)</f>
        <v>43739</v>
      </c>
      <c r="C96" s="21">
        <v>70482</v>
      </c>
      <c r="D96" s="21">
        <v>82223</v>
      </c>
      <c r="E96" s="23">
        <f>(+C96-D96)/D96</f>
        <v>-0.14279459518626175</v>
      </c>
      <c r="F96" s="21">
        <f>+C96-33635</f>
        <v>36847</v>
      </c>
      <c r="G96" s="21">
        <f>+D96-37480</f>
        <v>44743</v>
      </c>
      <c r="H96" s="23">
        <f>(+F96-G96)/G96</f>
        <v>-0.17647453232907942</v>
      </c>
      <c r="I96" s="24">
        <f>K96/C96</f>
        <v>46.45171518969382</v>
      </c>
      <c r="J96" s="24">
        <f>K96/F96</f>
        <v>88.85417510245068</v>
      </c>
      <c r="K96" s="21">
        <v>3274009.79</v>
      </c>
      <c r="L96" s="21">
        <v>3392612.93</v>
      </c>
      <c r="M96" s="25">
        <f>(+K96-L96)/L96</f>
        <v>-0.03495923126131578</v>
      </c>
      <c r="N96" s="10"/>
      <c r="R96" s="2"/>
    </row>
    <row r="97" spans="1:18" ht="15.75" thickBot="1">
      <c r="A97" s="38"/>
      <c r="B97" s="45"/>
      <c r="C97" s="21"/>
      <c r="D97" s="21"/>
      <c r="E97" s="23"/>
      <c r="F97" s="21"/>
      <c r="G97" s="21"/>
      <c r="H97" s="23"/>
      <c r="I97" s="24"/>
      <c r="J97" s="24"/>
      <c r="K97" s="21"/>
      <c r="L97" s="21"/>
      <c r="M97" s="25"/>
      <c r="N97" s="10"/>
      <c r="R97" s="2"/>
    </row>
    <row r="98" spans="1:18" ht="17.25" thickBot="1" thickTop="1">
      <c r="A98" s="26" t="s">
        <v>14</v>
      </c>
      <c r="B98" s="27"/>
      <c r="C98" s="28">
        <f>SUM(C93:C97)</f>
        <v>301869</v>
      </c>
      <c r="D98" s="28">
        <f>SUM(D93:D97)</f>
        <v>325552</v>
      </c>
      <c r="E98" s="280">
        <f>(+C98-D98)/D98</f>
        <v>-0.07274721089104044</v>
      </c>
      <c r="F98" s="28">
        <f>SUM(F93:F97)</f>
        <v>161900</v>
      </c>
      <c r="G98" s="28">
        <f>SUM(G93:G97)</f>
        <v>177726</v>
      </c>
      <c r="H98" s="42">
        <f>(+F98-G98)/G98</f>
        <v>-0.0890471849926291</v>
      </c>
      <c r="I98" s="43">
        <f>K98/C98</f>
        <v>44.83370902610073</v>
      </c>
      <c r="J98" s="43">
        <f>K98/F98</f>
        <v>83.59423662754787</v>
      </c>
      <c r="K98" s="28">
        <f>SUM(K93:K97)</f>
        <v>13533906.91</v>
      </c>
      <c r="L98" s="28">
        <f>SUM(L93:L97)</f>
        <v>14050468.52</v>
      </c>
      <c r="M98" s="44">
        <f>(+K98-L98)/L98</f>
        <v>-0.036764724910397464</v>
      </c>
      <c r="N98" s="10"/>
      <c r="R98" s="2"/>
    </row>
    <row r="99" spans="1:18" ht="16.5" thickBot="1" thickTop="1">
      <c r="A99" s="63"/>
      <c r="B99" s="34"/>
      <c r="C99" s="35"/>
      <c r="D99" s="35"/>
      <c r="E99" s="29"/>
      <c r="F99" s="35"/>
      <c r="G99" s="35"/>
      <c r="H99" s="29"/>
      <c r="I99" s="36"/>
      <c r="J99" s="36"/>
      <c r="K99" s="35"/>
      <c r="L99" s="35"/>
      <c r="M99" s="37"/>
      <c r="N99" s="10"/>
      <c r="R99" s="2"/>
    </row>
    <row r="100" spans="1:18" ht="17.25" thickBot="1" thickTop="1">
      <c r="A100" s="64" t="s">
        <v>20</v>
      </c>
      <c r="B100" s="65"/>
      <c r="C100" s="28">
        <f>C98+C91+C42+C56+C63+C28+C14+C70+C77+C35+C84+C21+C49</f>
        <v>12316070</v>
      </c>
      <c r="D100" s="28">
        <f>D98+D91+D42+D56+D63+D28+D14+D70+D77+D35+D84+D21+D49</f>
        <v>12949978</v>
      </c>
      <c r="E100" s="279">
        <f>(+C100-D100)/D100</f>
        <v>-0.048950507869588655</v>
      </c>
      <c r="F100" s="28">
        <f>F98+F91+F42+F56+F63+F28+F14+F70+F77+F35+F84+F21+F49</f>
        <v>6564991</v>
      </c>
      <c r="G100" s="28">
        <f>G98+G91+G42+G56+G63+G28+G14+G70+G77+G35+G84+G21+G49</f>
        <v>6821726</v>
      </c>
      <c r="H100" s="30">
        <f>(+F100-G100)/G100</f>
        <v>-0.03763490354200682</v>
      </c>
      <c r="I100" s="31">
        <f>K100/C100</f>
        <v>46.84986088419439</v>
      </c>
      <c r="J100" s="31">
        <f>K100/F100</f>
        <v>87.89138722962453</v>
      </c>
      <c r="K100" s="28">
        <f>K98+K91+K42+K56+K63+K28+K14+K70+K77+K35+K84+K21+K49</f>
        <v>577006166.14</v>
      </c>
      <c r="L100" s="28">
        <f>L98+L91+L42+L56+L63+L28+L14+L70+L77+L35+L84+L21+L49</f>
        <v>583723796.88</v>
      </c>
      <c r="M100" s="32">
        <f>(+K100-L100)/L100</f>
        <v>-0.011508235189152307</v>
      </c>
      <c r="N100" s="10"/>
      <c r="R100" s="2"/>
    </row>
    <row r="101" spans="1:18" ht="17.25" thickBot="1" thickTop="1">
      <c r="A101" s="64"/>
      <c r="B101" s="65"/>
      <c r="C101" s="28"/>
      <c r="D101" s="28"/>
      <c r="E101" s="29"/>
      <c r="F101" s="28"/>
      <c r="G101" s="28"/>
      <c r="H101" s="30"/>
      <c r="I101" s="31"/>
      <c r="J101" s="31"/>
      <c r="K101" s="28"/>
      <c r="L101" s="28"/>
      <c r="M101" s="32"/>
      <c r="N101" s="10"/>
      <c r="R101" s="2"/>
    </row>
    <row r="102" spans="1:18" ht="17.25" thickBot="1" thickTop="1">
      <c r="A102" s="64" t="s">
        <v>21</v>
      </c>
      <c r="B102" s="65"/>
      <c r="C102" s="28">
        <f>SUM(C12+C19+C26+C33+C40+C47+C54+C61+C68+C75+C82+C89+C96)</f>
        <v>2929084</v>
      </c>
      <c r="D102" s="28">
        <f>SUM(D12+D19+D26+D33+D40+D47+D54+D61+D68+D75+D82+D89+D96)</f>
        <v>3039343</v>
      </c>
      <c r="E102" s="279">
        <f>(+C102-D102)/D102</f>
        <v>-0.036277248076311226</v>
      </c>
      <c r="F102" s="28">
        <f>SUM(F12+F19+F26+F33+F40+F47+F54+F61+F68+F75+F82+F89+F96)</f>
        <v>1566049</v>
      </c>
      <c r="G102" s="28">
        <f>SUM(G12+G19+G26+G33+G40+G47+G54+G61+G68+G75+G82+G89+G96)</f>
        <v>1609590</v>
      </c>
      <c r="H102" s="30">
        <f>(+F102-G102)/G102</f>
        <v>-0.027050988139836852</v>
      </c>
      <c r="I102" s="31">
        <f>K102/C102</f>
        <v>48.31588723641931</v>
      </c>
      <c r="J102" s="31">
        <f>K102/F102</f>
        <v>90.3683679437872</v>
      </c>
      <c r="K102" s="28">
        <f>SUM(K12+K19+K26+K33+K40+K47+K54+K61+K68+K75+K82+K89+K96)</f>
        <v>141521292.25</v>
      </c>
      <c r="L102" s="28">
        <f>SUM(L12+L19+L26+L33+L40+L47+L54+L61+L68+L75+L82+L89+L96)</f>
        <v>138002111.53</v>
      </c>
      <c r="M102" s="44">
        <f>(+K102-L102)/L102</f>
        <v>0.025500919377128308</v>
      </c>
      <c r="N102" s="10"/>
      <c r="R102" s="2"/>
    </row>
    <row r="103" spans="1:18" ht="15.75" thickTop="1">
      <c r="A103" s="66"/>
      <c r="B103" s="67"/>
      <c r="C103" s="68"/>
      <c r="D103" s="67"/>
      <c r="E103" s="67"/>
      <c r="F103" s="67"/>
      <c r="G103" s="67"/>
      <c r="H103" s="67"/>
      <c r="I103" s="67"/>
      <c r="J103" s="67"/>
      <c r="K103" s="68"/>
      <c r="L103" s="68"/>
      <c r="M103" s="67"/>
      <c r="R103" s="2"/>
    </row>
    <row r="104" spans="1:18" ht="18.75">
      <c r="A104" s="264" t="s">
        <v>22</v>
      </c>
      <c r="B104" s="70"/>
      <c r="C104" s="71"/>
      <c r="D104" s="71"/>
      <c r="E104" s="71"/>
      <c r="F104" s="71"/>
      <c r="G104" s="71"/>
      <c r="H104" s="71"/>
      <c r="I104" s="71"/>
      <c r="J104" s="71"/>
      <c r="K104" s="198"/>
      <c r="L104" s="198"/>
      <c r="M104" s="71"/>
      <c r="N104" s="2"/>
      <c r="O104" s="2"/>
      <c r="P104" s="2"/>
      <c r="Q104" s="2"/>
      <c r="R104" s="2"/>
    </row>
    <row r="105" spans="1:18" ht="18">
      <c r="A105" s="69"/>
      <c r="B105" s="70"/>
      <c r="C105" s="71"/>
      <c r="D105" s="71"/>
      <c r="E105" s="71"/>
      <c r="F105" s="71"/>
      <c r="G105" s="71"/>
      <c r="H105" s="71"/>
      <c r="I105" s="71"/>
      <c r="J105" s="71"/>
      <c r="K105" s="198"/>
      <c r="L105" s="198"/>
      <c r="M105" s="71"/>
      <c r="N105" s="2"/>
      <c r="O105" s="2"/>
      <c r="P105" s="2"/>
      <c r="Q105" s="2"/>
      <c r="R105" s="2"/>
    </row>
    <row r="106" spans="1:18" ht="15.75">
      <c r="A106" s="72"/>
      <c r="B106" s="73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">
      <c r="A107" s="2"/>
      <c r="B107" s="73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ht="15">
      <c r="A108" s="2"/>
      <c r="B108" s="73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">
      <c r="A109" s="2"/>
      <c r="B109" s="73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ht="15">
      <c r="A110" s="2"/>
      <c r="B110" s="73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ht="15">
      <c r="A111" s="2"/>
      <c r="B111" s="73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">
      <c r="A112" s="2"/>
      <c r="B112" s="73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">
      <c r="A113" s="2"/>
      <c r="B113" s="73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">
      <c r="A114" s="2"/>
      <c r="B114" s="73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ht="15">
      <c r="A115" s="2"/>
      <c r="B115" s="73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4"/>
      <c r="N115" s="2"/>
      <c r="O115" s="2"/>
      <c r="P115" s="2"/>
      <c r="Q115" s="2"/>
      <c r="R115" s="2"/>
    </row>
    <row r="116" spans="1:18" ht="15">
      <c r="A116" s="2"/>
      <c r="B116" s="73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4"/>
      <c r="N116" s="2"/>
      <c r="O116" s="2"/>
      <c r="P116" s="2"/>
      <c r="Q116" s="2"/>
      <c r="R116" s="2"/>
    </row>
    <row r="117" spans="1:18" ht="15">
      <c r="A117" s="2"/>
      <c r="B117" s="70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4"/>
      <c r="N117" s="2"/>
      <c r="O117" s="2"/>
      <c r="P117" s="2"/>
      <c r="Q117" s="2"/>
      <c r="R117" s="2"/>
    </row>
    <row r="118" spans="1:18" ht="15.75">
      <c r="A118" s="76"/>
      <c r="B118" s="70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.75">
      <c r="A119" s="76"/>
      <c r="B119" s="70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.75">
      <c r="A120" s="76"/>
      <c r="B120" s="70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70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.75">
      <c r="A122" s="76"/>
      <c r="B122" s="73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">
      <c r="A123" s="2"/>
      <c r="B123" s="73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73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">
      <c r="A125" s="2"/>
      <c r="B125" s="77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">
      <c r="A126" s="2"/>
      <c r="B126" s="77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">
      <c r="A127" s="2"/>
      <c r="B127" s="77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77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ht="15">
      <c r="A129" s="2"/>
      <c r="B129" s="77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">
      <c r="A130" s="2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ht="15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">
      <c r="A133" s="2"/>
      <c r="B133" s="77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.75">
      <c r="A135" s="76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">
      <c r="A136" s="2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.75">
      <c r="A138" s="76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.75">
      <c r="A139" s="76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.75">
      <c r="A140" s="76"/>
      <c r="B140" s="77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77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77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">
      <c r="A143" s="2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77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77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77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77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77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77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.75">
      <c r="A153" s="76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.75">
      <c r="A156" s="76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.75">
      <c r="A162" s="76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.75">
      <c r="A165" s="76"/>
      <c r="B165" s="76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2" manualBreakCount="2">
    <brk id="49" max="12" man="1"/>
    <brk id="9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B9">
      <selection activeCell="O35" sqref="O35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DATE(2019,7,1)</f>
        <v>43647</v>
      </c>
      <c r="B10" s="89">
        <f>'MONTHLY STATS'!$C$9*2</f>
        <v>547638</v>
      </c>
      <c r="C10" s="89">
        <f>'MONTHLY STATS'!$C$16*2</f>
        <v>257754</v>
      </c>
      <c r="D10" s="89">
        <f>'MONTHLY STATS'!$C$23*2</f>
        <v>133644</v>
      </c>
      <c r="E10" s="89">
        <f>'MONTHLY STATS'!$C$30*2</f>
        <v>876434</v>
      </c>
      <c r="F10" s="89">
        <f>'MONTHLY STATS'!$C$37*2</f>
        <v>577518</v>
      </c>
      <c r="G10" s="89">
        <f>'MONTHLY STATS'!$C$44*2</f>
        <v>221856</v>
      </c>
      <c r="H10" s="89">
        <f>'MONTHLY STATS'!$C$51*2</f>
        <v>302822</v>
      </c>
      <c r="I10" s="89">
        <f>'MONTHLY STATS'!$C$58*2</f>
        <v>647442</v>
      </c>
      <c r="J10" s="89">
        <f>'MONTHLY STATS'!$C$65*2</f>
        <v>733218</v>
      </c>
      <c r="K10" s="89">
        <f>'MONTHLY STATS'!$C$72*2</f>
        <v>840884</v>
      </c>
      <c r="L10" s="89">
        <f>'MONTHLY STATS'!$C$79*2</f>
        <v>122654</v>
      </c>
      <c r="M10" s="89">
        <f>'MONTHLY STATS'!$C$86*2</f>
        <v>894948</v>
      </c>
      <c r="N10" s="89">
        <f>'MONTHLY STATS'!$C$93*2</f>
        <v>154862</v>
      </c>
      <c r="O10" s="90">
        <f>SUM(B10:N10)</f>
        <v>6311674</v>
      </c>
      <c r="P10" s="83"/>
    </row>
    <row r="11" spans="1:16" ht="15.75">
      <c r="A11" s="88">
        <f>DATE(2019,8,1)</f>
        <v>43678</v>
      </c>
      <c r="B11" s="89">
        <f>'MONTHLY STATS'!$C$10*2</f>
        <v>553760</v>
      </c>
      <c r="C11" s="89">
        <f>'MONTHLY STATS'!$C$17*2</f>
        <v>260266</v>
      </c>
      <c r="D11" s="89">
        <f>'MONTHLY STATS'!$C$24*2</f>
        <v>138050</v>
      </c>
      <c r="E11" s="89">
        <f>'MONTHLY STATS'!$C$31*2</f>
        <v>874058</v>
      </c>
      <c r="F11" s="89">
        <f>'MONTHLY STATS'!$C$38*2</f>
        <v>585914</v>
      </c>
      <c r="G11" s="89">
        <f>'MONTHLY STATS'!$C$45*2</f>
        <v>228616</v>
      </c>
      <c r="H11" s="89">
        <f>'MONTHLY STATS'!$C$52*2</f>
        <v>306888</v>
      </c>
      <c r="I11" s="89">
        <f>'MONTHLY STATS'!$C$59*2</f>
        <v>649404</v>
      </c>
      <c r="J11" s="89">
        <f>'MONTHLY STATS'!$C$66*2</f>
        <v>769892</v>
      </c>
      <c r="K11" s="89">
        <f>'MONTHLY STATS'!$C$73*2</f>
        <v>880314</v>
      </c>
      <c r="L11" s="89">
        <f>'MONTHLY STATS'!$C$80*2</f>
        <v>125774</v>
      </c>
      <c r="M11" s="89">
        <f>'MONTHLY STATS'!$C$87*2</f>
        <v>926790</v>
      </c>
      <c r="N11" s="89">
        <f>'MONTHLY STATS'!$C$94*2</f>
        <v>166064</v>
      </c>
      <c r="O11" s="90">
        <f>SUM(B11:N11)</f>
        <v>6465790</v>
      </c>
      <c r="P11" s="83"/>
    </row>
    <row r="12" spans="1:16" ht="15.75">
      <c r="A12" s="88">
        <f>DATE(2019,9,1)</f>
        <v>43709</v>
      </c>
      <c r="B12" s="89">
        <f>'MONTHLY STATS'!$C$11*2</f>
        <v>508056</v>
      </c>
      <c r="C12" s="89">
        <f>'MONTHLY STATS'!$C$18*2</f>
        <v>236502</v>
      </c>
      <c r="D12" s="89">
        <f>'MONTHLY STATS'!$C$25*2</f>
        <v>131146</v>
      </c>
      <c r="E12" s="89">
        <f>'MONTHLY STATS'!$C$32*2</f>
        <v>807698</v>
      </c>
      <c r="F12" s="89">
        <f>'MONTHLY STATS'!$C$39*2</f>
        <v>553426</v>
      </c>
      <c r="G12" s="89">
        <f>'MONTHLY STATS'!$C$46*2</f>
        <v>217338</v>
      </c>
      <c r="H12" s="89">
        <f>'MONTHLY STATS'!$C$53*2</f>
        <v>286098</v>
      </c>
      <c r="I12" s="89">
        <f>'MONTHLY STATS'!$C$60*2</f>
        <v>601564</v>
      </c>
      <c r="J12" s="89">
        <f>'MONTHLY STATS'!$C$67*2</f>
        <v>696336</v>
      </c>
      <c r="K12" s="89">
        <f>'MONTHLY STATS'!$C$74*2</f>
        <v>846490</v>
      </c>
      <c r="L12" s="89">
        <f>'MONTHLY STATS'!$C$81*2</f>
        <v>118216</v>
      </c>
      <c r="M12" s="89">
        <f>'MONTHLY STATS'!$C$88*2</f>
        <v>851790</v>
      </c>
      <c r="N12" s="89">
        <f>'MONTHLY STATS'!$C$95*2</f>
        <v>141848</v>
      </c>
      <c r="O12" s="90">
        <f>SUM(B12:N12)</f>
        <v>5996508</v>
      </c>
      <c r="P12" s="83"/>
    </row>
    <row r="13" spans="1:16" ht="15.75">
      <c r="A13" s="88">
        <f>DATE(2019,10,1)</f>
        <v>43739</v>
      </c>
      <c r="B13" s="89">
        <f>'MONTHLY STATS'!$C$12*2</f>
        <v>501904</v>
      </c>
      <c r="C13" s="89">
        <f>'MONTHLY STATS'!$C$19*2</f>
        <v>226104</v>
      </c>
      <c r="D13" s="89">
        <f>'MONTHLY STATS'!$C$26*2</f>
        <v>126078</v>
      </c>
      <c r="E13" s="89">
        <f>'MONTHLY STATS'!$C$33*2</f>
        <v>793172</v>
      </c>
      <c r="F13" s="89">
        <f>'MONTHLY STATS'!$C$40*2</f>
        <v>530564</v>
      </c>
      <c r="G13" s="89">
        <f>'MONTHLY STATS'!$C$47*2</f>
        <v>217332</v>
      </c>
      <c r="H13" s="89">
        <f>'MONTHLY STATS'!$C$54*2</f>
        <v>294266</v>
      </c>
      <c r="I13" s="89">
        <f>'MONTHLY STATS'!$C$61*2</f>
        <v>567086</v>
      </c>
      <c r="J13" s="89">
        <f>'MONTHLY STATS'!$C$68*2</f>
        <v>694800</v>
      </c>
      <c r="K13" s="89">
        <f>'MONTHLY STATS'!$C$75*2</f>
        <v>842112</v>
      </c>
      <c r="L13" s="89">
        <f>'MONTHLY STATS'!$C$82*2</f>
        <v>112394</v>
      </c>
      <c r="M13" s="89">
        <f>'MONTHLY STATS'!$C$89*2</f>
        <v>811392</v>
      </c>
      <c r="N13" s="89">
        <f>'MONTHLY STATS'!$C$96*2</f>
        <v>140964</v>
      </c>
      <c r="O13" s="90">
        <f>SUM(B13:N13)</f>
        <v>5858168</v>
      </c>
      <c r="P13" s="83"/>
    </row>
    <row r="14" spans="1:16" ht="15.7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0" ref="B23:O23">SUM(B10:B21)</f>
        <v>2111358</v>
      </c>
      <c r="C23" s="90">
        <f t="shared" si="0"/>
        <v>980626</v>
      </c>
      <c r="D23" s="90">
        <f t="shared" si="0"/>
        <v>528918</v>
      </c>
      <c r="E23" s="90">
        <f t="shared" si="0"/>
        <v>3351362</v>
      </c>
      <c r="F23" s="90">
        <f t="shared" si="0"/>
        <v>2247422</v>
      </c>
      <c r="G23" s="90">
        <f>SUM(G10:G21)</f>
        <v>885142</v>
      </c>
      <c r="H23" s="90">
        <f t="shared" si="0"/>
        <v>1190074</v>
      </c>
      <c r="I23" s="90">
        <f>SUM(I10:I21)</f>
        <v>2465496</v>
      </c>
      <c r="J23" s="90">
        <f t="shared" si="0"/>
        <v>2894246</v>
      </c>
      <c r="K23" s="90">
        <f>SUM(K10:K21)</f>
        <v>3409800</v>
      </c>
      <c r="L23" s="90">
        <f t="shared" si="0"/>
        <v>479038</v>
      </c>
      <c r="M23" s="90">
        <f t="shared" si="0"/>
        <v>3484920</v>
      </c>
      <c r="N23" s="90">
        <f t="shared" si="0"/>
        <v>603738</v>
      </c>
      <c r="O23" s="90">
        <f t="shared" si="0"/>
        <v>24632140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DATE(2019,7,1)</f>
        <v>43647</v>
      </c>
      <c r="B31" s="89">
        <f>'MONTHLY STATS'!$K$9*0.21</f>
        <v>3064505.5707</v>
      </c>
      <c r="C31" s="89">
        <f>'MONTHLY STATS'!$K$16*0.21</f>
        <v>1462967.2743</v>
      </c>
      <c r="D31" s="89">
        <f>'MONTHLY STATS'!$K$23*0.21</f>
        <v>684695.0817</v>
      </c>
      <c r="E31" s="89">
        <f>'MONTHLY STATS'!$K$30*0.21</f>
        <v>4293878.6625</v>
      </c>
      <c r="F31" s="89">
        <f>'MONTHLY STATS'!$K$37*0.21</f>
        <v>2956269.6954</v>
      </c>
      <c r="G31" s="89">
        <f>'MONTHLY STATS'!$K$44*0.21</f>
        <v>935961.4299000001</v>
      </c>
      <c r="H31" s="89">
        <f>'MONTHLY STATS'!$K$51*0.21</f>
        <v>1101109.212</v>
      </c>
      <c r="I31" s="89">
        <f>'MONTHLY STATS'!$K$58*0.21</f>
        <v>2638122.8496</v>
      </c>
      <c r="J31" s="89">
        <f>'MONTHLY STATS'!$K$65*0.21</f>
        <v>3294770.8562999996</v>
      </c>
      <c r="K31" s="89">
        <f>'MONTHLY STATS'!$K$72*0.21</f>
        <v>3827720.778</v>
      </c>
      <c r="L31" s="89">
        <f>'MONTHLY STATS'!$K$79*0.21</f>
        <v>577273.8173999999</v>
      </c>
      <c r="M31" s="89">
        <f>'MONTHLY STATS'!$K$86*0.21</f>
        <v>4787594.2569</v>
      </c>
      <c r="N31" s="89">
        <f>'MONTHLY STATS'!$K$93*0.21</f>
        <v>713298.1547999999</v>
      </c>
      <c r="O31" s="90">
        <f>SUM(B31:N31)</f>
        <v>30338167.639500003</v>
      </c>
      <c r="P31" s="83"/>
    </row>
    <row r="32" spans="1:16" ht="15.75">
      <c r="A32" s="88">
        <f>DATE(2019,8,1)</f>
        <v>43678</v>
      </c>
      <c r="B32" s="89">
        <f>'MONTHLY STATS'!$K$10*0.21</f>
        <v>3045430.4958</v>
      </c>
      <c r="C32" s="89">
        <f>'MONTHLY STATS'!$K$17*0.21</f>
        <v>1462946.0684999998</v>
      </c>
      <c r="D32" s="89">
        <f>'MONTHLY STATS'!$K$24*0.21</f>
        <v>676743.2363999999</v>
      </c>
      <c r="E32" s="89">
        <f>'MONTHLY STATS'!$K$31*0.21</f>
        <v>4480740.0918</v>
      </c>
      <c r="F32" s="89">
        <f>'MONTHLY STATS'!$K$38*0.21</f>
        <v>3271877.1245999997</v>
      </c>
      <c r="G32" s="89">
        <f>'MONTHLY STATS'!$K$45*0.21</f>
        <v>1095307.4895</v>
      </c>
      <c r="H32" s="89">
        <f>'MONTHLY STATS'!$K$52*0.21</f>
        <v>1189395.375</v>
      </c>
      <c r="I32" s="89">
        <f>'MONTHLY STATS'!$K$59*0.21</f>
        <v>2712053.7380999997</v>
      </c>
      <c r="J32" s="89">
        <f>'MONTHLY STATS'!$K$66*0.21</f>
        <v>3485481.7787999995</v>
      </c>
      <c r="K32" s="89">
        <f>'MONTHLY STATS'!$K$73*0.21</f>
        <v>4099393.263</v>
      </c>
      <c r="L32" s="89">
        <f>'MONTHLY STATS'!$K$80*0.21</f>
        <v>621704.0802</v>
      </c>
      <c r="M32" s="89">
        <f>'MONTHLY STATS'!$K$87*0.21</f>
        <v>4872173.9535</v>
      </c>
      <c r="N32" s="89">
        <f>'MONTHLY STATS'!$K$94*0.21</f>
        <v>733278.1029</v>
      </c>
      <c r="O32" s="90">
        <f>SUM(B32:N32)</f>
        <v>31746524.7981</v>
      </c>
      <c r="P32" s="83"/>
    </row>
    <row r="33" spans="1:16" ht="15.75">
      <c r="A33" s="88">
        <f>DATE(2019,9,1)</f>
        <v>43709</v>
      </c>
      <c r="B33" s="89">
        <f>'MONTHLY STATS'!$K$11*0.21</f>
        <v>2682516.9798</v>
      </c>
      <c r="C33" s="89">
        <f>'MONTHLY STATS'!$K$18*0.21</f>
        <v>1347099.7259999998</v>
      </c>
      <c r="D33" s="89">
        <f>'MONTHLY STATS'!$K$25*0.21</f>
        <v>653521.6779</v>
      </c>
      <c r="E33" s="89">
        <f>'MONTHLY STATS'!$K$32*0.21</f>
        <v>3975747.0711</v>
      </c>
      <c r="F33" s="89">
        <f>'MONTHLY STATS'!$K$39*0.21</f>
        <v>3075068.3208</v>
      </c>
      <c r="G33" s="89">
        <f>'MONTHLY STATS'!$K$46*0.21</f>
        <v>1064622.0311999999</v>
      </c>
      <c r="H33" s="89">
        <f>'MONTHLY STATS'!$K$53*0.21</f>
        <v>1067073.9975</v>
      </c>
      <c r="I33" s="89">
        <f>'MONTHLY STATS'!$K$60*0.21</f>
        <v>2580957.351</v>
      </c>
      <c r="J33" s="89">
        <f>'MONTHLY STATS'!$K$67*0.21</f>
        <v>3247928.1303</v>
      </c>
      <c r="K33" s="89">
        <f>'MONTHLY STATS'!$K$74*0.21</f>
        <v>3876567.9813</v>
      </c>
      <c r="L33" s="89">
        <f>'MONTHLY STATS'!$K$81*0.21</f>
        <v>566536.2191999999</v>
      </c>
      <c r="M33" s="89">
        <f>'MONTHLY STATS'!$K$88*0.21</f>
        <v>4521489.4557</v>
      </c>
      <c r="N33" s="89">
        <f>'MONTHLY STATS'!$K$95*0.21</f>
        <v>708002.1375</v>
      </c>
      <c r="O33" s="90">
        <f>SUM(B33:N33)</f>
        <v>29367131.079299998</v>
      </c>
      <c r="P33" s="83"/>
    </row>
    <row r="34" spans="1:16" ht="15.75">
      <c r="A34" s="88">
        <f>DATE(2019,10,1)</f>
        <v>43739</v>
      </c>
      <c r="B34" s="89">
        <f>'MONTHLY STATS'!$K$12*0.21</f>
        <v>2808656.8460999997</v>
      </c>
      <c r="C34" s="89">
        <f>'MONTHLY STATS'!$K$19*0.21</f>
        <v>1270524.0954</v>
      </c>
      <c r="D34" s="89">
        <f>'MONTHLY STATS'!$K$26*0.21</f>
        <v>656377.9299</v>
      </c>
      <c r="E34" s="89">
        <f>'MONTHLY STATS'!$K$33*0.21</f>
        <v>3996979.6755</v>
      </c>
      <c r="F34" s="89">
        <f>'MONTHLY STATS'!$K$40*0.21</f>
        <v>3081834.2772</v>
      </c>
      <c r="G34" s="89">
        <f>'MONTHLY STATS'!$K$47*0.21</f>
        <v>1071722.4966</v>
      </c>
      <c r="H34" s="89">
        <f>'MONTHLY STATS'!$K$54*0.21</f>
        <v>1134567.2541</v>
      </c>
      <c r="I34" s="89">
        <f>'MONTHLY STATS'!$K$61*0.21</f>
        <v>2500454.2626</v>
      </c>
      <c r="J34" s="89">
        <f>'MONTHLY STATS'!$K$68*0.21</f>
        <v>3431470.9085999997</v>
      </c>
      <c r="K34" s="89">
        <f>'MONTHLY STATS'!$K$75*0.21</f>
        <v>3910565.9228999997</v>
      </c>
      <c r="L34" s="89">
        <f>'MONTHLY STATS'!$K$82*0.21</f>
        <v>591159.4878</v>
      </c>
      <c r="M34" s="89">
        <f>'MONTHLY STATS'!$K$89*0.21</f>
        <v>4577616.1599</v>
      </c>
      <c r="N34" s="89">
        <f>'MONTHLY STATS'!$K$96*0.21</f>
        <v>687542.0559</v>
      </c>
      <c r="O34" s="90">
        <f>SUM(B34:N34)</f>
        <v>29719471.372499995</v>
      </c>
      <c r="P34" s="83"/>
    </row>
    <row r="35" spans="1:16" ht="15.7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1" ref="B44:O44">SUM(B31:B42)</f>
        <v>11601109.8924</v>
      </c>
      <c r="C44" s="90">
        <f t="shared" si="1"/>
        <v>5543537.1641999995</v>
      </c>
      <c r="D44" s="90">
        <f t="shared" si="1"/>
        <v>2671337.9258999997</v>
      </c>
      <c r="E44" s="90">
        <f t="shared" si="1"/>
        <v>16747345.500899998</v>
      </c>
      <c r="F44" s="90">
        <f t="shared" si="1"/>
        <v>12385049.418</v>
      </c>
      <c r="G44" s="90">
        <f t="shared" si="1"/>
        <v>4167613.4472000003</v>
      </c>
      <c r="H44" s="90">
        <f t="shared" si="1"/>
        <v>4492145.8386</v>
      </c>
      <c r="I44" s="90">
        <f>SUM(I31:I42)</f>
        <v>10431588.201299999</v>
      </c>
      <c r="J44" s="90">
        <f t="shared" si="1"/>
        <v>13459651.673999999</v>
      </c>
      <c r="K44" s="90">
        <f>SUM(K31:K42)</f>
        <v>15714247.9452</v>
      </c>
      <c r="L44" s="90">
        <f t="shared" si="1"/>
        <v>2356673.6045999997</v>
      </c>
      <c r="M44" s="90">
        <f t="shared" si="1"/>
        <v>18758873.825999998</v>
      </c>
      <c r="N44" s="90">
        <f t="shared" si="1"/>
        <v>2842120.4511</v>
      </c>
      <c r="O44" s="90">
        <f t="shared" si="1"/>
        <v>121171294.8894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showOutlineSymbols="0" zoomScalePageLayoutView="0" workbookViewId="0" topLeftCell="A1">
      <selection activeCell="A3" sqref="A3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DATE(2019,7,1)</f>
        <v>43647</v>
      </c>
      <c r="C9" s="204">
        <v>11145172</v>
      </c>
      <c r="D9" s="204">
        <v>2192281.5</v>
      </c>
      <c r="E9" s="204">
        <v>1826329</v>
      </c>
      <c r="F9" s="132">
        <f>(+D9-E9)/E9</f>
        <v>0.20037600016207374</v>
      </c>
      <c r="G9" s="215">
        <f>D9/C9</f>
        <v>0.19670234788660057</v>
      </c>
      <c r="H9" s="123"/>
    </row>
    <row r="10" spans="1:8" ht="15.75">
      <c r="A10" s="130"/>
      <c r="B10" s="131">
        <f>DATE(2019,8,1)</f>
        <v>43678</v>
      </c>
      <c r="C10" s="204">
        <v>9635568</v>
      </c>
      <c r="D10" s="204">
        <v>1845303</v>
      </c>
      <c r="E10" s="204">
        <v>1679235.5</v>
      </c>
      <c r="F10" s="132">
        <f>(+D10-E10)/E10</f>
        <v>0.09889470535848009</v>
      </c>
      <c r="G10" s="215">
        <f>D10/C10</f>
        <v>0.19150951972940256</v>
      </c>
      <c r="H10" s="123"/>
    </row>
    <row r="11" spans="1:8" ht="15.75">
      <c r="A11" s="130"/>
      <c r="B11" s="131">
        <f>DATE(2019,9,1)</f>
        <v>43709</v>
      </c>
      <c r="C11" s="204">
        <v>9952207.5</v>
      </c>
      <c r="D11" s="204">
        <v>1703371</v>
      </c>
      <c r="E11" s="204">
        <v>2056251</v>
      </c>
      <c r="F11" s="132">
        <f>(+D11-E11)/E11</f>
        <v>-0.17161329040083143</v>
      </c>
      <c r="G11" s="215">
        <f>D11/C11</f>
        <v>0.17115509297811565</v>
      </c>
      <c r="H11" s="123"/>
    </row>
    <row r="12" spans="1:8" ht="15.75">
      <c r="A12" s="130"/>
      <c r="B12" s="131">
        <f>DATE(2019,10,1)</f>
        <v>43739</v>
      </c>
      <c r="C12" s="204">
        <v>10226229</v>
      </c>
      <c r="D12" s="204">
        <v>1844628</v>
      </c>
      <c r="E12" s="204">
        <v>2198521</v>
      </c>
      <c r="F12" s="132">
        <f>(+D12-E12)/E12</f>
        <v>-0.16096866939183205</v>
      </c>
      <c r="G12" s="215">
        <f>D12/C12</f>
        <v>0.18038203525463786</v>
      </c>
      <c r="H12" s="123"/>
    </row>
    <row r="13" spans="1:8" ht="15.75" thickBot="1">
      <c r="A13" s="133"/>
      <c r="B13" s="134"/>
      <c r="C13" s="204"/>
      <c r="D13" s="204"/>
      <c r="E13" s="204"/>
      <c r="F13" s="132"/>
      <c r="G13" s="215"/>
      <c r="H13" s="123"/>
    </row>
    <row r="14" spans="1:8" ht="17.25" thickBot="1" thickTop="1">
      <c r="A14" s="135" t="s">
        <v>14</v>
      </c>
      <c r="B14" s="136"/>
      <c r="C14" s="201">
        <f>SUM(C9:C13)</f>
        <v>40959176.5</v>
      </c>
      <c r="D14" s="201">
        <f>SUM(D9:D13)</f>
        <v>7585583.5</v>
      </c>
      <c r="E14" s="201">
        <f>SUM(E9:E13)</f>
        <v>7760336.5</v>
      </c>
      <c r="F14" s="137">
        <f>(+D14-E14)/E14</f>
        <v>-0.02251874000566857</v>
      </c>
      <c r="G14" s="212">
        <f>D14/C14</f>
        <v>0.1851986330828697</v>
      </c>
      <c r="H14" s="123"/>
    </row>
    <row r="15" spans="1:8" ht="15.75" customHeight="1" thickTop="1">
      <c r="A15" s="138"/>
      <c r="B15" s="139"/>
      <c r="C15" s="205"/>
      <c r="D15" s="205"/>
      <c r="E15" s="205"/>
      <c r="F15" s="140"/>
      <c r="G15" s="216"/>
      <c r="H15" s="123"/>
    </row>
    <row r="16" spans="1:8" ht="15.75">
      <c r="A16" s="19" t="s">
        <v>15</v>
      </c>
      <c r="B16" s="131">
        <f>DATE(2019,7,1)</f>
        <v>43647</v>
      </c>
      <c r="C16" s="204">
        <v>2591163</v>
      </c>
      <c r="D16" s="204">
        <v>728719</v>
      </c>
      <c r="E16" s="204">
        <v>544502.5</v>
      </c>
      <c r="F16" s="132">
        <f>(+D16-E16)/E16</f>
        <v>0.3383207606943953</v>
      </c>
      <c r="G16" s="215">
        <f>D16/C16</f>
        <v>0.28123240413667533</v>
      </c>
      <c r="H16" s="123"/>
    </row>
    <row r="17" spans="1:8" ht="15.75">
      <c r="A17" s="19"/>
      <c r="B17" s="131">
        <f>DATE(2019,8,1)</f>
        <v>43678</v>
      </c>
      <c r="C17" s="204">
        <v>2727354</v>
      </c>
      <c r="D17" s="204">
        <v>718107.5</v>
      </c>
      <c r="E17" s="204">
        <v>656165</v>
      </c>
      <c r="F17" s="132">
        <f>(+D17-E17)/E17</f>
        <v>0.09440079857962555</v>
      </c>
      <c r="G17" s="215">
        <f>D17/C17</f>
        <v>0.26329823704586935</v>
      </c>
      <c r="H17" s="123"/>
    </row>
    <row r="18" spans="1:8" ht="15.75">
      <c r="A18" s="19"/>
      <c r="B18" s="131">
        <f>DATE(2019,9,1)</f>
        <v>43709</v>
      </c>
      <c r="C18" s="204">
        <v>2626262</v>
      </c>
      <c r="D18" s="204">
        <v>573243</v>
      </c>
      <c r="E18" s="204">
        <v>251895.5</v>
      </c>
      <c r="F18" s="132">
        <f>(+D18-E18)/E18</f>
        <v>1.2757175098403901</v>
      </c>
      <c r="G18" s="215">
        <f>D18/C18</f>
        <v>0.21827334820364458</v>
      </c>
      <c r="H18" s="123"/>
    </row>
    <row r="19" spans="1:8" ht="15.75">
      <c r="A19" s="19"/>
      <c r="B19" s="131">
        <f>DATE(2019,10,1)</f>
        <v>43739</v>
      </c>
      <c r="C19" s="204">
        <v>2539016.5</v>
      </c>
      <c r="D19" s="204">
        <v>592260.5</v>
      </c>
      <c r="E19" s="204">
        <v>763257.5</v>
      </c>
      <c r="F19" s="132">
        <f>(+D19-E19)/E19</f>
        <v>-0.22403579394896217</v>
      </c>
      <c r="G19" s="215">
        <f>D19/C19</f>
        <v>0.2332637460213433</v>
      </c>
      <c r="H19" s="123"/>
    </row>
    <row r="20" spans="1:8" ht="15.75" thickBot="1">
      <c r="A20" s="133"/>
      <c r="B20" s="131"/>
      <c r="C20" s="204"/>
      <c r="D20" s="204"/>
      <c r="E20" s="204"/>
      <c r="F20" s="132"/>
      <c r="G20" s="215"/>
      <c r="H20" s="123"/>
    </row>
    <row r="21" spans="1:8" ht="17.25" thickBot="1" thickTop="1">
      <c r="A21" s="135" t="s">
        <v>14</v>
      </c>
      <c r="B21" s="136"/>
      <c r="C21" s="201">
        <f>SUM(C16:C20)</f>
        <v>10483795.5</v>
      </c>
      <c r="D21" s="201">
        <f>SUM(D16:D20)</f>
        <v>2612330</v>
      </c>
      <c r="E21" s="201">
        <f>SUM(E16:E20)</f>
        <v>2215820.5</v>
      </c>
      <c r="F21" s="137">
        <f>(+D21-E21)/E21</f>
        <v>0.1789447746331438</v>
      </c>
      <c r="G21" s="212">
        <f>D21/C21</f>
        <v>0.24917788600512095</v>
      </c>
      <c r="H21" s="123"/>
    </row>
    <row r="22" spans="1:8" ht="15.75" customHeight="1" thickTop="1">
      <c r="A22" s="255"/>
      <c r="B22" s="139"/>
      <c r="C22" s="205"/>
      <c r="D22" s="205"/>
      <c r="E22" s="205"/>
      <c r="F22" s="140"/>
      <c r="G22" s="219"/>
      <c r="H22" s="123"/>
    </row>
    <row r="23" spans="1:8" ht="15.75">
      <c r="A23" s="19" t="s">
        <v>56</v>
      </c>
      <c r="B23" s="131">
        <f>DATE(2019,7,1)</f>
        <v>43647</v>
      </c>
      <c r="C23" s="204">
        <v>1246714</v>
      </c>
      <c r="D23" s="204">
        <v>293379.5</v>
      </c>
      <c r="E23" s="204">
        <v>373264</v>
      </c>
      <c r="F23" s="132">
        <f>(+D23-E23)/E23</f>
        <v>-0.2140160851300956</v>
      </c>
      <c r="G23" s="215">
        <f>D23/C23</f>
        <v>0.23532221503889425</v>
      </c>
      <c r="H23" s="123"/>
    </row>
    <row r="24" spans="1:8" ht="15.75">
      <c r="A24" s="19"/>
      <c r="B24" s="131">
        <f>DATE(2019,8,1)</f>
        <v>43678</v>
      </c>
      <c r="C24" s="204">
        <v>1240704</v>
      </c>
      <c r="D24" s="204">
        <v>306469</v>
      </c>
      <c r="E24" s="204">
        <v>339140.5</v>
      </c>
      <c r="F24" s="132">
        <f>(+D24-E24)/E24</f>
        <v>-0.09633617925314139</v>
      </c>
      <c r="G24" s="215">
        <f>D24/C24</f>
        <v>0.24701218018157434</v>
      </c>
      <c r="H24" s="123"/>
    </row>
    <row r="25" spans="1:8" ht="15.75">
      <c r="A25" s="19"/>
      <c r="B25" s="131">
        <f>DATE(2019,9,1)</f>
        <v>43709</v>
      </c>
      <c r="C25" s="204">
        <v>1288109</v>
      </c>
      <c r="D25" s="204">
        <v>301048.5</v>
      </c>
      <c r="E25" s="204">
        <v>349109</v>
      </c>
      <c r="F25" s="132">
        <f>(+D25-E25)/E25</f>
        <v>-0.13766617302905396</v>
      </c>
      <c r="G25" s="215">
        <f>D25/C25</f>
        <v>0.23371352890166905</v>
      </c>
      <c r="H25" s="123"/>
    </row>
    <row r="26" spans="1:8" ht="15.75">
      <c r="A26" s="19"/>
      <c r="B26" s="131">
        <f>DATE(2019,10,1)</f>
        <v>43739</v>
      </c>
      <c r="C26" s="204">
        <v>1303670</v>
      </c>
      <c r="D26" s="204">
        <v>332474</v>
      </c>
      <c r="E26" s="204">
        <v>213321</v>
      </c>
      <c r="F26" s="132">
        <f>(+D26-E26)/E26</f>
        <v>0.558561979364432</v>
      </c>
      <c r="G26" s="215">
        <f>D26/C26</f>
        <v>0.25502926354061994</v>
      </c>
      <c r="H26" s="123"/>
    </row>
    <row r="27" spans="1:8" ht="15.75" thickBot="1">
      <c r="A27" s="133"/>
      <c r="B27" s="131"/>
      <c r="C27" s="204"/>
      <c r="D27" s="204"/>
      <c r="E27" s="204"/>
      <c r="F27" s="132"/>
      <c r="G27" s="215"/>
      <c r="H27" s="123"/>
    </row>
    <row r="28" spans="1:8" ht="17.25" thickBot="1" thickTop="1">
      <c r="A28" s="141" t="s">
        <v>14</v>
      </c>
      <c r="B28" s="142"/>
      <c r="C28" s="206">
        <f>SUM(C23:C27)</f>
        <v>5079197</v>
      </c>
      <c r="D28" s="206">
        <f>SUM(D23:D27)</f>
        <v>1233371</v>
      </c>
      <c r="E28" s="206">
        <f>SUM(E23:E27)</f>
        <v>1274834.5</v>
      </c>
      <c r="F28" s="143">
        <f>(+D28-E28)/E28</f>
        <v>-0.03252461397930476</v>
      </c>
      <c r="G28" s="217">
        <f>D28/C28</f>
        <v>0.24282795095366452</v>
      </c>
      <c r="H28" s="123"/>
    </row>
    <row r="29" spans="1:8" ht="15.75" thickTop="1">
      <c r="A29" s="133"/>
      <c r="B29" s="134"/>
      <c r="C29" s="204"/>
      <c r="D29" s="204"/>
      <c r="E29" s="204"/>
      <c r="F29" s="132"/>
      <c r="G29" s="218"/>
      <c r="H29" s="123"/>
    </row>
    <row r="30" spans="1:8" ht="15.75">
      <c r="A30" s="177" t="s">
        <v>65</v>
      </c>
      <c r="B30" s="131">
        <f>DATE(2019,7,1)</f>
        <v>43647</v>
      </c>
      <c r="C30" s="204">
        <v>16460624.75</v>
      </c>
      <c r="D30" s="204">
        <v>3167330.9</v>
      </c>
      <c r="E30" s="204">
        <v>2640847.24</v>
      </c>
      <c r="F30" s="132">
        <f>(+D30-E30)/E30</f>
        <v>0.1993616488017685</v>
      </c>
      <c r="G30" s="215">
        <f>D30/C30</f>
        <v>0.19241863222718808</v>
      </c>
      <c r="H30" s="123"/>
    </row>
    <row r="31" spans="1:8" ht="15.75">
      <c r="A31" s="177"/>
      <c r="B31" s="131">
        <f>DATE(2019,8,1)</f>
        <v>43678</v>
      </c>
      <c r="C31" s="204">
        <v>17103013</v>
      </c>
      <c r="D31" s="204">
        <v>3869820.12</v>
      </c>
      <c r="E31" s="204">
        <v>3019576.86</v>
      </c>
      <c r="F31" s="132">
        <f>(+D31-E31)/E31</f>
        <v>0.28157695578578523</v>
      </c>
      <c r="G31" s="215">
        <f>D31/C31</f>
        <v>0.2262654024761602</v>
      </c>
      <c r="H31" s="123"/>
    </row>
    <row r="32" spans="1:8" ht="15.75">
      <c r="A32" s="177"/>
      <c r="B32" s="131">
        <f>DATE(2019,9,1)</f>
        <v>43709</v>
      </c>
      <c r="C32" s="204">
        <v>13722156.5</v>
      </c>
      <c r="D32" s="204">
        <v>2776000.96</v>
      </c>
      <c r="E32" s="204">
        <v>3074145.25</v>
      </c>
      <c r="F32" s="132">
        <f>(+D32-E32)/E32</f>
        <v>-0.09698445120639633</v>
      </c>
      <c r="G32" s="215">
        <f>D32/C32</f>
        <v>0.2023006340147775</v>
      </c>
      <c r="H32" s="123"/>
    </row>
    <row r="33" spans="1:8" ht="15.75">
      <c r="A33" s="177"/>
      <c r="B33" s="131">
        <f>DATE(2019,10,1)</f>
        <v>43739</v>
      </c>
      <c r="C33" s="204">
        <v>13658392</v>
      </c>
      <c r="D33" s="204">
        <v>3235148.5</v>
      </c>
      <c r="E33" s="204">
        <v>2577292.69</v>
      </c>
      <c r="F33" s="132">
        <f>(+D33-E33)/E33</f>
        <v>0.2552507181479648</v>
      </c>
      <c r="G33" s="215">
        <f>D33/C33</f>
        <v>0.23686159395630174</v>
      </c>
      <c r="H33" s="123"/>
    </row>
    <row r="34" spans="1:8" ht="15.75" customHeight="1" thickBot="1">
      <c r="A34" s="133"/>
      <c r="B34" s="134"/>
      <c r="C34" s="204"/>
      <c r="D34" s="204"/>
      <c r="E34" s="204"/>
      <c r="F34" s="132"/>
      <c r="G34" s="215"/>
      <c r="H34" s="123"/>
    </row>
    <row r="35" spans="1:8" ht="17.25" customHeight="1" thickBot="1" thickTop="1">
      <c r="A35" s="141" t="s">
        <v>14</v>
      </c>
      <c r="B35" s="142"/>
      <c r="C35" s="206">
        <f>SUM(C30:C34)</f>
        <v>60944186.25</v>
      </c>
      <c r="D35" s="206">
        <f>SUM(D30:D34)</f>
        <v>13048300.48</v>
      </c>
      <c r="E35" s="206">
        <f>SUM(E30:E34)</f>
        <v>11311862.04</v>
      </c>
      <c r="F35" s="143">
        <f>(+D35-E35)/E35</f>
        <v>0.15350597751809228</v>
      </c>
      <c r="G35" s="217">
        <f>D35/C35</f>
        <v>0.21410246461367757</v>
      </c>
      <c r="H35" s="123"/>
    </row>
    <row r="36" spans="1:8" ht="15.75" customHeight="1" thickTop="1">
      <c r="A36" s="133"/>
      <c r="B36" s="134"/>
      <c r="C36" s="204"/>
      <c r="D36" s="204"/>
      <c r="E36" s="204"/>
      <c r="F36" s="132"/>
      <c r="G36" s="218"/>
      <c r="H36" s="123"/>
    </row>
    <row r="37" spans="1:8" ht="15" customHeight="1">
      <c r="A37" s="130" t="s">
        <v>39</v>
      </c>
      <c r="B37" s="131">
        <f>DATE(2019,7,1)</f>
        <v>43647</v>
      </c>
      <c r="C37" s="204">
        <v>14612843</v>
      </c>
      <c r="D37" s="204">
        <v>2665528.5</v>
      </c>
      <c r="E37" s="204">
        <v>3513953.5</v>
      </c>
      <c r="F37" s="132">
        <f>(+D37-E37)/E37</f>
        <v>-0.241444572331421</v>
      </c>
      <c r="G37" s="215">
        <f>D37/C37</f>
        <v>0.1824099868861932</v>
      </c>
      <c r="H37" s="123"/>
    </row>
    <row r="38" spans="1:8" ht="15" customHeight="1">
      <c r="A38" s="130"/>
      <c r="B38" s="131">
        <f>DATE(2019,8,1)</f>
        <v>43678</v>
      </c>
      <c r="C38" s="204">
        <v>15994186</v>
      </c>
      <c r="D38" s="204">
        <v>3359489.5</v>
      </c>
      <c r="E38" s="204">
        <v>3570821.5</v>
      </c>
      <c r="F38" s="132">
        <f>(+D38-E38)/E38</f>
        <v>-0.05918301992972765</v>
      </c>
      <c r="G38" s="215">
        <f>D38/C38</f>
        <v>0.21004441864062354</v>
      </c>
      <c r="H38" s="123"/>
    </row>
    <row r="39" spans="1:8" ht="15" customHeight="1">
      <c r="A39" s="130"/>
      <c r="B39" s="131">
        <f>DATE(2019,9,1)</f>
        <v>43709</v>
      </c>
      <c r="C39" s="204">
        <v>14986232</v>
      </c>
      <c r="D39" s="204">
        <v>3201605.5</v>
      </c>
      <c r="E39" s="204">
        <v>3367544</v>
      </c>
      <c r="F39" s="132">
        <f>(+D39-E39)/E39</f>
        <v>-0.04927582237975213</v>
      </c>
      <c r="G39" s="215">
        <f>D39/C39</f>
        <v>0.21363645644882584</v>
      </c>
      <c r="H39" s="123"/>
    </row>
    <row r="40" spans="1:8" ht="15" customHeight="1">
      <c r="A40" s="130"/>
      <c r="B40" s="131">
        <f>DATE(2019,10,1)</f>
        <v>43739</v>
      </c>
      <c r="C40" s="204">
        <v>15802061</v>
      </c>
      <c r="D40" s="204">
        <v>3223827</v>
      </c>
      <c r="E40" s="204">
        <v>3631888</v>
      </c>
      <c r="F40" s="132">
        <f>(+D40-E40)/E40</f>
        <v>-0.11235506160982937</v>
      </c>
      <c r="G40" s="215">
        <f>D40/C40</f>
        <v>0.2040130714594761</v>
      </c>
      <c r="H40" s="123"/>
    </row>
    <row r="41" spans="1:8" ht="15.75" thickBot="1">
      <c r="A41" s="133"/>
      <c r="B41" s="131"/>
      <c r="C41" s="204"/>
      <c r="D41" s="204"/>
      <c r="E41" s="204"/>
      <c r="F41" s="132"/>
      <c r="G41" s="215"/>
      <c r="H41" s="123"/>
    </row>
    <row r="42" spans="1:8" ht="17.25" customHeight="1" thickBot="1" thickTop="1">
      <c r="A42" s="141" t="s">
        <v>14</v>
      </c>
      <c r="B42" s="142"/>
      <c r="C42" s="207">
        <f>SUM(C37:C41)</f>
        <v>61395322</v>
      </c>
      <c r="D42" s="261">
        <f>SUM(D37:D41)</f>
        <v>12450450.5</v>
      </c>
      <c r="E42" s="206">
        <f>SUM(E37:E41)</f>
        <v>14084207</v>
      </c>
      <c r="F42" s="268">
        <f>(+D42-E42)/E42</f>
        <v>-0.11599918263058757</v>
      </c>
      <c r="G42" s="267">
        <f>D42/C42</f>
        <v>0.20279151724295869</v>
      </c>
      <c r="H42" s="123"/>
    </row>
    <row r="43" spans="1:8" ht="15.75" customHeight="1" thickTop="1">
      <c r="A43" s="130"/>
      <c r="B43" s="134"/>
      <c r="C43" s="204"/>
      <c r="D43" s="204"/>
      <c r="E43" s="204"/>
      <c r="F43" s="132"/>
      <c r="G43" s="218"/>
      <c r="H43" s="123"/>
    </row>
    <row r="44" spans="1:8" ht="15.75">
      <c r="A44" s="130" t="s">
        <v>66</v>
      </c>
      <c r="B44" s="131">
        <f>DATE(2019,7,1)</f>
        <v>43647</v>
      </c>
      <c r="C44" s="204">
        <v>2326207</v>
      </c>
      <c r="D44" s="204">
        <v>550912.5</v>
      </c>
      <c r="E44" s="204">
        <v>682875.5</v>
      </c>
      <c r="F44" s="132">
        <f>(+D44-E44)/E44</f>
        <v>-0.19324606022620522</v>
      </c>
      <c r="G44" s="215">
        <f>D44/C44</f>
        <v>0.2368286657206345</v>
      </c>
      <c r="H44" s="123"/>
    </row>
    <row r="45" spans="1:8" ht="15.75">
      <c r="A45" s="130"/>
      <c r="B45" s="131">
        <f>DATE(2019,8,1)</f>
        <v>43678</v>
      </c>
      <c r="C45" s="204">
        <v>2456667</v>
      </c>
      <c r="D45" s="204">
        <v>544892.5</v>
      </c>
      <c r="E45" s="204">
        <v>651283.5</v>
      </c>
      <c r="F45" s="132">
        <f>(+D45-E45)/E45</f>
        <v>-0.16335589647212007</v>
      </c>
      <c r="G45" s="215">
        <f>D45/C45</f>
        <v>0.2218015302847313</v>
      </c>
      <c r="H45" s="123"/>
    </row>
    <row r="46" spans="1:8" ht="15.75">
      <c r="A46" s="130"/>
      <c r="B46" s="131">
        <f>DATE(2019,9,1)</f>
        <v>43709</v>
      </c>
      <c r="C46" s="204">
        <v>2398271</v>
      </c>
      <c r="D46" s="204">
        <v>648210.4</v>
      </c>
      <c r="E46" s="204">
        <v>584999.5</v>
      </c>
      <c r="F46" s="132">
        <f>(+D46-E46)/E46</f>
        <v>0.10805291286573754</v>
      </c>
      <c r="G46" s="215">
        <f>D46/C46</f>
        <v>0.2702823825997979</v>
      </c>
      <c r="H46" s="123"/>
    </row>
    <row r="47" spans="1:8" ht="15.75">
      <c r="A47" s="130"/>
      <c r="B47" s="131">
        <f>DATE(2019,10,1)</f>
        <v>43739</v>
      </c>
      <c r="C47" s="204">
        <v>2701389</v>
      </c>
      <c r="D47" s="204">
        <v>633881.5</v>
      </c>
      <c r="E47" s="204">
        <v>681963.5</v>
      </c>
      <c r="F47" s="132">
        <f>(+D47-E47)/E47</f>
        <v>-0.07050523964992261</v>
      </c>
      <c r="G47" s="215">
        <f>D47/C47</f>
        <v>0.23465021142826895</v>
      </c>
      <c r="H47" s="123"/>
    </row>
    <row r="48" spans="1:8" ht="15.75" customHeight="1" thickBot="1">
      <c r="A48" s="130"/>
      <c r="B48" s="131"/>
      <c r="C48" s="204"/>
      <c r="D48" s="204"/>
      <c r="E48" s="204"/>
      <c r="F48" s="132"/>
      <c r="G48" s="215"/>
      <c r="H48" s="123"/>
    </row>
    <row r="49" spans="1:8" ht="17.25" thickBot="1" thickTop="1">
      <c r="A49" s="141" t="s">
        <v>14</v>
      </c>
      <c r="B49" s="142"/>
      <c r="C49" s="207">
        <f>SUM(C44:C48)</f>
        <v>9882534</v>
      </c>
      <c r="D49" s="261">
        <f>SUM(D44:D48)</f>
        <v>2377896.9</v>
      </c>
      <c r="E49" s="207">
        <f>SUM(E44:E48)</f>
        <v>2601122</v>
      </c>
      <c r="F49" s="268">
        <f>(+D49-E49)/E49</f>
        <v>-0.08581877359078124</v>
      </c>
      <c r="G49" s="267">
        <f>D49/C49</f>
        <v>0.24061611121196244</v>
      </c>
      <c r="H49" s="123"/>
    </row>
    <row r="50" spans="1:8" ht="15.75" customHeight="1" thickTop="1">
      <c r="A50" s="130"/>
      <c r="B50" s="134"/>
      <c r="C50" s="204"/>
      <c r="D50" s="204"/>
      <c r="E50" s="204"/>
      <c r="F50" s="132"/>
      <c r="G50" s="218"/>
      <c r="H50" s="123"/>
    </row>
    <row r="51" spans="1:8" ht="15.75">
      <c r="A51" s="130" t="s">
        <v>17</v>
      </c>
      <c r="B51" s="131">
        <f>DATE(2019,7,1)</f>
        <v>43647</v>
      </c>
      <c r="C51" s="204">
        <v>1428358</v>
      </c>
      <c r="D51" s="204">
        <v>255421</v>
      </c>
      <c r="E51" s="204">
        <v>395162.5</v>
      </c>
      <c r="F51" s="132">
        <f>(+D51-E51)/E51</f>
        <v>-0.3536304684781577</v>
      </c>
      <c r="G51" s="215">
        <f>D51/C51</f>
        <v>0.17882141591953837</v>
      </c>
      <c r="H51" s="123"/>
    </row>
    <row r="52" spans="1:8" ht="15.75">
      <c r="A52" s="130"/>
      <c r="B52" s="131">
        <f>DATE(2019,8,1)</f>
        <v>43678</v>
      </c>
      <c r="C52" s="204">
        <v>1645771</v>
      </c>
      <c r="D52" s="204">
        <v>366605.5</v>
      </c>
      <c r="E52" s="204">
        <v>271146</v>
      </c>
      <c r="F52" s="132">
        <f>(+D52-E52)/E52</f>
        <v>0.3520594071090851</v>
      </c>
      <c r="G52" s="215">
        <f>D52/C52</f>
        <v>0.22275608210376777</v>
      </c>
      <c r="H52" s="123"/>
    </row>
    <row r="53" spans="1:8" ht="15.75">
      <c r="A53" s="130"/>
      <c r="B53" s="131">
        <f>DATE(2019,9,1)</f>
        <v>43709</v>
      </c>
      <c r="C53" s="204">
        <v>1422549</v>
      </c>
      <c r="D53" s="204">
        <v>323382</v>
      </c>
      <c r="E53" s="204">
        <v>347747</v>
      </c>
      <c r="F53" s="132">
        <f>(+D53-E53)/E53</f>
        <v>-0.07006530609897425</v>
      </c>
      <c r="G53" s="215">
        <f>D53/C53</f>
        <v>0.22732573710993434</v>
      </c>
      <c r="H53" s="123"/>
    </row>
    <row r="54" spans="1:8" ht="15.75">
      <c r="A54" s="130"/>
      <c r="B54" s="131">
        <f>DATE(2019,10,1)</f>
        <v>43739</v>
      </c>
      <c r="C54" s="204">
        <v>1396946</v>
      </c>
      <c r="D54" s="204">
        <v>301934</v>
      </c>
      <c r="E54" s="204">
        <v>240203.5</v>
      </c>
      <c r="F54" s="132">
        <f>(+D54-E54)/E54</f>
        <v>0.2569925084355557</v>
      </c>
      <c r="G54" s="215">
        <f>D54/C54</f>
        <v>0.2161386338484093</v>
      </c>
      <c r="H54" s="123"/>
    </row>
    <row r="55" spans="1:8" ht="15.75" customHeight="1" thickBot="1">
      <c r="A55" s="130"/>
      <c r="B55" s="131"/>
      <c r="C55" s="204"/>
      <c r="D55" s="204"/>
      <c r="E55" s="204"/>
      <c r="F55" s="132"/>
      <c r="G55" s="215"/>
      <c r="H55" s="123"/>
    </row>
    <row r="56" spans="1:8" ht="17.25" thickBot="1" thickTop="1">
      <c r="A56" s="141" t="s">
        <v>14</v>
      </c>
      <c r="B56" s="142"/>
      <c r="C56" s="207">
        <f>SUM(C51:C55)</f>
        <v>5893624</v>
      </c>
      <c r="D56" s="261">
        <f>SUM(D51:D55)</f>
        <v>1247342.5</v>
      </c>
      <c r="E56" s="207">
        <f>SUM(E51:E55)</f>
        <v>1254259</v>
      </c>
      <c r="F56" s="269">
        <f>(+D56-E56)/E56</f>
        <v>-0.005514411297826047</v>
      </c>
      <c r="G56" s="267">
        <f>D56/C56</f>
        <v>0.21164270065413063</v>
      </c>
      <c r="H56" s="123"/>
    </row>
    <row r="57" spans="1:8" ht="15.75" customHeight="1" thickTop="1">
      <c r="A57" s="130"/>
      <c r="B57" s="139"/>
      <c r="C57" s="205"/>
      <c r="D57" s="205"/>
      <c r="E57" s="205"/>
      <c r="F57" s="140"/>
      <c r="G57" s="216"/>
      <c r="H57" s="123"/>
    </row>
    <row r="58" spans="1:8" ht="15.75">
      <c r="A58" s="130" t="s">
        <v>55</v>
      </c>
      <c r="B58" s="131">
        <f>DATE(2019,7,1)</f>
        <v>43647</v>
      </c>
      <c r="C58" s="204">
        <v>11352765</v>
      </c>
      <c r="D58" s="204">
        <v>1702644.86</v>
      </c>
      <c r="E58" s="204">
        <v>2057880.1</v>
      </c>
      <c r="F58" s="132">
        <f>(+D58-E58)/E58</f>
        <v>-0.17262193263834952</v>
      </c>
      <c r="G58" s="215">
        <f>D58/C58</f>
        <v>0.1499762269367859</v>
      </c>
      <c r="H58" s="123"/>
    </row>
    <row r="59" spans="1:8" ht="15.75">
      <c r="A59" s="130"/>
      <c r="B59" s="131">
        <f>DATE(2019,8,1)</f>
        <v>43678</v>
      </c>
      <c r="C59" s="204">
        <v>11116688</v>
      </c>
      <c r="D59" s="204">
        <v>2308275.88</v>
      </c>
      <c r="E59" s="204">
        <v>2105874.34</v>
      </c>
      <c r="F59" s="132">
        <f>(+D59-E59)/E59</f>
        <v>0.0961128288404901</v>
      </c>
      <c r="G59" s="215">
        <f>D59/C59</f>
        <v>0.2076406102249159</v>
      </c>
      <c r="H59" s="123"/>
    </row>
    <row r="60" spans="1:8" ht="15.75">
      <c r="A60" s="130"/>
      <c r="B60" s="131">
        <f>DATE(2019,9,1)</f>
        <v>43709</v>
      </c>
      <c r="C60" s="204">
        <v>10317715</v>
      </c>
      <c r="D60" s="204">
        <v>1996051.56</v>
      </c>
      <c r="E60" s="204">
        <v>2555133.64</v>
      </c>
      <c r="F60" s="132">
        <f>(+D60-E60)/E60</f>
        <v>-0.21880737322216934</v>
      </c>
      <c r="G60" s="215">
        <f>D60/C60</f>
        <v>0.19345868343911418</v>
      </c>
      <c r="H60" s="123"/>
    </row>
    <row r="61" spans="1:8" ht="15.75">
      <c r="A61" s="130"/>
      <c r="B61" s="131">
        <f>DATE(2019,10,1)</f>
        <v>43739</v>
      </c>
      <c r="C61" s="204">
        <v>10237727</v>
      </c>
      <c r="D61" s="204">
        <v>2026195.69</v>
      </c>
      <c r="E61" s="204">
        <v>2662687.6</v>
      </c>
      <c r="F61" s="132">
        <f>(+D61-E61)/E61</f>
        <v>-0.23904115150421706</v>
      </c>
      <c r="G61" s="215">
        <f>D61/C61</f>
        <v>0.19791460448203005</v>
      </c>
      <c r="H61" s="123"/>
    </row>
    <row r="62" spans="1:8" ht="15.75" customHeight="1" thickBot="1">
      <c r="A62" s="130"/>
      <c r="B62" s="131"/>
      <c r="C62" s="204"/>
      <c r="D62" s="204"/>
      <c r="E62" s="204"/>
      <c r="F62" s="132"/>
      <c r="G62" s="215"/>
      <c r="H62" s="123"/>
    </row>
    <row r="63" spans="1:8" ht="17.25" thickBot="1" thickTop="1">
      <c r="A63" s="141" t="s">
        <v>14</v>
      </c>
      <c r="B63" s="142"/>
      <c r="C63" s="206">
        <f>SUM(C58:C62)</f>
        <v>43024895</v>
      </c>
      <c r="D63" s="206">
        <f>SUM(D58:D62)</f>
        <v>8033167.99</v>
      </c>
      <c r="E63" s="206">
        <f>SUM(E58:E62)</f>
        <v>9381575.68</v>
      </c>
      <c r="F63" s="143">
        <f>(+D63-E63)/E63</f>
        <v>-0.1437293409970125</v>
      </c>
      <c r="G63" s="217">
        <f>D63/C63</f>
        <v>0.18670976396339842</v>
      </c>
      <c r="H63" s="123"/>
    </row>
    <row r="64" spans="1:8" ht="15.75" customHeight="1" thickTop="1">
      <c r="A64" s="138"/>
      <c r="B64" s="139"/>
      <c r="C64" s="205"/>
      <c r="D64" s="205"/>
      <c r="E64" s="205"/>
      <c r="F64" s="140"/>
      <c r="G64" s="216"/>
      <c r="H64" s="123"/>
    </row>
    <row r="65" spans="1:8" ht="15.75">
      <c r="A65" s="130" t="s">
        <v>18</v>
      </c>
      <c r="B65" s="131">
        <f>DATE(2019,7,1)</f>
        <v>43647</v>
      </c>
      <c r="C65" s="204">
        <v>12048647</v>
      </c>
      <c r="D65" s="204">
        <v>2126440.5</v>
      </c>
      <c r="E65" s="204">
        <v>2729067.84</v>
      </c>
      <c r="F65" s="132">
        <f>(+D65-E65)/E65</f>
        <v>-0.22081801381676167</v>
      </c>
      <c r="G65" s="215">
        <f>D65/C65</f>
        <v>0.1764879077293907</v>
      </c>
      <c r="H65" s="123"/>
    </row>
    <row r="66" spans="1:8" ht="15.75">
      <c r="A66" s="130"/>
      <c r="B66" s="131">
        <f>DATE(2019,8,1)</f>
        <v>43678</v>
      </c>
      <c r="C66" s="204">
        <v>12757078</v>
      </c>
      <c r="D66" s="204">
        <v>2726871</v>
      </c>
      <c r="E66" s="204">
        <v>2970026</v>
      </c>
      <c r="F66" s="132">
        <f>(+D66-E66)/E66</f>
        <v>-0.08186965366633155</v>
      </c>
      <c r="G66" s="215">
        <f>D66/C66</f>
        <v>0.21375357272253098</v>
      </c>
      <c r="H66" s="123"/>
    </row>
    <row r="67" spans="1:8" ht="15.75">
      <c r="A67" s="130"/>
      <c r="B67" s="131">
        <f>DATE(2019,9,1)</f>
        <v>43709</v>
      </c>
      <c r="C67" s="204">
        <v>12239206</v>
      </c>
      <c r="D67" s="204">
        <v>2679876</v>
      </c>
      <c r="E67" s="204">
        <v>2637413.5</v>
      </c>
      <c r="F67" s="132">
        <f>(+D67-E67)/E67</f>
        <v>0.016100054087081907</v>
      </c>
      <c r="G67" s="215">
        <f>D67/C67</f>
        <v>0.21895832131594156</v>
      </c>
      <c r="H67" s="123"/>
    </row>
    <row r="68" spans="1:8" ht="15.75">
      <c r="A68" s="130"/>
      <c r="B68" s="131">
        <f>DATE(2019,10,1)</f>
        <v>43739</v>
      </c>
      <c r="C68" s="204">
        <v>12190070</v>
      </c>
      <c r="D68" s="204">
        <v>3088829</v>
      </c>
      <c r="E68" s="204">
        <v>1894492</v>
      </c>
      <c r="F68" s="132">
        <f>(+D68-E68)/E68</f>
        <v>0.6304259928255174</v>
      </c>
      <c r="G68" s="215">
        <f>D68/C68</f>
        <v>0.2533889469051449</v>
      </c>
      <c r="H68" s="123"/>
    </row>
    <row r="69" spans="1:8" ht="15.75" customHeight="1" thickBot="1">
      <c r="A69" s="130"/>
      <c r="B69" s="131"/>
      <c r="C69" s="204"/>
      <c r="D69" s="204"/>
      <c r="E69" s="204"/>
      <c r="F69" s="132"/>
      <c r="G69" s="215"/>
      <c r="H69" s="123"/>
    </row>
    <row r="70" spans="1:8" ht="17.25" thickBot="1" thickTop="1">
      <c r="A70" s="141" t="s">
        <v>14</v>
      </c>
      <c r="B70" s="142"/>
      <c r="C70" s="206">
        <f>SUM(C65:C69)</f>
        <v>49235001</v>
      </c>
      <c r="D70" s="206">
        <f>SUM(D65:D69)</f>
        <v>10622016.5</v>
      </c>
      <c r="E70" s="206">
        <f>SUM(E65:E69)</f>
        <v>10230999.34</v>
      </c>
      <c r="F70" s="143">
        <f>(+D70-E70)/E70</f>
        <v>0.03821886279195089</v>
      </c>
      <c r="G70" s="217">
        <f>D70/C70</f>
        <v>0.2157411655175959</v>
      </c>
      <c r="H70" s="123"/>
    </row>
    <row r="71" spans="1:8" ht="15.75" customHeight="1" thickTop="1">
      <c r="A71" s="138"/>
      <c r="B71" s="139"/>
      <c r="C71" s="205"/>
      <c r="D71" s="205"/>
      <c r="E71" s="205"/>
      <c r="F71" s="140"/>
      <c r="G71" s="216"/>
      <c r="H71" s="123"/>
    </row>
    <row r="72" spans="1:8" ht="15.75">
      <c r="A72" s="130" t="s">
        <v>58</v>
      </c>
      <c r="B72" s="131">
        <f>DATE(2019,7,1)</f>
        <v>43647</v>
      </c>
      <c r="C72" s="204">
        <v>11570649</v>
      </c>
      <c r="D72" s="204">
        <v>1977732.9</v>
      </c>
      <c r="E72" s="204">
        <v>2887936.73</v>
      </c>
      <c r="F72" s="132">
        <f>(+D72-E72)/E72</f>
        <v>-0.31517443597180195</v>
      </c>
      <c r="G72" s="215">
        <f>D72/C72</f>
        <v>0.1709267042842627</v>
      </c>
      <c r="H72" s="123"/>
    </row>
    <row r="73" spans="1:8" ht="15.75">
      <c r="A73" s="130"/>
      <c r="B73" s="131">
        <f>DATE(2019,8,1)</f>
        <v>43678</v>
      </c>
      <c r="C73" s="204">
        <v>12902308</v>
      </c>
      <c r="D73" s="204">
        <v>2649402.5</v>
      </c>
      <c r="E73" s="204">
        <v>2450226.84</v>
      </c>
      <c r="F73" s="132">
        <f>(+D73-E73)/E73</f>
        <v>0.08128866142042594</v>
      </c>
      <c r="G73" s="215">
        <f>D73/C73</f>
        <v>0.2053432998189161</v>
      </c>
      <c r="H73" s="123"/>
    </row>
    <row r="74" spans="1:8" ht="15.75">
      <c r="A74" s="130"/>
      <c r="B74" s="131">
        <f>DATE(2019,9,1)</f>
        <v>43709</v>
      </c>
      <c r="C74" s="204">
        <v>12612498</v>
      </c>
      <c r="D74" s="204">
        <v>2515306.23</v>
      </c>
      <c r="E74" s="204">
        <v>1932757.4</v>
      </c>
      <c r="F74" s="132">
        <f>(+D74-E74)/E74</f>
        <v>0.30140814879301464</v>
      </c>
      <c r="G74" s="215">
        <f>D74/C74</f>
        <v>0.19942966333869785</v>
      </c>
      <c r="H74" s="123"/>
    </row>
    <row r="75" spans="1:8" ht="15.75">
      <c r="A75" s="130"/>
      <c r="B75" s="131">
        <f>DATE(2019,10,1)</f>
        <v>43739</v>
      </c>
      <c r="C75" s="204">
        <v>13262208</v>
      </c>
      <c r="D75" s="204">
        <v>2541006.48</v>
      </c>
      <c r="E75" s="204">
        <v>1108774.5</v>
      </c>
      <c r="F75" s="132">
        <f>(+D75-E75)/E75</f>
        <v>1.291725215542024</v>
      </c>
      <c r="G75" s="215">
        <f>D75/C75</f>
        <v>0.1915975439383849</v>
      </c>
      <c r="H75" s="123"/>
    </row>
    <row r="76" spans="1:8" ht="15.75" thickBot="1">
      <c r="A76" s="133"/>
      <c r="B76" s="131"/>
      <c r="C76" s="204"/>
      <c r="D76" s="204"/>
      <c r="E76" s="204"/>
      <c r="F76" s="132"/>
      <c r="G76" s="215"/>
      <c r="H76" s="123"/>
    </row>
    <row r="77" spans="1:8" ht="17.25" thickBot="1" thickTop="1">
      <c r="A77" s="141" t="s">
        <v>14</v>
      </c>
      <c r="B77" s="142"/>
      <c r="C77" s="207">
        <f>SUM(C72:C76)</f>
        <v>50347663</v>
      </c>
      <c r="D77" s="207">
        <f>SUM(D72:D76)</f>
        <v>9683448.110000001</v>
      </c>
      <c r="E77" s="207">
        <f>SUM(E72:E76)</f>
        <v>8379695.470000001</v>
      </c>
      <c r="F77" s="143">
        <f>(+D77-E77)/E77</f>
        <v>0.1555847279495469</v>
      </c>
      <c r="G77" s="267">
        <f>D77/C77</f>
        <v>0.1923316303678286</v>
      </c>
      <c r="H77" s="123"/>
    </row>
    <row r="78" spans="1:8" ht="15.75" customHeight="1" thickTop="1">
      <c r="A78" s="138"/>
      <c r="B78" s="139"/>
      <c r="C78" s="205"/>
      <c r="D78" s="205"/>
      <c r="E78" s="205"/>
      <c r="F78" s="140"/>
      <c r="G78" s="219"/>
      <c r="H78" s="123"/>
    </row>
    <row r="79" spans="1:8" ht="15.75">
      <c r="A79" s="130" t="s">
        <v>59</v>
      </c>
      <c r="B79" s="131">
        <f>DATE(2019,7,1)</f>
        <v>43647</v>
      </c>
      <c r="C79" s="204">
        <v>679874</v>
      </c>
      <c r="D79" s="204">
        <v>135934</v>
      </c>
      <c r="E79" s="204">
        <v>154554.5</v>
      </c>
      <c r="F79" s="132">
        <f>(+D79-E79)/E79</f>
        <v>-0.12047853669741095</v>
      </c>
      <c r="G79" s="215">
        <f>D79/C79</f>
        <v>0.19993998888029252</v>
      </c>
      <c r="H79" s="123"/>
    </row>
    <row r="80" spans="1:8" ht="15.75">
      <c r="A80" s="130"/>
      <c r="B80" s="131">
        <f>DATE(2019,8,1)</f>
        <v>43678</v>
      </c>
      <c r="C80" s="204">
        <v>642745</v>
      </c>
      <c r="D80" s="204">
        <v>134255.5</v>
      </c>
      <c r="E80" s="204">
        <v>228200</v>
      </c>
      <c r="F80" s="132">
        <f>(+D80-E80)/E80</f>
        <v>-0.4116761612620508</v>
      </c>
      <c r="G80" s="215">
        <f>D80/C80</f>
        <v>0.20887832655252084</v>
      </c>
      <c r="H80" s="123"/>
    </row>
    <row r="81" spans="1:8" ht="15.75">
      <c r="A81" s="130"/>
      <c r="B81" s="131">
        <f>DATE(2019,9,1)</f>
        <v>43709</v>
      </c>
      <c r="C81" s="204">
        <v>552495</v>
      </c>
      <c r="D81" s="204">
        <v>147952</v>
      </c>
      <c r="E81" s="204">
        <v>133253.5</v>
      </c>
      <c r="F81" s="132">
        <f>(+D81-E81)/E81</f>
        <v>0.11030479499600386</v>
      </c>
      <c r="G81" s="215">
        <f>D81/C81</f>
        <v>0.26778884876786213</v>
      </c>
      <c r="H81" s="123"/>
    </row>
    <row r="82" spans="1:8" ht="15.75">
      <c r="A82" s="130"/>
      <c r="B82" s="131">
        <f>DATE(2019,10,1)</f>
        <v>43739</v>
      </c>
      <c r="C82" s="204">
        <v>589373</v>
      </c>
      <c r="D82" s="204">
        <v>160874.5</v>
      </c>
      <c r="E82" s="204">
        <v>183569.5</v>
      </c>
      <c r="F82" s="132">
        <f>(+D82-E82)/E82</f>
        <v>-0.12363164904845304</v>
      </c>
      <c r="G82" s="215">
        <f>D82/C82</f>
        <v>0.27295872053860626</v>
      </c>
      <c r="H82" s="123"/>
    </row>
    <row r="83" spans="1:8" ht="15.75" thickBot="1">
      <c r="A83" s="133"/>
      <c r="B83" s="134"/>
      <c r="C83" s="204"/>
      <c r="D83" s="204"/>
      <c r="E83" s="204"/>
      <c r="F83" s="132"/>
      <c r="G83" s="215"/>
      <c r="H83" s="123"/>
    </row>
    <row r="84" spans="1:8" ht="17.25" thickBot="1" thickTop="1">
      <c r="A84" s="144" t="s">
        <v>14</v>
      </c>
      <c r="B84" s="145"/>
      <c r="C84" s="207">
        <f>SUM(C79:C83)</f>
        <v>2464487</v>
      </c>
      <c r="D84" s="207">
        <f>SUM(D79:D83)</f>
        <v>579016</v>
      </c>
      <c r="E84" s="207">
        <f>SUM(E79:E83)</f>
        <v>699577.5</v>
      </c>
      <c r="F84" s="143">
        <f>(+D84-E84)/E84</f>
        <v>-0.17233473060525817</v>
      </c>
      <c r="G84" s="217">
        <f>D84/C84</f>
        <v>0.23494382400880995</v>
      </c>
      <c r="H84" s="123"/>
    </row>
    <row r="85" spans="1:8" ht="15.75" customHeight="1" thickTop="1">
      <c r="A85" s="130"/>
      <c r="B85" s="134"/>
      <c r="C85" s="204"/>
      <c r="D85" s="204"/>
      <c r="E85" s="204"/>
      <c r="F85" s="132"/>
      <c r="G85" s="218"/>
      <c r="H85" s="123"/>
    </row>
    <row r="86" spans="1:8" ht="15.75">
      <c r="A86" s="130" t="s">
        <v>40</v>
      </c>
      <c r="B86" s="131">
        <f>DATE(2019,7,1)</f>
        <v>43647</v>
      </c>
      <c r="C86" s="204">
        <v>18492660</v>
      </c>
      <c r="D86" s="204">
        <v>3678875.65</v>
      </c>
      <c r="E86" s="204">
        <v>4013253.36</v>
      </c>
      <c r="F86" s="132">
        <f>(+D86-E86)/E86</f>
        <v>-0.08331836542709578</v>
      </c>
      <c r="G86" s="215">
        <f>D86/C86</f>
        <v>0.19893707287107426</v>
      </c>
      <c r="H86" s="123"/>
    </row>
    <row r="87" spans="1:8" ht="15.75">
      <c r="A87" s="130"/>
      <c r="B87" s="131">
        <f>DATE(2019,8,1)</f>
        <v>43678</v>
      </c>
      <c r="C87" s="204">
        <v>18036604</v>
      </c>
      <c r="D87" s="204">
        <v>3806318.41</v>
      </c>
      <c r="E87" s="204">
        <v>4154776.6</v>
      </c>
      <c r="F87" s="132">
        <f>(+D87-E87)/E87</f>
        <v>-0.0838692963660188</v>
      </c>
      <c r="G87" s="215">
        <f>D87/C87</f>
        <v>0.2110329865866102</v>
      </c>
      <c r="H87" s="123"/>
    </row>
    <row r="88" spans="1:8" ht="15.75">
      <c r="A88" s="130"/>
      <c r="B88" s="131">
        <f>DATE(2019,9,1)</f>
        <v>43709</v>
      </c>
      <c r="C88" s="204">
        <v>19700815</v>
      </c>
      <c r="D88" s="204">
        <v>3987675.53</v>
      </c>
      <c r="E88" s="204">
        <v>3317290.2</v>
      </c>
      <c r="F88" s="132">
        <f>(+D88-E88)/E88</f>
        <v>0.20208823756209196</v>
      </c>
      <c r="G88" s="215">
        <f>D88/C88</f>
        <v>0.20241170377976747</v>
      </c>
      <c r="H88" s="123"/>
    </row>
    <row r="89" spans="1:8" ht="15.75">
      <c r="A89" s="130"/>
      <c r="B89" s="131">
        <f>DATE(2019,10,1)</f>
        <v>43739</v>
      </c>
      <c r="C89" s="204">
        <v>15446007</v>
      </c>
      <c r="D89" s="204">
        <v>3485177.78</v>
      </c>
      <c r="E89" s="204">
        <v>3010473</v>
      </c>
      <c r="F89" s="132">
        <f>(+D89-E89)/E89</f>
        <v>0.1576844502508409</v>
      </c>
      <c r="G89" s="215">
        <f>D89/C89</f>
        <v>0.22563616473823944</v>
      </c>
      <c r="H89" s="123"/>
    </row>
    <row r="90" spans="1:8" ht="15.75" thickBot="1">
      <c r="A90" s="133"/>
      <c r="B90" s="134"/>
      <c r="C90" s="204"/>
      <c r="D90" s="204"/>
      <c r="E90" s="204"/>
      <c r="F90" s="132"/>
      <c r="G90" s="215"/>
      <c r="H90" s="123"/>
    </row>
    <row r="91" spans="1:8" ht="17.25" thickBot="1" thickTop="1">
      <c r="A91" s="141" t="s">
        <v>14</v>
      </c>
      <c r="B91" s="142"/>
      <c r="C91" s="206">
        <f>SUM(C86:C90)</f>
        <v>71676086</v>
      </c>
      <c r="D91" s="207">
        <f>SUM(D86:D90)</f>
        <v>14958047.37</v>
      </c>
      <c r="E91" s="206">
        <f>SUM(E86:E90)</f>
        <v>14495793.16</v>
      </c>
      <c r="F91" s="143">
        <f>(+D91-E91)/E91</f>
        <v>0.031888852503466535</v>
      </c>
      <c r="G91" s="217">
        <f>D91/C91</f>
        <v>0.20868951145016484</v>
      </c>
      <c r="H91" s="123"/>
    </row>
    <row r="92" spans="1:8" ht="15.75" customHeight="1" thickTop="1">
      <c r="A92" s="130"/>
      <c r="B92" s="134"/>
      <c r="C92" s="204"/>
      <c r="D92" s="204"/>
      <c r="E92" s="204"/>
      <c r="F92" s="132"/>
      <c r="G92" s="218"/>
      <c r="H92" s="123"/>
    </row>
    <row r="93" spans="1:8" ht="15.75">
      <c r="A93" s="130" t="s">
        <v>64</v>
      </c>
      <c r="B93" s="131">
        <f>DATE(2019,7,1)</f>
        <v>43647</v>
      </c>
      <c r="C93" s="204">
        <v>622244</v>
      </c>
      <c r="D93" s="204">
        <v>102948</v>
      </c>
      <c r="E93" s="204">
        <v>171143.5</v>
      </c>
      <c r="F93" s="132">
        <f>(+D93-E93)/E93</f>
        <v>-0.3984697052473509</v>
      </c>
      <c r="G93" s="215">
        <f>D93/C93</f>
        <v>0.16544635223481463</v>
      </c>
      <c r="H93" s="123"/>
    </row>
    <row r="94" spans="1:8" ht="15.75">
      <c r="A94" s="130"/>
      <c r="B94" s="131">
        <f>DATE(2019,8,1)</f>
        <v>43678</v>
      </c>
      <c r="C94" s="204">
        <v>680355</v>
      </c>
      <c r="D94" s="204">
        <v>208443.5</v>
      </c>
      <c r="E94" s="204">
        <v>217353.5</v>
      </c>
      <c r="F94" s="132">
        <f>(+D94-E94)/E94</f>
        <v>-0.040993128705081816</v>
      </c>
      <c r="G94" s="215">
        <f>D94/C94</f>
        <v>0.30637461325337506</v>
      </c>
      <c r="H94" s="123"/>
    </row>
    <row r="95" spans="1:8" ht="15.75">
      <c r="A95" s="130"/>
      <c r="B95" s="131">
        <f>DATE(2019,9,1)</f>
        <v>43709</v>
      </c>
      <c r="C95" s="204">
        <v>591136</v>
      </c>
      <c r="D95" s="204">
        <v>206651.5</v>
      </c>
      <c r="E95" s="204">
        <v>169120</v>
      </c>
      <c r="F95" s="132">
        <f>(+D95-E95)/E95</f>
        <v>0.2219223036896878</v>
      </c>
      <c r="G95" s="215">
        <f>D95/C95</f>
        <v>0.3495836829426731</v>
      </c>
      <c r="H95" s="123"/>
    </row>
    <row r="96" spans="1:8" ht="15.75">
      <c r="A96" s="130"/>
      <c r="B96" s="131">
        <f>DATE(2019,10,1)</f>
        <v>43739</v>
      </c>
      <c r="C96" s="204">
        <v>514035</v>
      </c>
      <c r="D96" s="204">
        <v>159975</v>
      </c>
      <c r="E96" s="204">
        <v>142213.5</v>
      </c>
      <c r="F96" s="132">
        <f>(+D96-E96)/E96</f>
        <v>0.12489320634117014</v>
      </c>
      <c r="G96" s="215">
        <f>D96/C96</f>
        <v>0.31121421693075374</v>
      </c>
      <c r="H96" s="123"/>
    </row>
    <row r="97" spans="1:8" ht="15.75" thickBot="1">
      <c r="A97" s="133"/>
      <c r="B97" s="134"/>
      <c r="C97" s="204"/>
      <c r="D97" s="204"/>
      <c r="E97" s="204"/>
      <c r="F97" s="132"/>
      <c r="G97" s="215"/>
      <c r="H97" s="123"/>
    </row>
    <row r="98" spans="1:8" ht="17.25" thickBot="1" thickTop="1">
      <c r="A98" s="135" t="s">
        <v>14</v>
      </c>
      <c r="B98" s="136"/>
      <c r="C98" s="201">
        <f>SUM(C93:C97)</f>
        <v>2407770</v>
      </c>
      <c r="D98" s="207">
        <f>SUM(D93:D97)</f>
        <v>678018</v>
      </c>
      <c r="E98" s="207">
        <f>SUM(E93:E97)</f>
        <v>699830.5</v>
      </c>
      <c r="F98" s="143">
        <f>(+D98-E98)/E98</f>
        <v>-0.031168261457595804</v>
      </c>
      <c r="G98" s="217">
        <f>D98/C98</f>
        <v>0.28159583348907913</v>
      </c>
      <c r="H98" s="123"/>
    </row>
    <row r="99" spans="1:8" ht="16.5" thickBot="1" thickTop="1">
      <c r="A99" s="146"/>
      <c r="B99" s="139"/>
      <c r="C99" s="205"/>
      <c r="D99" s="205"/>
      <c r="E99" s="205"/>
      <c r="F99" s="140"/>
      <c r="G99" s="216"/>
      <c r="H99" s="123"/>
    </row>
    <row r="100" spans="1:8" ht="17.25" thickBot="1" thickTop="1">
      <c r="A100" s="147" t="s">
        <v>41</v>
      </c>
      <c r="B100" s="121"/>
      <c r="C100" s="201">
        <f>C98+C91+C70+C56+C42+C28+C14+C35+C84+C21+C63+C77+C49</f>
        <v>413793737.25</v>
      </c>
      <c r="D100" s="201">
        <f>D98+D91+D70+D56+D42+D28+D14+D35+D84+D21+D63+D77+D49</f>
        <v>85108988.85</v>
      </c>
      <c r="E100" s="201">
        <f>E98+E91+E70+E56+E42+E28+E14+E35+E84+E21+E63+E77+E49</f>
        <v>84389913.19</v>
      </c>
      <c r="F100" s="137">
        <f>(+D100-E100)/E100</f>
        <v>0.008520872137657384</v>
      </c>
      <c r="G100" s="212">
        <f>D100/C100</f>
        <v>0.20567974135041114</v>
      </c>
      <c r="H100" s="123"/>
    </row>
    <row r="101" spans="1:8" ht="17.25" thickBot="1" thickTop="1">
      <c r="A101" s="147"/>
      <c r="B101" s="121"/>
      <c r="C101" s="201"/>
      <c r="D101" s="201"/>
      <c r="E101" s="201"/>
      <c r="F101" s="137"/>
      <c r="G101" s="212"/>
      <c r="H101" s="123"/>
    </row>
    <row r="102" spans="1:8" ht="17.25" thickBot="1" thickTop="1">
      <c r="A102" s="265" t="s">
        <v>42</v>
      </c>
      <c r="B102" s="266"/>
      <c r="C102" s="206">
        <f>SUM(C12+C19+C26+C33+C40+C47+C54+C61+C68+C75+C82+C89+C96)</f>
        <v>99867123.5</v>
      </c>
      <c r="D102" s="206">
        <f>SUM(D12+D19+D26+D33+D40+D47+D54+D61+D68+D75+D82+D89+D96)</f>
        <v>21626211.95</v>
      </c>
      <c r="E102" s="206">
        <f>SUM(E12+E19+E26+E33+E40+E47+E54+E61+E68+E75+E82+E89+E96)</f>
        <v>19308657.29</v>
      </c>
      <c r="F102" s="143">
        <f>(+D102-E102)/E102</f>
        <v>0.12002671263942663</v>
      </c>
      <c r="G102" s="217">
        <f>D102/C102</f>
        <v>0.21654986337921306</v>
      </c>
      <c r="H102" s="123"/>
    </row>
    <row r="103" spans="1:8" ht="16.5" thickTop="1">
      <c r="A103" s="256"/>
      <c r="B103" s="258"/>
      <c r="C103" s="259"/>
      <c r="D103" s="259"/>
      <c r="E103" s="259"/>
      <c r="F103" s="260"/>
      <c r="G103" s="257"/>
      <c r="H103" s="257"/>
    </row>
    <row r="104" spans="1:7" ht="18.75">
      <c r="A104" s="263" t="s">
        <v>43</v>
      </c>
      <c r="B104" s="117"/>
      <c r="C104" s="208"/>
      <c r="D104" s="208"/>
      <c r="E104" s="208"/>
      <c r="F104" s="148"/>
      <c r="G104" s="220"/>
    </row>
    <row r="105" ht="15.75">
      <c r="A105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2" manualBreakCount="2">
    <brk id="49" max="7" man="1"/>
    <brk id="9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DATE(19,7,1)</f>
        <v>7122</v>
      </c>
      <c r="C10" s="226">
        <v>121214833.89</v>
      </c>
      <c r="D10" s="226">
        <v>12400602.17</v>
      </c>
      <c r="E10" s="226">
        <v>11548721.09</v>
      </c>
      <c r="F10" s="166">
        <f>(+D10-E10)/E10</f>
        <v>0.07376410542442151</v>
      </c>
      <c r="G10" s="241">
        <f>D10/C10</f>
        <v>0.10230267841024551</v>
      </c>
      <c r="H10" s="242">
        <f>1-G10</f>
        <v>0.8976973215897545</v>
      </c>
      <c r="I10" s="157"/>
    </row>
    <row r="11" spans="1:9" ht="15.75">
      <c r="A11" s="164"/>
      <c r="B11" s="165">
        <f>DATE(19,8,1)</f>
        <v>7153</v>
      </c>
      <c r="C11" s="226">
        <v>127273364.16</v>
      </c>
      <c r="D11" s="226">
        <v>12656746.98</v>
      </c>
      <c r="E11" s="226">
        <v>12278666.34</v>
      </c>
      <c r="F11" s="166">
        <f>(+D11-E11)/E11</f>
        <v>0.030791669838631727</v>
      </c>
      <c r="G11" s="241">
        <f>D11/C11</f>
        <v>0.0994453714925673</v>
      </c>
      <c r="H11" s="242">
        <f>1-G11</f>
        <v>0.9005546285074327</v>
      </c>
      <c r="I11" s="157"/>
    </row>
    <row r="12" spans="1:9" ht="15.75">
      <c r="A12" s="164"/>
      <c r="B12" s="165">
        <f>DATE(19,9,1)</f>
        <v>7184</v>
      </c>
      <c r="C12" s="226">
        <v>113582337.68</v>
      </c>
      <c r="D12" s="226">
        <v>11070519.38</v>
      </c>
      <c r="E12" s="226">
        <v>11479851.3</v>
      </c>
      <c r="F12" s="166">
        <f>(+D12-E12)/E12</f>
        <v>-0.03565655245029175</v>
      </c>
      <c r="G12" s="241">
        <f>D12/C12</f>
        <v>0.09746690908219736</v>
      </c>
      <c r="H12" s="242">
        <f>1-G12</f>
        <v>0.9025330909178026</v>
      </c>
      <c r="I12" s="157"/>
    </row>
    <row r="13" spans="1:9" ht="15.75">
      <c r="A13" s="164"/>
      <c r="B13" s="165">
        <f>DATE(19,10,1)</f>
        <v>7214</v>
      </c>
      <c r="C13" s="226">
        <v>115818968.11</v>
      </c>
      <c r="D13" s="226">
        <v>11529928.41</v>
      </c>
      <c r="E13" s="226">
        <v>11766741.38</v>
      </c>
      <c r="F13" s="166">
        <f>(+D13-E13)/E13</f>
        <v>-0.0201256203695029</v>
      </c>
      <c r="G13" s="241">
        <f>D13/C13</f>
        <v>0.09955129628723128</v>
      </c>
      <c r="H13" s="242">
        <f>1-G13</f>
        <v>0.9004487037127687</v>
      </c>
      <c r="I13" s="157"/>
    </row>
    <row r="14" spans="1:9" ht="15.75" thickBot="1">
      <c r="A14" s="167"/>
      <c r="B14" s="168"/>
      <c r="C14" s="226"/>
      <c r="D14" s="226"/>
      <c r="E14" s="226"/>
      <c r="F14" s="166"/>
      <c r="G14" s="241"/>
      <c r="H14" s="242"/>
      <c r="I14" s="157"/>
    </row>
    <row r="15" spans="1:9" ht="17.25" thickBot="1" thickTop="1">
      <c r="A15" s="169" t="s">
        <v>14</v>
      </c>
      <c r="B15" s="155"/>
      <c r="C15" s="223">
        <f>SUM(C10:C14)</f>
        <v>477889503.84000003</v>
      </c>
      <c r="D15" s="223">
        <f>SUM(D10:D14)</f>
        <v>47657796.94</v>
      </c>
      <c r="E15" s="223">
        <f>SUM(E10:E14)</f>
        <v>47073980.11000001</v>
      </c>
      <c r="F15" s="170">
        <f>(+D15-E15)/E15</f>
        <v>0.012402113197901648</v>
      </c>
      <c r="G15" s="236">
        <f>D15/C15</f>
        <v>0.09972555696882618</v>
      </c>
      <c r="H15" s="237">
        <f>1-G15</f>
        <v>0.9002744430311738</v>
      </c>
      <c r="I15" s="157"/>
    </row>
    <row r="16" spans="1:9" ht="15.75" thickTop="1">
      <c r="A16" s="171"/>
      <c r="B16" s="172"/>
      <c r="C16" s="227"/>
      <c r="D16" s="227"/>
      <c r="E16" s="227"/>
      <c r="F16" s="173"/>
      <c r="G16" s="243"/>
      <c r="H16" s="244"/>
      <c r="I16" s="157"/>
    </row>
    <row r="17" spans="1:9" ht="15.75">
      <c r="A17" s="19" t="s">
        <v>51</v>
      </c>
      <c r="B17" s="165">
        <f>DATE(19,7,1)</f>
        <v>7122</v>
      </c>
      <c r="C17" s="226">
        <v>61310653.93</v>
      </c>
      <c r="D17" s="226">
        <v>6237791.83</v>
      </c>
      <c r="E17" s="226">
        <v>6830347.76</v>
      </c>
      <c r="F17" s="166">
        <f>(+D17-E17)/E17</f>
        <v>-0.08675340565675674</v>
      </c>
      <c r="G17" s="241">
        <f>D17/C17</f>
        <v>0.10174074863272299</v>
      </c>
      <c r="H17" s="242">
        <f>1-G17</f>
        <v>0.898259251367277</v>
      </c>
      <c r="I17" s="157"/>
    </row>
    <row r="18" spans="1:9" ht="15.75">
      <c r="A18" s="19"/>
      <c r="B18" s="165">
        <f>DATE(19,8,1)</f>
        <v>7153</v>
      </c>
      <c r="C18" s="226">
        <v>61567378.38</v>
      </c>
      <c r="D18" s="226">
        <v>6248302.35</v>
      </c>
      <c r="E18" s="226">
        <v>6442436.26</v>
      </c>
      <c r="F18" s="166">
        <f>(+D18-E18)/E18</f>
        <v>-0.030133617495813635</v>
      </c>
      <c r="G18" s="241">
        <f>D18/C18</f>
        <v>0.10148722447518967</v>
      </c>
      <c r="H18" s="242">
        <f>1-G18</f>
        <v>0.8985127755248103</v>
      </c>
      <c r="I18" s="157"/>
    </row>
    <row r="19" spans="1:9" ht="15.75">
      <c r="A19" s="19"/>
      <c r="B19" s="165">
        <f>DATE(19,9,1)</f>
        <v>7184</v>
      </c>
      <c r="C19" s="226">
        <v>56369402.54</v>
      </c>
      <c r="D19" s="226">
        <v>5841517.6</v>
      </c>
      <c r="E19" s="226">
        <v>6263081.72</v>
      </c>
      <c r="F19" s="166">
        <f>(+D19-E19)/E19</f>
        <v>-0.06730937561517242</v>
      </c>
      <c r="G19" s="241">
        <f>D19/C19</f>
        <v>0.10362922679293665</v>
      </c>
      <c r="H19" s="242">
        <f>1-G19</f>
        <v>0.8963707732070634</v>
      </c>
      <c r="I19" s="157"/>
    </row>
    <row r="20" spans="1:9" ht="15.75">
      <c r="A20" s="19"/>
      <c r="B20" s="165">
        <f>DATE(19,10,1)</f>
        <v>7214</v>
      </c>
      <c r="C20" s="226">
        <v>54504425.12</v>
      </c>
      <c r="D20" s="226">
        <v>5457854.24</v>
      </c>
      <c r="E20" s="226">
        <v>5583864.37</v>
      </c>
      <c r="F20" s="166">
        <f>(+D20-E20)/E20</f>
        <v>-0.022566832152479357</v>
      </c>
      <c r="G20" s="241">
        <f>D20/C20</f>
        <v>0.10013598396797475</v>
      </c>
      <c r="H20" s="242">
        <f>1-G20</f>
        <v>0.8998640160320253</v>
      </c>
      <c r="I20" s="157"/>
    </row>
    <row r="21" spans="1:9" ht="15.75" thickBot="1">
      <c r="A21" s="167"/>
      <c r="B21" s="165"/>
      <c r="C21" s="226"/>
      <c r="D21" s="226"/>
      <c r="E21" s="226"/>
      <c r="F21" s="166"/>
      <c r="G21" s="241"/>
      <c r="H21" s="242"/>
      <c r="I21" s="157"/>
    </row>
    <row r="22" spans="1:9" ht="17.25" thickBot="1" thickTop="1">
      <c r="A22" s="169" t="s">
        <v>14</v>
      </c>
      <c r="B22" s="155"/>
      <c r="C22" s="223">
        <f>SUM(C17:C21)</f>
        <v>233751859.97</v>
      </c>
      <c r="D22" s="223">
        <f>SUM(D17:D21)</f>
        <v>23785466.020000003</v>
      </c>
      <c r="E22" s="223">
        <f>SUM(E17:E21)</f>
        <v>25119730.11</v>
      </c>
      <c r="F22" s="170">
        <f>(+D22-E22)/E22</f>
        <v>-0.05311617936009728</v>
      </c>
      <c r="G22" s="236">
        <f>D22/C22</f>
        <v>0.10175519468830177</v>
      </c>
      <c r="H22" s="237">
        <f>1-G22</f>
        <v>0.8982448053116983</v>
      </c>
      <c r="I22" s="157"/>
    </row>
    <row r="23" spans="1:9" ht="15.75" thickTop="1">
      <c r="A23" s="171"/>
      <c r="B23" s="172"/>
      <c r="C23" s="227"/>
      <c r="D23" s="227"/>
      <c r="E23" s="227"/>
      <c r="F23" s="173"/>
      <c r="G23" s="243"/>
      <c r="H23" s="244"/>
      <c r="I23" s="157"/>
    </row>
    <row r="24" spans="1:9" ht="15.75">
      <c r="A24" s="19" t="s">
        <v>60</v>
      </c>
      <c r="B24" s="165">
        <f>DATE(19,7,1)</f>
        <v>7122</v>
      </c>
      <c r="C24" s="226">
        <v>27697147.81</v>
      </c>
      <c r="D24" s="226">
        <v>2967073.27</v>
      </c>
      <c r="E24" s="226">
        <v>2891699.85</v>
      </c>
      <c r="F24" s="166">
        <f>(+D24-E24)/E24</f>
        <v>0.026065436909020804</v>
      </c>
      <c r="G24" s="241">
        <f>D24/C24</f>
        <v>0.10712558890012293</v>
      </c>
      <c r="H24" s="242">
        <f>1-G24</f>
        <v>0.8928744110998771</v>
      </c>
      <c r="I24" s="157"/>
    </row>
    <row r="25" spans="1:9" ht="15.75">
      <c r="A25" s="19"/>
      <c r="B25" s="165">
        <f>DATE(19,8,1)</f>
        <v>7153</v>
      </c>
      <c r="C25" s="226">
        <v>27431300.71</v>
      </c>
      <c r="D25" s="226">
        <v>2916117.84</v>
      </c>
      <c r="E25" s="226">
        <v>2785511.76</v>
      </c>
      <c r="F25" s="166">
        <f>(+D25-E25)/E25</f>
        <v>0.04688764264990936</v>
      </c>
      <c r="G25" s="241">
        <f>D25/C25</f>
        <v>0.10630621824421682</v>
      </c>
      <c r="H25" s="242">
        <f>1-G25</f>
        <v>0.8936937817557832</v>
      </c>
      <c r="I25" s="157"/>
    </row>
    <row r="26" spans="1:9" ht="15.75">
      <c r="A26" s="19"/>
      <c r="B26" s="165">
        <f>DATE(19,9,1)</f>
        <v>7184</v>
      </c>
      <c r="C26" s="226">
        <v>27153283.5</v>
      </c>
      <c r="D26" s="226">
        <v>2810959.49</v>
      </c>
      <c r="E26" s="226">
        <v>2777720.64</v>
      </c>
      <c r="F26" s="166">
        <f>(+D26-E26)/E26</f>
        <v>0.011966232140608673</v>
      </c>
      <c r="G26" s="241">
        <f>D26/C26</f>
        <v>0.10352189966270563</v>
      </c>
      <c r="H26" s="242">
        <f>1-G26</f>
        <v>0.8964781003372944</v>
      </c>
      <c r="I26" s="157"/>
    </row>
    <row r="27" spans="1:9" ht="15.75">
      <c r="A27" s="19"/>
      <c r="B27" s="165">
        <f>DATE(19,10,1)</f>
        <v>7214</v>
      </c>
      <c r="C27" s="226">
        <v>25839439.73</v>
      </c>
      <c r="D27" s="226">
        <v>2793135.19</v>
      </c>
      <c r="E27" s="226">
        <v>2633608.27</v>
      </c>
      <c r="F27" s="166">
        <f>(+D27-E27)/E27</f>
        <v>0.060573518779237404</v>
      </c>
      <c r="G27" s="241">
        <f>D27/C27</f>
        <v>0.10809581086841932</v>
      </c>
      <c r="H27" s="242">
        <f>1-G27</f>
        <v>0.8919041891315806</v>
      </c>
      <c r="I27" s="157"/>
    </row>
    <row r="28" spans="1:9" ht="15.75" thickBot="1">
      <c r="A28" s="167"/>
      <c r="B28" s="165"/>
      <c r="C28" s="226"/>
      <c r="D28" s="226"/>
      <c r="E28" s="226"/>
      <c r="F28" s="166"/>
      <c r="G28" s="241"/>
      <c r="H28" s="242"/>
      <c r="I28" s="157"/>
    </row>
    <row r="29" spans="1:9" ht="17.25" thickBot="1" thickTop="1">
      <c r="A29" s="174" t="s">
        <v>14</v>
      </c>
      <c r="B29" s="175"/>
      <c r="C29" s="228">
        <f>SUM(C24:C28)</f>
        <v>108121171.75</v>
      </c>
      <c r="D29" s="228">
        <f>SUM(D24:D28)</f>
        <v>11487285.79</v>
      </c>
      <c r="E29" s="228">
        <f>SUM(E24:E28)</f>
        <v>11088540.52</v>
      </c>
      <c r="F29" s="176">
        <f>(+D29-E29)/E29</f>
        <v>0.035960122008915164</v>
      </c>
      <c r="G29" s="245">
        <f>D29/C29</f>
        <v>0.10624455510490709</v>
      </c>
      <c r="H29" s="246">
        <f>1-G29</f>
        <v>0.893755444895093</v>
      </c>
      <c r="I29" s="157"/>
    </row>
    <row r="30" spans="1:9" ht="15.75" thickTop="1">
      <c r="A30" s="167"/>
      <c r="B30" s="168"/>
      <c r="C30" s="226"/>
      <c r="D30" s="226"/>
      <c r="E30" s="226"/>
      <c r="F30" s="166"/>
      <c r="G30" s="241"/>
      <c r="H30" s="242"/>
      <c r="I30" s="157"/>
    </row>
    <row r="31" spans="1:9" ht="15.75">
      <c r="A31" s="177" t="s">
        <v>65</v>
      </c>
      <c r="B31" s="165">
        <f>DATE(19,7,1)</f>
        <v>7122</v>
      </c>
      <c r="C31" s="226">
        <v>184825387.6</v>
      </c>
      <c r="D31" s="226">
        <v>17279710.35</v>
      </c>
      <c r="E31" s="226">
        <v>17539246.18</v>
      </c>
      <c r="F31" s="166">
        <f>(+D31-E31)/E31</f>
        <v>-0.014797433557660356</v>
      </c>
      <c r="G31" s="241">
        <f>D31/C31</f>
        <v>0.09349208230742</v>
      </c>
      <c r="H31" s="242">
        <f>1-G31</f>
        <v>0.90650791769258</v>
      </c>
      <c r="I31" s="157"/>
    </row>
    <row r="32" spans="1:9" ht="15.75">
      <c r="A32" s="177"/>
      <c r="B32" s="165">
        <f>DATE(19,8,1)</f>
        <v>7153</v>
      </c>
      <c r="C32" s="226">
        <v>191102191.72</v>
      </c>
      <c r="D32" s="226">
        <v>17467037.46</v>
      </c>
      <c r="E32" s="226">
        <v>17390823.88</v>
      </c>
      <c r="F32" s="166">
        <f>(+D32-E32)/E32</f>
        <v>0.004382401922179775</v>
      </c>
      <c r="G32" s="241">
        <f>D32/C32</f>
        <v>0.09140155485810668</v>
      </c>
      <c r="H32" s="242">
        <f>1-G32</f>
        <v>0.9085984451418934</v>
      </c>
      <c r="I32" s="157"/>
    </row>
    <row r="33" spans="1:9" ht="15.75">
      <c r="A33" s="177"/>
      <c r="B33" s="165">
        <f>DATE(19,9,1)</f>
        <v>7184</v>
      </c>
      <c r="C33" s="226">
        <v>174203675.17</v>
      </c>
      <c r="D33" s="226">
        <v>16156127.95</v>
      </c>
      <c r="E33" s="226">
        <v>16350217.75</v>
      </c>
      <c r="F33" s="166">
        <f>(+D33-E33)/E33</f>
        <v>-0.011870777684291131</v>
      </c>
      <c r="G33" s="241">
        <f>D33/C33</f>
        <v>0.09274275031358399</v>
      </c>
      <c r="H33" s="242">
        <f>1-G33</f>
        <v>0.907257249686416</v>
      </c>
      <c r="I33" s="157"/>
    </row>
    <row r="34" spans="1:9" ht="15.75">
      <c r="A34" s="177"/>
      <c r="B34" s="165">
        <f>DATE(19,10,1)</f>
        <v>7214</v>
      </c>
      <c r="C34" s="226">
        <v>179895954.49</v>
      </c>
      <c r="D34" s="226">
        <v>15798088.05</v>
      </c>
      <c r="E34" s="226">
        <v>15575678.63</v>
      </c>
      <c r="F34" s="166">
        <f>(+D34-E34)/E34</f>
        <v>0.01427927638232222</v>
      </c>
      <c r="G34" s="241">
        <f>D34/C34</f>
        <v>0.08781791727772388</v>
      </c>
      <c r="H34" s="242">
        <f>1-G34</f>
        <v>0.9121820827222761</v>
      </c>
      <c r="I34" s="157"/>
    </row>
    <row r="35" spans="1:9" ht="15.75" thickBot="1">
      <c r="A35" s="167"/>
      <c r="B35" s="168"/>
      <c r="C35" s="226"/>
      <c r="D35" s="226"/>
      <c r="E35" s="226"/>
      <c r="F35" s="166"/>
      <c r="G35" s="241"/>
      <c r="H35" s="242"/>
      <c r="I35" s="157"/>
    </row>
    <row r="36" spans="1:9" ht="17.25" thickBot="1" thickTop="1">
      <c r="A36" s="174" t="s">
        <v>14</v>
      </c>
      <c r="B36" s="178"/>
      <c r="C36" s="228">
        <f>SUM(C31:C35)</f>
        <v>730027208.98</v>
      </c>
      <c r="D36" s="228">
        <f>SUM(D31:D35)</f>
        <v>66700963.81</v>
      </c>
      <c r="E36" s="228">
        <f>SUM(E31:E35)</f>
        <v>66855966.440000005</v>
      </c>
      <c r="F36" s="176">
        <f>(+D36-E36)/E36</f>
        <v>-0.002318456201498636</v>
      </c>
      <c r="G36" s="245">
        <f>D36/C36</f>
        <v>0.09136777778898834</v>
      </c>
      <c r="H36" s="246">
        <f>1-G36</f>
        <v>0.9086322222110117</v>
      </c>
      <c r="I36" s="157"/>
    </row>
    <row r="37" spans="1:9" ht="15.75" thickTop="1">
      <c r="A37" s="167"/>
      <c r="B37" s="168"/>
      <c r="C37" s="226"/>
      <c r="D37" s="226"/>
      <c r="E37" s="226"/>
      <c r="F37" s="166"/>
      <c r="G37" s="241"/>
      <c r="H37" s="242"/>
      <c r="I37" s="157"/>
    </row>
    <row r="38" spans="1:9" ht="15.75">
      <c r="A38" s="164" t="s">
        <v>16</v>
      </c>
      <c r="B38" s="165">
        <f>DATE(19,7,1)</f>
        <v>7122</v>
      </c>
      <c r="C38" s="226">
        <v>115325495.95</v>
      </c>
      <c r="D38" s="226">
        <v>11411946.24</v>
      </c>
      <c r="E38" s="226">
        <v>11381105.73</v>
      </c>
      <c r="F38" s="166">
        <f>(+D38-E38)/E38</f>
        <v>0.0027097990943626684</v>
      </c>
      <c r="G38" s="241">
        <f>D38/C38</f>
        <v>0.09895423510641317</v>
      </c>
      <c r="H38" s="242">
        <f>1-G38</f>
        <v>0.9010457648935868</v>
      </c>
      <c r="I38" s="157"/>
    </row>
    <row r="39" spans="1:9" ht="15.75">
      <c r="A39" s="164"/>
      <c r="B39" s="165">
        <f>DATE(19,8,1)</f>
        <v>7153</v>
      </c>
      <c r="C39" s="226">
        <v>122607190.3</v>
      </c>
      <c r="D39" s="226">
        <v>12220877.76</v>
      </c>
      <c r="E39" s="226">
        <v>11018606.25</v>
      </c>
      <c r="F39" s="166">
        <f>(+D39-E39)/E39</f>
        <v>0.10911284809728089</v>
      </c>
      <c r="G39" s="241">
        <f>D39/C39</f>
        <v>0.09967504948198784</v>
      </c>
      <c r="H39" s="242">
        <f>1-G39</f>
        <v>0.9003249505180122</v>
      </c>
      <c r="I39" s="157"/>
    </row>
    <row r="40" spans="1:9" ht="15.75">
      <c r="A40" s="164"/>
      <c r="B40" s="165">
        <f>DATE(19,9,1)</f>
        <v>7184</v>
      </c>
      <c r="C40" s="226">
        <v>115423599.31</v>
      </c>
      <c r="D40" s="226">
        <v>11441576.98</v>
      </c>
      <c r="E40" s="226">
        <v>11865007.26</v>
      </c>
      <c r="F40" s="166">
        <f>(+D40-E40)/E40</f>
        <v>-0.03568731739655078</v>
      </c>
      <c r="G40" s="241">
        <f>D40/C40</f>
        <v>0.09912684276350349</v>
      </c>
      <c r="H40" s="242">
        <f>1-G40</f>
        <v>0.9008731572364965</v>
      </c>
      <c r="I40" s="157"/>
    </row>
    <row r="41" spans="1:9" ht="15.75">
      <c r="A41" s="164"/>
      <c r="B41" s="165">
        <f>DATE(19,10,1)</f>
        <v>7214</v>
      </c>
      <c r="C41" s="226">
        <v>115210524.88</v>
      </c>
      <c r="D41" s="226">
        <v>11451574.32</v>
      </c>
      <c r="E41" s="226">
        <v>11049162.11</v>
      </c>
      <c r="F41" s="166">
        <f>(+D41-E41)/E41</f>
        <v>0.03642015620675882</v>
      </c>
      <c r="G41" s="241">
        <f>D41/C41</f>
        <v>0.09939694599888017</v>
      </c>
      <c r="H41" s="242">
        <f>1-G41</f>
        <v>0.9006030540011198</v>
      </c>
      <c r="I41" s="157"/>
    </row>
    <row r="42" spans="1:9" ht="15.75" thickBot="1">
      <c r="A42" s="167"/>
      <c r="B42" s="165"/>
      <c r="C42" s="226"/>
      <c r="D42" s="226"/>
      <c r="E42" s="226"/>
      <c r="F42" s="166"/>
      <c r="G42" s="241"/>
      <c r="H42" s="242"/>
      <c r="I42" s="157"/>
    </row>
    <row r="43" spans="1:9" ht="17.25" thickBot="1" thickTop="1">
      <c r="A43" s="174" t="s">
        <v>14</v>
      </c>
      <c r="B43" s="175"/>
      <c r="C43" s="228">
        <f>SUM(C38:C42)</f>
        <v>468566810.44</v>
      </c>
      <c r="D43" s="230">
        <f>SUM(D38:D42)</f>
        <v>46525975.300000004</v>
      </c>
      <c r="E43" s="271">
        <f>SUM(E38:E42)</f>
        <v>45313881.35</v>
      </c>
      <c r="F43" s="272">
        <f>(+D43-E43)/E43</f>
        <v>0.026748844148615464</v>
      </c>
      <c r="G43" s="249">
        <f>D43/C43</f>
        <v>0.09929421859032343</v>
      </c>
      <c r="H43" s="270">
        <f>1-G43</f>
        <v>0.9007057814096766</v>
      </c>
      <c r="I43" s="157"/>
    </row>
    <row r="44" spans="1:9" ht="15.75" thickTop="1">
      <c r="A44" s="167"/>
      <c r="B44" s="168"/>
      <c r="C44" s="226"/>
      <c r="D44" s="226"/>
      <c r="E44" s="226"/>
      <c r="F44" s="166"/>
      <c r="G44" s="241"/>
      <c r="H44" s="242"/>
      <c r="I44" s="157"/>
    </row>
    <row r="45" spans="1:9" ht="15.75">
      <c r="A45" s="164" t="s">
        <v>66</v>
      </c>
      <c r="B45" s="165">
        <f>DATE(19,7,1)</f>
        <v>7122</v>
      </c>
      <c r="C45" s="226">
        <v>39783172.6</v>
      </c>
      <c r="D45" s="226">
        <v>3906046.69</v>
      </c>
      <c r="E45" s="226">
        <v>4536017.05</v>
      </c>
      <c r="F45" s="166">
        <f>(+D45-E45)/E45</f>
        <v>-0.1388818324657752</v>
      </c>
      <c r="G45" s="241">
        <f>D45/C45</f>
        <v>0.09818338847113464</v>
      </c>
      <c r="H45" s="242">
        <f>1-G45</f>
        <v>0.9018166115288654</v>
      </c>
      <c r="I45" s="157"/>
    </row>
    <row r="46" spans="1:9" ht="15.75">
      <c r="A46" s="164"/>
      <c r="B46" s="165">
        <f>DATE(19,8,1)</f>
        <v>7153</v>
      </c>
      <c r="C46" s="226">
        <v>43743175.45</v>
      </c>
      <c r="D46" s="226">
        <v>4670857.45</v>
      </c>
      <c r="E46" s="226">
        <v>4611969.17</v>
      </c>
      <c r="F46" s="166">
        <f>(+D46-E46)/E46</f>
        <v>0.012768576247876405</v>
      </c>
      <c r="G46" s="241">
        <f>D46/C46</f>
        <v>0.1067791124432417</v>
      </c>
      <c r="H46" s="242">
        <f>1-G46</f>
        <v>0.8932208875567583</v>
      </c>
      <c r="I46" s="157"/>
    </row>
    <row r="47" spans="1:9" ht="15.75">
      <c r="A47" s="164"/>
      <c r="B47" s="165">
        <f>DATE(19,9,1)</f>
        <v>7184</v>
      </c>
      <c r="C47" s="226">
        <v>42075238.06</v>
      </c>
      <c r="D47" s="226">
        <v>4421418.32</v>
      </c>
      <c r="E47" s="226">
        <v>4472303.22</v>
      </c>
      <c r="F47" s="166">
        <f>(+D47-E47)/E47</f>
        <v>-0.011377783995602929</v>
      </c>
      <c r="G47" s="241">
        <f>D47/C47</f>
        <v>0.10508361981683818</v>
      </c>
      <c r="H47" s="242">
        <f>1-G47</f>
        <v>0.8949163801831618</v>
      </c>
      <c r="I47" s="157"/>
    </row>
    <row r="48" spans="1:9" ht="15.75">
      <c r="A48" s="164"/>
      <c r="B48" s="165">
        <f>DATE(19,10,1)</f>
        <v>7214</v>
      </c>
      <c r="C48" s="226">
        <v>41772739.68</v>
      </c>
      <c r="D48" s="226">
        <v>4469558.96</v>
      </c>
      <c r="E48" s="226">
        <v>4257625.94</v>
      </c>
      <c r="F48" s="166">
        <f>(+D48-E48)/E48</f>
        <v>0.049777275642960674</v>
      </c>
      <c r="G48" s="241">
        <f>D48/C48</f>
        <v>0.10699702711000161</v>
      </c>
      <c r="H48" s="242">
        <f>1-G48</f>
        <v>0.8930029728899984</v>
      </c>
      <c r="I48" s="157"/>
    </row>
    <row r="49" spans="1:9" ht="15.75" thickBot="1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Bot="1" thickTop="1">
      <c r="A50" s="174" t="s">
        <v>14</v>
      </c>
      <c r="B50" s="175"/>
      <c r="C50" s="228">
        <f>SUM(C45:C49)</f>
        <v>167374325.79000002</v>
      </c>
      <c r="D50" s="230">
        <f>SUM(D45:D49)</f>
        <v>17467881.42</v>
      </c>
      <c r="E50" s="271">
        <f>SUM(E45:E49)</f>
        <v>17877915.38</v>
      </c>
      <c r="F50" s="272">
        <f>(+D50-E50)/E50</f>
        <v>-0.022935222104177852</v>
      </c>
      <c r="G50" s="249">
        <f>D50/C50</f>
        <v>0.10436416300739262</v>
      </c>
      <c r="H50" s="270">
        <f>1-G50</f>
        <v>0.8956358369926074</v>
      </c>
      <c r="I50" s="157"/>
    </row>
    <row r="51" spans="1:9" ht="15.75" thickTop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>
      <c r="A52" s="164" t="s">
        <v>17</v>
      </c>
      <c r="B52" s="165">
        <f>DATE(19,7,1)</f>
        <v>7122</v>
      </c>
      <c r="C52" s="226">
        <v>45458425.4</v>
      </c>
      <c r="D52" s="226">
        <v>4987956.2</v>
      </c>
      <c r="E52" s="226">
        <v>5381167.31</v>
      </c>
      <c r="F52" s="166">
        <f>(+D52-E52)/E52</f>
        <v>-0.07307171239022475</v>
      </c>
      <c r="G52" s="241">
        <f>D52/C52</f>
        <v>0.10972567034844986</v>
      </c>
      <c r="H52" s="242">
        <f>1-G52</f>
        <v>0.8902743296515502</v>
      </c>
      <c r="I52" s="157"/>
    </row>
    <row r="53" spans="1:9" ht="15.75">
      <c r="A53" s="164"/>
      <c r="B53" s="165">
        <f>DATE(19,8,1)</f>
        <v>7153</v>
      </c>
      <c r="C53" s="226">
        <v>47408888.34</v>
      </c>
      <c r="D53" s="226">
        <v>5297182</v>
      </c>
      <c r="E53" s="226">
        <v>5291596.82</v>
      </c>
      <c r="F53" s="166">
        <f>(+D53-E53)/E53</f>
        <v>0.0010554810182986886</v>
      </c>
      <c r="G53" s="241">
        <f>D53/C53</f>
        <v>0.1117339424204689</v>
      </c>
      <c r="H53" s="242">
        <f>1-G53</f>
        <v>0.8882660575795311</v>
      </c>
      <c r="I53" s="157"/>
    </row>
    <row r="54" spans="1:9" ht="15.75">
      <c r="A54" s="164"/>
      <c r="B54" s="165">
        <f>DATE(19,9,1)</f>
        <v>7184</v>
      </c>
      <c r="C54" s="226">
        <v>43078381.07</v>
      </c>
      <c r="D54" s="226">
        <v>4757922.75</v>
      </c>
      <c r="E54" s="226">
        <v>5027629.3</v>
      </c>
      <c r="F54" s="166">
        <f>(+D54-E54)/E54</f>
        <v>-0.053644875925915984</v>
      </c>
      <c r="G54" s="241">
        <f>D54/C54</f>
        <v>0.11044803987105822</v>
      </c>
      <c r="H54" s="242">
        <f>1-G54</f>
        <v>0.8895519601289418</v>
      </c>
      <c r="I54" s="157"/>
    </row>
    <row r="55" spans="1:9" ht="15.75">
      <c r="A55" s="164"/>
      <c r="B55" s="165">
        <f>DATE(19,10,1)</f>
        <v>7214</v>
      </c>
      <c r="C55" s="226">
        <v>45559884.78</v>
      </c>
      <c r="D55" s="226">
        <v>5100767.21</v>
      </c>
      <c r="E55" s="226">
        <v>5016135.3</v>
      </c>
      <c r="F55" s="166">
        <f>(+D55-E55)/E55</f>
        <v>0.016871935252623697</v>
      </c>
      <c r="G55" s="241">
        <f>D55/C55</f>
        <v>0.11195742119697256</v>
      </c>
      <c r="H55" s="242">
        <f>1-G55</f>
        <v>0.8880425788030274</v>
      </c>
      <c r="I55" s="157"/>
    </row>
    <row r="56" spans="1:9" ht="15.75" thickBot="1">
      <c r="A56" s="167"/>
      <c r="B56" s="165"/>
      <c r="C56" s="226"/>
      <c r="D56" s="226"/>
      <c r="E56" s="226"/>
      <c r="F56" s="166"/>
      <c r="G56" s="241"/>
      <c r="H56" s="242"/>
      <c r="I56" s="157"/>
    </row>
    <row r="57" spans="1:9" ht="17.25" thickBot="1" thickTop="1">
      <c r="A57" s="174" t="s">
        <v>14</v>
      </c>
      <c r="B57" s="175"/>
      <c r="C57" s="228">
        <f>SUM(C52:C56)</f>
        <v>181505579.59</v>
      </c>
      <c r="D57" s="230">
        <f>SUM(D52:D56)</f>
        <v>20143828.16</v>
      </c>
      <c r="E57" s="271">
        <f>SUM(E52:E56)</f>
        <v>20716528.73</v>
      </c>
      <c r="F57" s="272">
        <f>(+D57-E57)/E57</f>
        <v>-0.027644620267422586</v>
      </c>
      <c r="G57" s="249">
        <f>D57/C57</f>
        <v>0.11098186736464281</v>
      </c>
      <c r="H57" s="270">
        <f>1-G57</f>
        <v>0.8890181326353572</v>
      </c>
      <c r="I57" s="157"/>
    </row>
    <row r="58" spans="1:9" ht="15.75" thickTop="1">
      <c r="A58" s="167"/>
      <c r="B58" s="168"/>
      <c r="C58" s="226"/>
      <c r="D58" s="226"/>
      <c r="E58" s="226"/>
      <c r="F58" s="166"/>
      <c r="G58" s="241"/>
      <c r="H58" s="242"/>
      <c r="I58" s="157"/>
    </row>
    <row r="59" spans="1:9" ht="15.75">
      <c r="A59" s="164" t="s">
        <v>67</v>
      </c>
      <c r="B59" s="165">
        <f>DATE(19,7,1)</f>
        <v>7122</v>
      </c>
      <c r="C59" s="226">
        <v>108871593.49</v>
      </c>
      <c r="D59" s="226">
        <v>10859844.9</v>
      </c>
      <c r="E59" s="226">
        <v>11368416.64</v>
      </c>
      <c r="F59" s="166">
        <f>(+D59-E59)/E59</f>
        <v>-0.04473549449362899</v>
      </c>
      <c r="G59" s="241">
        <f>D59/C59</f>
        <v>0.09974911316970383</v>
      </c>
      <c r="H59" s="242">
        <f>1-G59</f>
        <v>0.9002508868302962</v>
      </c>
      <c r="I59" s="157"/>
    </row>
    <row r="60" spans="1:9" ht="15.75">
      <c r="A60" s="164"/>
      <c r="B60" s="165">
        <f>DATE(19,8,1)</f>
        <v>7153</v>
      </c>
      <c r="C60" s="226">
        <v>110085881.99</v>
      </c>
      <c r="D60" s="226">
        <v>10606265.73</v>
      </c>
      <c r="E60" s="226">
        <v>11900739.72</v>
      </c>
      <c r="F60" s="166">
        <f>(+D60-E60)/E60</f>
        <v>-0.10877256544183962</v>
      </c>
      <c r="G60" s="241">
        <f>D60/C60</f>
        <v>0.09634537633956963</v>
      </c>
      <c r="H60" s="242">
        <f>1-G60</f>
        <v>0.9036546236604304</v>
      </c>
      <c r="I60" s="157"/>
    </row>
    <row r="61" spans="1:9" ht="15.75">
      <c r="A61" s="164"/>
      <c r="B61" s="165">
        <f>DATE(19,9,1)</f>
        <v>7184</v>
      </c>
      <c r="C61" s="226">
        <v>102382579.39</v>
      </c>
      <c r="D61" s="226">
        <v>10294221.54</v>
      </c>
      <c r="E61" s="226">
        <v>10737435.65</v>
      </c>
      <c r="F61" s="166">
        <f>(+D61-E61)/E61</f>
        <v>-0.04127746367448556</v>
      </c>
      <c r="G61" s="241">
        <f>D61/C61</f>
        <v>0.10054661253245847</v>
      </c>
      <c r="H61" s="242">
        <f>1-G61</f>
        <v>0.8994533874675416</v>
      </c>
      <c r="I61" s="157"/>
    </row>
    <row r="62" spans="1:9" ht="15.75">
      <c r="A62" s="164"/>
      <c r="B62" s="165">
        <f>DATE(19,10,1)</f>
        <v>7214</v>
      </c>
      <c r="C62" s="226">
        <v>100553757.09</v>
      </c>
      <c r="D62" s="226">
        <v>9880729.37</v>
      </c>
      <c r="E62" s="226">
        <v>10634805.06</v>
      </c>
      <c r="F62" s="166">
        <f>(+D62-E62)/E62</f>
        <v>-0.0709063951568099</v>
      </c>
      <c r="G62" s="241">
        <f>D62/C62</f>
        <v>0.09826315451501544</v>
      </c>
      <c r="H62" s="242">
        <f>1-G62</f>
        <v>0.9017368454849846</v>
      </c>
      <c r="I62" s="157"/>
    </row>
    <row r="63" spans="1:9" ht="15.75" thickBot="1">
      <c r="A63" s="167"/>
      <c r="B63" s="165"/>
      <c r="C63" s="226"/>
      <c r="D63" s="226"/>
      <c r="E63" s="226"/>
      <c r="F63" s="166"/>
      <c r="G63" s="241"/>
      <c r="H63" s="242"/>
      <c r="I63" s="157"/>
    </row>
    <row r="64" spans="1:9" ht="17.25" thickBot="1" thickTop="1">
      <c r="A64" s="174" t="s">
        <v>14</v>
      </c>
      <c r="B64" s="175"/>
      <c r="C64" s="228">
        <f>SUM(C59:C63)</f>
        <v>421893811.96000004</v>
      </c>
      <c r="D64" s="230">
        <f>SUM(D59:D63)</f>
        <v>41641061.54</v>
      </c>
      <c r="E64" s="271">
        <f>SUM(E59:E63)</f>
        <v>44641397.07</v>
      </c>
      <c r="F64" s="176">
        <f>(+D64-E64)/E64</f>
        <v>-0.0672097140081732</v>
      </c>
      <c r="G64" s="249">
        <f>D64/C64</f>
        <v>0.09870033728759219</v>
      </c>
      <c r="H64" s="270">
        <f>1-G64</f>
        <v>0.9012996627124078</v>
      </c>
      <c r="I64" s="157"/>
    </row>
    <row r="65" spans="1:9" ht="15.75" thickTop="1">
      <c r="A65" s="167"/>
      <c r="B65" s="179"/>
      <c r="C65" s="229"/>
      <c r="D65" s="229"/>
      <c r="E65" s="229"/>
      <c r="F65" s="180"/>
      <c r="G65" s="247"/>
      <c r="H65" s="248"/>
      <c r="I65" s="157"/>
    </row>
    <row r="66" spans="1:9" ht="15.75">
      <c r="A66" s="164" t="s">
        <v>18</v>
      </c>
      <c r="B66" s="165">
        <f>DATE(19,7,1)</f>
        <v>7122</v>
      </c>
      <c r="C66" s="226">
        <v>139620069.69</v>
      </c>
      <c r="D66" s="226">
        <v>13562944.53</v>
      </c>
      <c r="E66" s="226">
        <v>14899456.87</v>
      </c>
      <c r="F66" s="166">
        <f>(+D66-E66)/E66</f>
        <v>-0.08970208455658961</v>
      </c>
      <c r="G66" s="241">
        <f>D66/C66</f>
        <v>0.0971417974515695</v>
      </c>
      <c r="H66" s="242">
        <f>1-G66</f>
        <v>0.9028582025484305</v>
      </c>
      <c r="I66" s="157"/>
    </row>
    <row r="67" spans="1:9" ht="15.75">
      <c r="A67" s="164"/>
      <c r="B67" s="165">
        <f>DATE(19,8,1)</f>
        <v>7153</v>
      </c>
      <c r="C67" s="226">
        <v>145301923.24</v>
      </c>
      <c r="D67" s="226">
        <v>13870661.28</v>
      </c>
      <c r="E67" s="226">
        <v>14829432.53</v>
      </c>
      <c r="F67" s="166">
        <f>(+D67-E67)/E67</f>
        <v>-0.06465326627033112</v>
      </c>
      <c r="G67" s="241">
        <f>D67/C67</f>
        <v>0.0954609613603625</v>
      </c>
      <c r="H67" s="242">
        <f>1-G67</f>
        <v>0.9045390386396375</v>
      </c>
      <c r="I67" s="157"/>
    </row>
    <row r="68" spans="1:9" ht="15.75">
      <c r="A68" s="164"/>
      <c r="B68" s="165">
        <f>DATE(19,9,1)</f>
        <v>7184</v>
      </c>
      <c r="C68" s="226">
        <v>133117656.17</v>
      </c>
      <c r="D68" s="226">
        <v>12786448.43</v>
      </c>
      <c r="E68" s="226">
        <v>13962276.2</v>
      </c>
      <c r="F68" s="166">
        <f>(+D68-E68)/E68</f>
        <v>-0.08421461896019501</v>
      </c>
      <c r="G68" s="241">
        <f>D68/C68</f>
        <v>0.0960537377075725</v>
      </c>
      <c r="H68" s="242">
        <f>1-G68</f>
        <v>0.9039462622924275</v>
      </c>
      <c r="I68" s="157"/>
    </row>
    <row r="69" spans="1:9" ht="15.75">
      <c r="A69" s="164"/>
      <c r="B69" s="165">
        <f>DATE(19,10,1)</f>
        <v>7214</v>
      </c>
      <c r="C69" s="226">
        <v>141018208.87</v>
      </c>
      <c r="D69" s="226">
        <v>13251508.66</v>
      </c>
      <c r="E69" s="226">
        <v>13179828.55</v>
      </c>
      <c r="F69" s="166">
        <f>(+D69-E69)/E69</f>
        <v>0.005438622340804228</v>
      </c>
      <c r="G69" s="241">
        <f>D69/C69</f>
        <v>0.09397019552429661</v>
      </c>
      <c r="H69" s="242">
        <f>1-G69</f>
        <v>0.9060298044757034</v>
      </c>
      <c r="I69" s="157"/>
    </row>
    <row r="70" spans="1:9" ht="15.75" customHeight="1" thickBot="1">
      <c r="A70" s="164"/>
      <c r="B70" s="165"/>
      <c r="C70" s="226"/>
      <c r="D70" s="226"/>
      <c r="E70" s="226"/>
      <c r="F70" s="166"/>
      <c r="G70" s="241"/>
      <c r="H70" s="242"/>
      <c r="I70" s="157"/>
    </row>
    <row r="71" spans="1:9" ht="17.25" thickBot="1" thickTop="1">
      <c r="A71" s="174" t="s">
        <v>14</v>
      </c>
      <c r="B71" s="181"/>
      <c r="C71" s="228">
        <f>SUM(C66:C70)</f>
        <v>559057857.97</v>
      </c>
      <c r="D71" s="228">
        <f>SUM(D66:D70)</f>
        <v>53471562.89999999</v>
      </c>
      <c r="E71" s="228">
        <f>SUM(E66:E70)</f>
        <v>56870994.14999999</v>
      </c>
      <c r="F71" s="176">
        <f>(+D71-E71)/E71</f>
        <v>-0.059774429844391956</v>
      </c>
      <c r="G71" s="245">
        <f>D71/C71</f>
        <v>0.09564584798818687</v>
      </c>
      <c r="H71" s="246">
        <f>1-G71</f>
        <v>0.9043541520118131</v>
      </c>
      <c r="I71" s="157"/>
    </row>
    <row r="72" spans="1:9" ht="15.75" thickTop="1">
      <c r="A72" s="171"/>
      <c r="B72" s="172"/>
      <c r="C72" s="227"/>
      <c r="D72" s="227"/>
      <c r="E72" s="227"/>
      <c r="F72" s="173"/>
      <c r="G72" s="243"/>
      <c r="H72" s="244"/>
      <c r="I72" s="157"/>
    </row>
    <row r="73" spans="1:9" ht="15.75">
      <c r="A73" s="164" t="s">
        <v>58</v>
      </c>
      <c r="B73" s="165">
        <f>DATE(19,7,1)</f>
        <v>7122</v>
      </c>
      <c r="C73" s="226">
        <v>172895652.1</v>
      </c>
      <c r="D73" s="226">
        <v>16249508.9</v>
      </c>
      <c r="E73" s="226">
        <v>16699225.8</v>
      </c>
      <c r="F73" s="166">
        <f>(+D73-E73)/E73</f>
        <v>-0.026930404162808574</v>
      </c>
      <c r="G73" s="241">
        <f>D73/C73</f>
        <v>0.09398448545485431</v>
      </c>
      <c r="H73" s="242">
        <f>1-G73</f>
        <v>0.9060155145451457</v>
      </c>
      <c r="I73" s="157"/>
    </row>
    <row r="74" spans="1:9" ht="15.75">
      <c r="A74" s="164"/>
      <c r="B74" s="165">
        <f>DATE(19,8,1)</f>
        <v>7153</v>
      </c>
      <c r="C74" s="226">
        <v>180380059.75</v>
      </c>
      <c r="D74" s="226">
        <v>16871517.8</v>
      </c>
      <c r="E74" s="226">
        <v>16622760.62</v>
      </c>
      <c r="F74" s="166">
        <f>(+D74-E74)/E74</f>
        <v>0.014964853653773038</v>
      </c>
      <c r="G74" s="241">
        <f>D74/C74</f>
        <v>0.09353316449380986</v>
      </c>
      <c r="H74" s="242">
        <f>1-G74</f>
        <v>0.9064668355061901</v>
      </c>
      <c r="I74" s="157"/>
    </row>
    <row r="75" spans="1:9" ht="15.75">
      <c r="A75" s="164"/>
      <c r="B75" s="165">
        <f>DATE(19,9,1)</f>
        <v>7184</v>
      </c>
      <c r="C75" s="226">
        <v>169452200.2</v>
      </c>
      <c r="D75" s="226">
        <v>15944541.3</v>
      </c>
      <c r="E75" s="226">
        <v>16260476.05</v>
      </c>
      <c r="F75" s="166">
        <f>(+D75-E75)/E75</f>
        <v>-0.019429612578901096</v>
      </c>
      <c r="G75" s="241">
        <f>D75/C75</f>
        <v>0.09409462539395226</v>
      </c>
      <c r="H75" s="242">
        <f>1-G75</f>
        <v>0.9059053746060477</v>
      </c>
      <c r="I75" s="157"/>
    </row>
    <row r="76" spans="1:9" ht="15.75">
      <c r="A76" s="164"/>
      <c r="B76" s="165">
        <f>DATE(19,10,1)</f>
        <v>7214</v>
      </c>
      <c r="C76" s="226">
        <v>171753334.46</v>
      </c>
      <c r="D76" s="226">
        <v>16080736.01</v>
      </c>
      <c r="E76" s="226">
        <v>15649969.25</v>
      </c>
      <c r="F76" s="166">
        <f>(+D76-E76)/E76</f>
        <v>0.02752508667069744</v>
      </c>
      <c r="G76" s="241">
        <f>D76/C76</f>
        <v>0.09362692177452354</v>
      </c>
      <c r="H76" s="242">
        <f>1-G76</f>
        <v>0.9063730782254764</v>
      </c>
      <c r="I76" s="157"/>
    </row>
    <row r="77" spans="1:9" ht="15.75" thickBot="1">
      <c r="A77" s="167"/>
      <c r="B77" s="168"/>
      <c r="C77" s="226"/>
      <c r="D77" s="226"/>
      <c r="E77" s="226"/>
      <c r="F77" s="166"/>
      <c r="G77" s="241"/>
      <c r="H77" s="242"/>
      <c r="I77" s="157"/>
    </row>
    <row r="78" spans="1:9" ht="17.25" thickBot="1" thickTop="1">
      <c r="A78" s="174" t="s">
        <v>14</v>
      </c>
      <c r="B78" s="175"/>
      <c r="C78" s="228">
        <f>SUM(C73:C77)</f>
        <v>694481246.51</v>
      </c>
      <c r="D78" s="228">
        <f>SUM(D73:D77)</f>
        <v>65146304.01</v>
      </c>
      <c r="E78" s="228">
        <f>SUM(E73:E77)</f>
        <v>65232431.72</v>
      </c>
      <c r="F78" s="176">
        <f>(+D78-E78)/E78</f>
        <v>-0.0013203203947645338</v>
      </c>
      <c r="G78" s="249">
        <f>D78/C78</f>
        <v>0.09380570654338316</v>
      </c>
      <c r="H78" s="270">
        <f>1-G78</f>
        <v>0.9061942934566168</v>
      </c>
      <c r="I78" s="157"/>
    </row>
    <row r="79" spans="1:9" ht="15.75" thickTop="1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>
      <c r="A80" s="164" t="s">
        <v>59</v>
      </c>
      <c r="B80" s="165">
        <f>DATE(19,7,1)</f>
        <v>7122</v>
      </c>
      <c r="C80" s="226">
        <v>23534671.4</v>
      </c>
      <c r="D80" s="226">
        <v>2612988.94</v>
      </c>
      <c r="E80" s="226">
        <v>2665233.29</v>
      </c>
      <c r="F80" s="166">
        <f>(+D80-E80)/E80</f>
        <v>-0.01960216773369212</v>
      </c>
      <c r="G80" s="241">
        <f>D80/C80</f>
        <v>0.11102721153778251</v>
      </c>
      <c r="H80" s="242">
        <f>1-G80</f>
        <v>0.8889727884622175</v>
      </c>
      <c r="I80" s="157"/>
    </row>
    <row r="81" spans="1:9" ht="15.75">
      <c r="A81" s="164"/>
      <c r="B81" s="165">
        <f>DATE(19,8,1)</f>
        <v>7153</v>
      </c>
      <c r="C81" s="226">
        <v>25945368.86</v>
      </c>
      <c r="D81" s="226">
        <v>2826240.12</v>
      </c>
      <c r="E81" s="226">
        <v>2551392.61</v>
      </c>
      <c r="F81" s="166">
        <f>(+D81-E81)/E81</f>
        <v>0.10772450657838985</v>
      </c>
      <c r="G81" s="241">
        <f>D81/C81</f>
        <v>0.10893042743968143</v>
      </c>
      <c r="H81" s="242">
        <f>1-G81</f>
        <v>0.8910695725603186</v>
      </c>
      <c r="I81" s="157"/>
    </row>
    <row r="82" spans="1:9" ht="15.75">
      <c r="A82" s="164"/>
      <c r="B82" s="165">
        <f>DATE(19,9,1)</f>
        <v>7184</v>
      </c>
      <c r="C82" s="226">
        <v>23331556.44</v>
      </c>
      <c r="D82" s="226">
        <v>2549839.52</v>
      </c>
      <c r="E82" s="226">
        <v>2483855.77</v>
      </c>
      <c r="F82" s="166">
        <f>(+D82-E82)/E82</f>
        <v>0.026565048903785585</v>
      </c>
      <c r="G82" s="241">
        <f>D82/C82</f>
        <v>0.10928715906961584</v>
      </c>
      <c r="H82" s="242">
        <f>1-G82</f>
        <v>0.8907128409303842</v>
      </c>
      <c r="I82" s="157"/>
    </row>
    <row r="83" spans="1:9" ht="15.75">
      <c r="A83" s="164"/>
      <c r="B83" s="165">
        <f>DATE(19,10,1)</f>
        <v>7214</v>
      </c>
      <c r="C83" s="226">
        <v>23351338.11</v>
      </c>
      <c r="D83" s="226">
        <v>2654170.68</v>
      </c>
      <c r="E83" s="226">
        <v>2351894.38</v>
      </c>
      <c r="F83" s="166">
        <f>(+D83-E83)/E83</f>
        <v>0.12852460661945214</v>
      </c>
      <c r="G83" s="241">
        <f>D83/C83</f>
        <v>0.1136624662576992</v>
      </c>
      <c r="H83" s="242">
        <f>1-G83</f>
        <v>0.8863375337423008</v>
      </c>
      <c r="I83" s="157"/>
    </row>
    <row r="84" spans="1:9" ht="15.75" thickBot="1">
      <c r="A84" s="167"/>
      <c r="B84" s="168"/>
      <c r="C84" s="226"/>
      <c r="D84" s="226"/>
      <c r="E84" s="226"/>
      <c r="F84" s="166"/>
      <c r="G84" s="241"/>
      <c r="H84" s="242"/>
      <c r="I84" s="157"/>
    </row>
    <row r="85" spans="1:9" ht="17.25" thickBot="1" thickTop="1">
      <c r="A85" s="182" t="s">
        <v>14</v>
      </c>
      <c r="B85" s="183"/>
      <c r="C85" s="230">
        <f>SUM(C80:C84)</f>
        <v>96162934.81</v>
      </c>
      <c r="D85" s="230">
        <f>SUM(D80:D84)</f>
        <v>10643239.26</v>
      </c>
      <c r="E85" s="230">
        <f>SUM(E80:E84)</f>
        <v>10052376.05</v>
      </c>
      <c r="F85" s="176">
        <f>(+D85-E85)/E85</f>
        <v>0.058778462630235465</v>
      </c>
      <c r="G85" s="249">
        <f>D85/C85</f>
        <v>0.11067922667947949</v>
      </c>
      <c r="H85" s="246">
        <f>1-G85</f>
        <v>0.8893207733205205</v>
      </c>
      <c r="I85" s="157"/>
    </row>
    <row r="86" spans="1:9" ht="15.75" thickTop="1">
      <c r="A86" s="167"/>
      <c r="B86" s="168"/>
      <c r="C86" s="226"/>
      <c r="D86" s="226"/>
      <c r="E86" s="226"/>
      <c r="F86" s="166"/>
      <c r="G86" s="241"/>
      <c r="H86" s="242"/>
      <c r="I86" s="157"/>
    </row>
    <row r="87" spans="1:9" ht="15.75">
      <c r="A87" s="164" t="s">
        <v>40</v>
      </c>
      <c r="B87" s="165">
        <f>DATE(19,7,1)</f>
        <v>7122</v>
      </c>
      <c r="C87" s="226">
        <v>209413515.11</v>
      </c>
      <c r="D87" s="226">
        <v>19119192.24</v>
      </c>
      <c r="E87" s="226">
        <v>19406302.42</v>
      </c>
      <c r="F87" s="166">
        <f>(+D87-E87)/E87</f>
        <v>-0.014794687508533808</v>
      </c>
      <c r="G87" s="241">
        <f>D87/C87</f>
        <v>0.09129875036936912</v>
      </c>
      <c r="H87" s="242">
        <f>1-G87</f>
        <v>0.9087012496306309</v>
      </c>
      <c r="I87" s="157"/>
    </row>
    <row r="88" spans="1:9" ht="15.75">
      <c r="A88" s="164"/>
      <c r="B88" s="165">
        <f>DATE(19,8,1)</f>
        <v>7153</v>
      </c>
      <c r="C88" s="226">
        <v>212666539.37</v>
      </c>
      <c r="D88" s="226">
        <v>19394509.94</v>
      </c>
      <c r="E88" s="226">
        <v>19632454.71</v>
      </c>
      <c r="F88" s="166">
        <f>(+D88-E88)/E88</f>
        <v>-0.01211997040180614</v>
      </c>
      <c r="G88" s="241">
        <f>D88/C88</f>
        <v>0.09119680979177068</v>
      </c>
      <c r="H88" s="242">
        <f>1-G88</f>
        <v>0.9088031902082293</v>
      </c>
      <c r="I88" s="157"/>
    </row>
    <row r="89" spans="1:9" ht="15.75">
      <c r="A89" s="164"/>
      <c r="B89" s="165">
        <f>DATE(19,9,1)</f>
        <v>7184</v>
      </c>
      <c r="C89" s="226">
        <v>194172445.72</v>
      </c>
      <c r="D89" s="226">
        <v>17543226.64</v>
      </c>
      <c r="E89" s="226">
        <v>18357005.34</v>
      </c>
      <c r="F89" s="166">
        <f>(+D89-E89)/E89</f>
        <v>-0.044330689288779125</v>
      </c>
      <c r="G89" s="241">
        <f>D89/C89</f>
        <v>0.09034869275580756</v>
      </c>
      <c r="H89" s="242">
        <f>1-G89</f>
        <v>0.9096513072441924</v>
      </c>
      <c r="I89" s="157"/>
    </row>
    <row r="90" spans="1:9" ht="15.75">
      <c r="A90" s="164"/>
      <c r="B90" s="165">
        <f>DATE(19,10,1)</f>
        <v>7214</v>
      </c>
      <c r="C90" s="226">
        <v>194408213.02</v>
      </c>
      <c r="D90" s="226">
        <v>18312994.41</v>
      </c>
      <c r="E90" s="226">
        <v>17743741.07</v>
      </c>
      <c r="F90" s="166">
        <f>(+D90-E90)/E90</f>
        <v>0.032081923296460715</v>
      </c>
      <c r="G90" s="241">
        <f>D90/C90</f>
        <v>0.09419866643245173</v>
      </c>
      <c r="H90" s="242">
        <f>1-G90</f>
        <v>0.9058013335675483</v>
      </c>
      <c r="I90" s="157"/>
    </row>
    <row r="91" spans="1:9" ht="15.75" thickBot="1">
      <c r="A91" s="167"/>
      <c r="B91" s="168"/>
      <c r="C91" s="226"/>
      <c r="D91" s="226"/>
      <c r="E91" s="226"/>
      <c r="F91" s="166"/>
      <c r="G91" s="241"/>
      <c r="H91" s="242"/>
      <c r="I91" s="157"/>
    </row>
    <row r="92" spans="1:9" ht="17.25" thickBot="1" thickTop="1">
      <c r="A92" s="174" t="s">
        <v>14</v>
      </c>
      <c r="B92" s="175"/>
      <c r="C92" s="228">
        <f>SUM(C87:C91)</f>
        <v>810660713.22</v>
      </c>
      <c r="D92" s="228">
        <f>SUM(D87:D91)</f>
        <v>74369923.23</v>
      </c>
      <c r="E92" s="228">
        <f>SUM(E87:E91)</f>
        <v>75139503.53999999</v>
      </c>
      <c r="F92" s="176">
        <f>(+D92-E92)/E92</f>
        <v>-0.010242020159080593</v>
      </c>
      <c r="G92" s="245">
        <f>D92/C92</f>
        <v>0.09173988823832052</v>
      </c>
      <c r="H92" s="246">
        <f>1-G92</f>
        <v>0.9082601117616795</v>
      </c>
      <c r="I92" s="157"/>
    </row>
    <row r="93" spans="1:9" ht="15.75" thickTop="1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>
      <c r="A94" s="164" t="s">
        <v>64</v>
      </c>
      <c r="B94" s="165">
        <f>DATE(19,7,1)</f>
        <v>7122</v>
      </c>
      <c r="C94" s="226">
        <v>30055377.4</v>
      </c>
      <c r="D94" s="226">
        <v>3293709.88</v>
      </c>
      <c r="E94" s="226">
        <v>3425449</v>
      </c>
      <c r="F94" s="166">
        <f>(+D94-E94)/E94</f>
        <v>-0.038458934872479526</v>
      </c>
      <c r="G94" s="241">
        <f>D94/C94</f>
        <v>0.10958803931039642</v>
      </c>
      <c r="H94" s="242">
        <f>1-G94</f>
        <v>0.8904119606896036</v>
      </c>
      <c r="I94" s="157"/>
    </row>
    <row r="95" spans="1:9" ht="15.75">
      <c r="A95" s="164"/>
      <c r="B95" s="165">
        <f>DATE(19,8,1)</f>
        <v>7153</v>
      </c>
      <c r="C95" s="226">
        <v>32273780.59</v>
      </c>
      <c r="D95" s="226">
        <v>3283356.99</v>
      </c>
      <c r="E95" s="226">
        <v>3421840.59</v>
      </c>
      <c r="F95" s="166">
        <f>(+D95-E95)/E95</f>
        <v>-0.04047050011759888</v>
      </c>
      <c r="G95" s="241">
        <f>D95/C95</f>
        <v>0.1017345018146819</v>
      </c>
      <c r="H95" s="242">
        <f>1-G95</f>
        <v>0.8982654981853181</v>
      </c>
      <c r="I95" s="157"/>
    </row>
    <row r="96" spans="1:9" ht="15.75">
      <c r="A96" s="164"/>
      <c r="B96" s="165">
        <f>DATE(19,9,1)</f>
        <v>7184</v>
      </c>
      <c r="C96" s="226">
        <v>27948254.77</v>
      </c>
      <c r="D96" s="226">
        <v>3164787.25</v>
      </c>
      <c r="E96" s="226">
        <v>3252949</v>
      </c>
      <c r="F96" s="166">
        <f>(+D96-E96)/E96</f>
        <v>-0.027102100278854666</v>
      </c>
      <c r="G96" s="241">
        <f>D96/C96</f>
        <v>0.11323738373091981</v>
      </c>
      <c r="H96" s="242">
        <f>1-G96</f>
        <v>0.8867626162690802</v>
      </c>
      <c r="I96" s="157"/>
    </row>
    <row r="97" spans="1:9" ht="15.75">
      <c r="A97" s="164"/>
      <c r="B97" s="165">
        <f>DATE(19,10,1)</f>
        <v>7214</v>
      </c>
      <c r="C97" s="226">
        <v>28019367.18</v>
      </c>
      <c r="D97" s="226">
        <v>3114034.79</v>
      </c>
      <c r="E97" s="226">
        <v>3250399.43</v>
      </c>
      <c r="F97" s="166">
        <f>(+D97-E97)/E97</f>
        <v>-0.041953194657064076</v>
      </c>
      <c r="G97" s="241">
        <f>D97/C97</f>
        <v>0.11113865527351285</v>
      </c>
      <c r="H97" s="242">
        <f>1-G97</f>
        <v>0.8888613447264871</v>
      </c>
      <c r="I97" s="157"/>
    </row>
    <row r="98" spans="1:9" ht="15.75" thickBot="1">
      <c r="A98" s="167"/>
      <c r="B98" s="168"/>
      <c r="C98" s="226"/>
      <c r="D98" s="226"/>
      <c r="E98" s="226"/>
      <c r="F98" s="166"/>
      <c r="G98" s="241"/>
      <c r="H98" s="242"/>
      <c r="I98" s="157"/>
    </row>
    <row r="99" spans="1:9" ht="17.25" thickBot="1" thickTop="1">
      <c r="A99" s="169" t="s">
        <v>14</v>
      </c>
      <c r="B99" s="155"/>
      <c r="C99" s="223">
        <f>SUM(C94:C98)</f>
        <v>118296779.94</v>
      </c>
      <c r="D99" s="223">
        <f>SUM(D94:D98)</f>
        <v>12855888.91</v>
      </c>
      <c r="E99" s="223">
        <f>SUM(E94:E98)</f>
        <v>13350638.02</v>
      </c>
      <c r="F99" s="176">
        <f>(+D99-E99)/E99</f>
        <v>-0.03705808735573818</v>
      </c>
      <c r="G99" s="245">
        <f>D99/C99</f>
        <v>0.10867488461241712</v>
      </c>
      <c r="H99" s="246">
        <f>1-G99</f>
        <v>0.8913251153875829</v>
      </c>
      <c r="I99" s="157"/>
    </row>
    <row r="100" spans="1:9" ht="16.5" thickBot="1" thickTop="1">
      <c r="A100" s="171"/>
      <c r="B100" s="172"/>
      <c r="C100" s="227"/>
      <c r="D100" s="227"/>
      <c r="E100" s="227"/>
      <c r="F100" s="173"/>
      <c r="G100" s="243"/>
      <c r="H100" s="244"/>
      <c r="I100" s="157"/>
    </row>
    <row r="101" spans="1:9" ht="17.25" thickBot="1" thickTop="1">
      <c r="A101" s="184" t="s">
        <v>41</v>
      </c>
      <c r="B101" s="155"/>
      <c r="C101" s="223">
        <f>C99+C92+C71+C57+C43+C29+C15+C36+C85+C22+C64+C78+C50</f>
        <v>5067789804.7699995</v>
      </c>
      <c r="D101" s="223">
        <f>D99+D92+D71+D57+D43+D29+D15+D36+D85+D22+D64+D78+D50</f>
        <v>491897177.28999996</v>
      </c>
      <c r="E101" s="223">
        <f>E99+E92+E71+E57+E43+E29+E15+E36+E85+E22+E64+E78+E50</f>
        <v>499333883.18999994</v>
      </c>
      <c r="F101" s="170">
        <f>(+D101-E101)/E101</f>
        <v>-0.014893253092480926</v>
      </c>
      <c r="G101" s="236">
        <f>D101/C101</f>
        <v>0.09706345295280545</v>
      </c>
      <c r="H101" s="237">
        <f>1-G101</f>
        <v>0.9029365470471945</v>
      </c>
      <c r="I101" s="157"/>
    </row>
    <row r="102" spans="1:9" ht="17.25" thickBot="1" thickTop="1">
      <c r="A102" s="184"/>
      <c r="B102" s="155"/>
      <c r="C102" s="223"/>
      <c r="D102" s="223"/>
      <c r="E102" s="223"/>
      <c r="F102" s="170"/>
      <c r="G102" s="236"/>
      <c r="H102" s="237"/>
      <c r="I102" s="157"/>
    </row>
    <row r="103" spans="1:9" ht="17.25" thickBot="1" thickTop="1">
      <c r="A103" s="184" t="s">
        <v>42</v>
      </c>
      <c r="B103" s="155"/>
      <c r="C103" s="223">
        <f>SUM(C13+C20+C27+C34+C41+C48+C55+C62+C69+C76+C83+C90+C97)</f>
        <v>1237706155.5200002</v>
      </c>
      <c r="D103" s="223">
        <f>SUM(D13+D20+D27+D34+D41+D48+D55+D62+D69+D76+D83+D90+D97)</f>
        <v>119895080.30000001</v>
      </c>
      <c r="E103" s="223">
        <f>SUM(E13+E20+E27+E34+E41+E48+E55+E62+E69+E76+E83+E90+E97)</f>
        <v>118693453.74000001</v>
      </c>
      <c r="F103" s="170">
        <f>(+D103-E103)/E103</f>
        <v>0.010123781237608818</v>
      </c>
      <c r="G103" s="236">
        <f>D103/C103</f>
        <v>0.09686877597342822</v>
      </c>
      <c r="H103" s="246">
        <f>1-G103</f>
        <v>0.9031312240265718</v>
      </c>
      <c r="I103" s="157"/>
    </row>
    <row r="104" spans="1:9" ht="16.5" thickTop="1">
      <c r="A104" s="185"/>
      <c r="B104" s="186"/>
      <c r="C104" s="231"/>
      <c r="D104" s="231"/>
      <c r="E104" s="231"/>
      <c r="F104" s="187"/>
      <c r="G104" s="250"/>
      <c r="H104" s="250"/>
      <c r="I104" s="151"/>
    </row>
    <row r="105" spans="1:9" ht="16.5" customHeight="1">
      <c r="A105" s="188" t="s">
        <v>52</v>
      </c>
      <c r="B105" s="189"/>
      <c r="C105" s="232"/>
      <c r="D105" s="232"/>
      <c r="E105" s="232"/>
      <c r="F105" s="190"/>
      <c r="G105" s="251"/>
      <c r="H105" s="251"/>
      <c r="I105" s="151"/>
    </row>
    <row r="106" spans="1:9" ht="15.75">
      <c r="A106" s="191"/>
      <c r="B106" s="189"/>
      <c r="C106" s="232"/>
      <c r="D106" s="232"/>
      <c r="E106" s="232"/>
      <c r="F106" s="190"/>
      <c r="G106" s="257"/>
      <c r="H106" s="257"/>
      <c r="I106" s="151"/>
    </row>
    <row r="107" spans="1:9" ht="15.75">
      <c r="A107" s="72"/>
      <c r="I107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2" manualBreakCount="2">
    <brk id="50" max="8" man="1"/>
    <brk id="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Jennifer Bruns</cp:lastModifiedBy>
  <cp:lastPrinted>2019-11-07T15:12:26Z</cp:lastPrinted>
  <dcterms:created xsi:type="dcterms:W3CDTF">2003-09-09T14:41:43Z</dcterms:created>
  <dcterms:modified xsi:type="dcterms:W3CDTF">2019-11-07T15:35:17Z</dcterms:modified>
  <cp:category/>
  <cp:version/>
  <cp:contentType/>
  <cp:contentStatus/>
</cp:coreProperties>
</file>