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STATS'!$A$1:$M$117</definedName>
    <definedName name="_xlnm.Print_Area" localSheetId="3">'SLOT STATS'!$A$1:$I$118</definedName>
    <definedName name="_xlnm.Print_Area" localSheetId="2">'TABLE STATS'!$A$1:$H$117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Id="162913" calcMode="autoNoTable" fullCalcOnLoad="1" iterate="1" iterateCount="1" iterateDelta="0"/>
</workbook>
</file>

<file path=xl/calcChain.xml><?xml version="1.0" encoding="utf-8"?>
<calcChain xmlns="http://schemas.openxmlformats.org/spreadsheetml/2006/main">
  <c r="E115" i="3" l="1"/>
  <c r="D115" i="3"/>
  <c r="C115" i="3"/>
  <c r="E116" i="4"/>
  <c r="D116" i="4"/>
  <c r="C116" i="4"/>
  <c r="F110" i="4"/>
  <c r="G110" i="4"/>
  <c r="H110" i="4" s="1"/>
  <c r="F102" i="4"/>
  <c r="G102" i="4"/>
  <c r="H102" i="4" s="1"/>
  <c r="F94" i="4"/>
  <c r="G94" i="4"/>
  <c r="H94" i="4"/>
  <c r="F86" i="4"/>
  <c r="G86" i="4"/>
  <c r="H86" i="4" s="1"/>
  <c r="F78" i="4"/>
  <c r="G78" i="4"/>
  <c r="H78" i="4" s="1"/>
  <c r="F70" i="4"/>
  <c r="G70" i="4"/>
  <c r="H70" i="4"/>
  <c r="F62" i="4"/>
  <c r="G62" i="4"/>
  <c r="H62" i="4" s="1"/>
  <c r="F54" i="4"/>
  <c r="G54" i="4"/>
  <c r="H54" i="4"/>
  <c r="F46" i="4"/>
  <c r="G46" i="4"/>
  <c r="H46" i="4" s="1"/>
  <c r="F38" i="4"/>
  <c r="G38" i="4"/>
  <c r="H38" i="4" s="1"/>
  <c r="F30" i="4"/>
  <c r="G30" i="4"/>
  <c r="H30" i="4"/>
  <c r="F22" i="4"/>
  <c r="G22" i="4"/>
  <c r="H22" i="4" s="1"/>
  <c r="F14" i="4"/>
  <c r="G14" i="4"/>
  <c r="H14" i="4" s="1"/>
  <c r="B110" i="4"/>
  <c r="B102" i="4"/>
  <c r="B94" i="4"/>
  <c r="B86" i="4"/>
  <c r="B78" i="4"/>
  <c r="B70" i="4"/>
  <c r="B62" i="4"/>
  <c r="B54" i="4"/>
  <c r="B46" i="4"/>
  <c r="B38" i="4"/>
  <c r="B30" i="4"/>
  <c r="B22" i="4"/>
  <c r="B14" i="4"/>
  <c r="F109" i="3"/>
  <c r="G109" i="3"/>
  <c r="F101" i="3"/>
  <c r="G101" i="3"/>
  <c r="F93" i="3"/>
  <c r="G93" i="3"/>
  <c r="F85" i="3"/>
  <c r="G85" i="3"/>
  <c r="F77" i="3"/>
  <c r="G77" i="3"/>
  <c r="F69" i="3"/>
  <c r="G69" i="3"/>
  <c r="F61" i="3"/>
  <c r="G61" i="3"/>
  <c r="F53" i="3"/>
  <c r="G53" i="3"/>
  <c r="F45" i="3"/>
  <c r="G45" i="3"/>
  <c r="F37" i="3"/>
  <c r="G37" i="3"/>
  <c r="F29" i="3"/>
  <c r="G29" i="3"/>
  <c r="F21" i="3"/>
  <c r="G21" i="3"/>
  <c r="F13" i="3"/>
  <c r="G13" i="3"/>
  <c r="B109" i="3"/>
  <c r="B101" i="3"/>
  <c r="B93" i="3"/>
  <c r="B85" i="3"/>
  <c r="B77" i="3"/>
  <c r="B69" i="3"/>
  <c r="B61" i="3"/>
  <c r="B53" i="3"/>
  <c r="B45" i="3"/>
  <c r="B37" i="3"/>
  <c r="B29" i="3"/>
  <c r="B21" i="3"/>
  <c r="B13" i="3"/>
  <c r="N35" i="2"/>
  <c r="M35" i="2"/>
  <c r="L35" i="2"/>
  <c r="K35" i="2"/>
  <c r="J35" i="2"/>
  <c r="I35" i="2"/>
  <c r="H35" i="2"/>
  <c r="H44" i="2" s="1"/>
  <c r="G35" i="2"/>
  <c r="F35" i="2"/>
  <c r="E35" i="2"/>
  <c r="D35" i="2"/>
  <c r="C35" i="2"/>
  <c r="B35" i="2"/>
  <c r="N14" i="2"/>
  <c r="M14" i="2"/>
  <c r="M23" i="2" s="1"/>
  <c r="L14" i="2"/>
  <c r="K14" i="2"/>
  <c r="J14" i="2"/>
  <c r="I14" i="2"/>
  <c r="H14" i="2"/>
  <c r="G14" i="2"/>
  <c r="F14" i="2"/>
  <c r="E14" i="2"/>
  <c r="O14" i="2" s="1"/>
  <c r="D14" i="2"/>
  <c r="C14" i="2"/>
  <c r="B14" i="2"/>
  <c r="A35" i="2"/>
  <c r="A14" i="2"/>
  <c r="F28" i="1"/>
  <c r="J28" i="1"/>
  <c r="L115" i="1"/>
  <c r="M115" i="1" s="1"/>
  <c r="K115" i="1"/>
  <c r="D115" i="1"/>
  <c r="C115" i="1"/>
  <c r="E115" i="1"/>
  <c r="M109" i="1"/>
  <c r="I109" i="1"/>
  <c r="G109" i="1"/>
  <c r="F109" i="1"/>
  <c r="H109" i="1" s="1"/>
  <c r="E109" i="1"/>
  <c r="H101" i="1"/>
  <c r="M101" i="1"/>
  <c r="I101" i="1"/>
  <c r="J101" i="1"/>
  <c r="G101" i="1"/>
  <c r="F101" i="1"/>
  <c r="E101" i="1"/>
  <c r="H93" i="1"/>
  <c r="M93" i="1"/>
  <c r="I93" i="1"/>
  <c r="J93" i="1"/>
  <c r="G93" i="1"/>
  <c r="F93" i="1"/>
  <c r="E93" i="1"/>
  <c r="H85" i="1"/>
  <c r="M85" i="1"/>
  <c r="I85" i="1"/>
  <c r="J85" i="1"/>
  <c r="G85" i="1"/>
  <c r="F85" i="1"/>
  <c r="E85" i="1"/>
  <c r="H77" i="1"/>
  <c r="M77" i="1"/>
  <c r="I77" i="1"/>
  <c r="J77" i="1"/>
  <c r="G77" i="1"/>
  <c r="F77" i="1"/>
  <c r="E77" i="1"/>
  <c r="H69" i="1"/>
  <c r="M69" i="1"/>
  <c r="I69" i="1"/>
  <c r="J69" i="1"/>
  <c r="G69" i="1"/>
  <c r="F69" i="1"/>
  <c r="E69" i="1"/>
  <c r="H61" i="1"/>
  <c r="M61" i="1"/>
  <c r="I61" i="1"/>
  <c r="J61" i="1"/>
  <c r="G61" i="1"/>
  <c r="F61" i="1"/>
  <c r="E61" i="1"/>
  <c r="H53" i="1"/>
  <c r="M53" i="1"/>
  <c r="I53" i="1"/>
  <c r="J53" i="1"/>
  <c r="G53" i="1"/>
  <c r="F53" i="1"/>
  <c r="E53" i="1"/>
  <c r="M45" i="1"/>
  <c r="I45" i="1"/>
  <c r="J45" i="1"/>
  <c r="G45" i="1"/>
  <c r="F45" i="1"/>
  <c r="H45" i="1" s="1"/>
  <c r="E45" i="1"/>
  <c r="M37" i="1"/>
  <c r="I37" i="1"/>
  <c r="G37" i="1"/>
  <c r="F37" i="1"/>
  <c r="H37" i="1" s="1"/>
  <c r="E37" i="1"/>
  <c r="M29" i="1"/>
  <c r="I29" i="1"/>
  <c r="G29" i="1"/>
  <c r="F29" i="1"/>
  <c r="H29" i="1" s="1"/>
  <c r="E29" i="1"/>
  <c r="M21" i="1"/>
  <c r="I21" i="1"/>
  <c r="G21" i="1"/>
  <c r="F21" i="1"/>
  <c r="H21" i="1" s="1"/>
  <c r="E21" i="1"/>
  <c r="H13" i="1"/>
  <c r="M13" i="1"/>
  <c r="I13" i="1"/>
  <c r="G13" i="1"/>
  <c r="G115" i="1" s="1"/>
  <c r="F13" i="1"/>
  <c r="J13" i="1" s="1"/>
  <c r="E13" i="1"/>
  <c r="B109" i="1"/>
  <c r="B101" i="1"/>
  <c r="B93" i="1"/>
  <c r="B85" i="1"/>
  <c r="B77" i="1"/>
  <c r="B69" i="1"/>
  <c r="B61" i="1"/>
  <c r="B53" i="1"/>
  <c r="B45" i="1"/>
  <c r="B37" i="1"/>
  <c r="B29" i="1"/>
  <c r="B21" i="1"/>
  <c r="B13" i="1"/>
  <c r="F109" i="4"/>
  <c r="G109" i="4"/>
  <c r="H109" i="4" s="1"/>
  <c r="F101" i="4"/>
  <c r="G101" i="4"/>
  <c r="H101" i="4" s="1"/>
  <c r="F93" i="4"/>
  <c r="G93" i="4"/>
  <c r="H93" i="4" s="1"/>
  <c r="F85" i="4"/>
  <c r="G85" i="4"/>
  <c r="H85" i="4"/>
  <c r="F77" i="4"/>
  <c r="G77" i="4"/>
  <c r="H77" i="4"/>
  <c r="F69" i="4"/>
  <c r="G69" i="4"/>
  <c r="H69" i="4"/>
  <c r="F61" i="4"/>
  <c r="G61" i="4"/>
  <c r="H61" i="4"/>
  <c r="F53" i="4"/>
  <c r="G53" i="4"/>
  <c r="H53" i="4"/>
  <c r="F45" i="4"/>
  <c r="G45" i="4"/>
  <c r="H45" i="4" s="1"/>
  <c r="F37" i="4"/>
  <c r="G37" i="4"/>
  <c r="H37" i="4" s="1"/>
  <c r="F29" i="4"/>
  <c r="G29" i="4"/>
  <c r="H29" i="4" s="1"/>
  <c r="F21" i="4"/>
  <c r="G21" i="4"/>
  <c r="H21" i="4"/>
  <c r="H13" i="4"/>
  <c r="G13" i="4"/>
  <c r="F13" i="4"/>
  <c r="B109" i="4"/>
  <c r="B101" i="4"/>
  <c r="B93" i="4"/>
  <c r="B85" i="4"/>
  <c r="B77" i="4"/>
  <c r="B69" i="4"/>
  <c r="B61" i="4"/>
  <c r="B53" i="4"/>
  <c r="B45" i="4"/>
  <c r="B37" i="4"/>
  <c r="B29" i="4"/>
  <c r="B21" i="4"/>
  <c r="B13" i="4"/>
  <c r="F108" i="3"/>
  <c r="G108" i="3"/>
  <c r="F100" i="3"/>
  <c r="G100" i="3"/>
  <c r="F92" i="3"/>
  <c r="G92" i="3"/>
  <c r="F84" i="3"/>
  <c r="G84" i="3"/>
  <c r="F76" i="3"/>
  <c r="G76" i="3"/>
  <c r="F68" i="3"/>
  <c r="G68" i="3"/>
  <c r="F60" i="3"/>
  <c r="G60" i="3"/>
  <c r="F52" i="3"/>
  <c r="G52" i="3"/>
  <c r="F44" i="3"/>
  <c r="G44" i="3"/>
  <c r="F36" i="3"/>
  <c r="G36" i="3"/>
  <c r="F28" i="3"/>
  <c r="G28" i="3"/>
  <c r="G12" i="3"/>
  <c r="F12" i="3"/>
  <c r="F20" i="3"/>
  <c r="G20" i="3"/>
  <c r="B108" i="3"/>
  <c r="B100" i="3"/>
  <c r="B92" i="3"/>
  <c r="B84" i="3"/>
  <c r="B76" i="3"/>
  <c r="B68" i="3"/>
  <c r="B60" i="3"/>
  <c r="B52" i="3"/>
  <c r="B44" i="3"/>
  <c r="B36" i="3"/>
  <c r="B28" i="3"/>
  <c r="B20" i="3"/>
  <c r="B12" i="3"/>
  <c r="N34" i="2"/>
  <c r="M34" i="2"/>
  <c r="L34" i="2"/>
  <c r="K34" i="2"/>
  <c r="J34" i="2"/>
  <c r="I34" i="2"/>
  <c r="H34" i="2"/>
  <c r="G34" i="2"/>
  <c r="F34" i="2"/>
  <c r="E34" i="2"/>
  <c r="O34" i="2" s="1"/>
  <c r="D34" i="2"/>
  <c r="C34" i="2"/>
  <c r="B34" i="2"/>
  <c r="B33" i="2"/>
  <c r="N13" i="2"/>
  <c r="M13" i="2"/>
  <c r="L13" i="2"/>
  <c r="K13" i="2"/>
  <c r="J13" i="2"/>
  <c r="I13" i="2"/>
  <c r="H13" i="2"/>
  <c r="G13" i="2"/>
  <c r="F13" i="2"/>
  <c r="E13" i="2"/>
  <c r="D13" i="2"/>
  <c r="C13" i="2"/>
  <c r="C23" i="2" s="1"/>
  <c r="B13" i="2"/>
  <c r="A34" i="2"/>
  <c r="A13" i="2"/>
  <c r="F27" i="1"/>
  <c r="F66" i="1"/>
  <c r="H108" i="1"/>
  <c r="M108" i="1"/>
  <c r="I108" i="1"/>
  <c r="J108" i="1"/>
  <c r="G108" i="1"/>
  <c r="F108" i="1"/>
  <c r="E108" i="1"/>
  <c r="H100" i="1"/>
  <c r="M100" i="1"/>
  <c r="I100" i="1"/>
  <c r="J100" i="1"/>
  <c r="G100" i="1"/>
  <c r="F100" i="1"/>
  <c r="E100" i="1"/>
  <c r="H92" i="1"/>
  <c r="M92" i="1"/>
  <c r="I92" i="1"/>
  <c r="G92" i="1"/>
  <c r="F92" i="1"/>
  <c r="J92" i="1" s="1"/>
  <c r="E92" i="1"/>
  <c r="H84" i="1"/>
  <c r="M84" i="1"/>
  <c r="I84" i="1"/>
  <c r="G84" i="1"/>
  <c r="F84" i="1"/>
  <c r="J84" i="1" s="1"/>
  <c r="E84" i="1"/>
  <c r="M76" i="1"/>
  <c r="I76" i="1"/>
  <c r="G76" i="1"/>
  <c r="F76" i="1"/>
  <c r="J76" i="1" s="1"/>
  <c r="E76" i="1"/>
  <c r="H68" i="1"/>
  <c r="M68" i="1"/>
  <c r="I68" i="1"/>
  <c r="G68" i="1"/>
  <c r="F68" i="1"/>
  <c r="J68" i="1" s="1"/>
  <c r="E68" i="1"/>
  <c r="H60" i="1"/>
  <c r="M60" i="1"/>
  <c r="I60" i="1"/>
  <c r="G60" i="1"/>
  <c r="F60" i="1"/>
  <c r="J60" i="1" s="1"/>
  <c r="E60" i="1"/>
  <c r="M52" i="1"/>
  <c r="I52" i="1"/>
  <c r="G52" i="1"/>
  <c r="F52" i="1"/>
  <c r="J52" i="1" s="1"/>
  <c r="E52" i="1"/>
  <c r="M44" i="1"/>
  <c r="I44" i="1"/>
  <c r="G44" i="1"/>
  <c r="F44" i="1"/>
  <c r="J44" i="1" s="1"/>
  <c r="E44" i="1"/>
  <c r="H36" i="1"/>
  <c r="M36" i="1"/>
  <c r="I36" i="1"/>
  <c r="G36" i="1"/>
  <c r="F36" i="1"/>
  <c r="J36" i="1" s="1"/>
  <c r="E36" i="1"/>
  <c r="H28" i="1"/>
  <c r="M28" i="1"/>
  <c r="I28" i="1"/>
  <c r="G28" i="1"/>
  <c r="E28" i="1"/>
  <c r="M20" i="1"/>
  <c r="I20" i="1"/>
  <c r="J20" i="1"/>
  <c r="G20" i="1"/>
  <c r="H20" i="1" s="1"/>
  <c r="F20" i="1"/>
  <c r="E20" i="1"/>
  <c r="M12" i="1"/>
  <c r="I12" i="1"/>
  <c r="H12" i="1"/>
  <c r="E12" i="1"/>
  <c r="G12" i="1"/>
  <c r="F12" i="1"/>
  <c r="J12" i="1" s="1"/>
  <c r="B108" i="1"/>
  <c r="B100" i="1"/>
  <c r="B92" i="1"/>
  <c r="B84" i="1"/>
  <c r="B76" i="1"/>
  <c r="B68" i="1"/>
  <c r="B60" i="1"/>
  <c r="B52" i="1"/>
  <c r="B44" i="1"/>
  <c r="B36" i="1"/>
  <c r="B28" i="1"/>
  <c r="B20" i="1"/>
  <c r="B12" i="1"/>
  <c r="G12" i="4"/>
  <c r="H12" i="4"/>
  <c r="F12" i="4"/>
  <c r="G20" i="4"/>
  <c r="H20" i="4" s="1"/>
  <c r="F20" i="4"/>
  <c r="G28" i="4"/>
  <c r="H28" i="4" s="1"/>
  <c r="F28" i="4"/>
  <c r="G36" i="4"/>
  <c r="H36" i="4" s="1"/>
  <c r="F36" i="4"/>
  <c r="G44" i="4"/>
  <c r="H44" i="4"/>
  <c r="F44" i="4"/>
  <c r="G52" i="4"/>
  <c r="H52" i="4"/>
  <c r="F52" i="4"/>
  <c r="G60" i="4"/>
  <c r="H60" i="4"/>
  <c r="F60" i="4"/>
  <c r="G68" i="4"/>
  <c r="H68" i="4"/>
  <c r="F68" i="4"/>
  <c r="G76" i="4"/>
  <c r="H76" i="4"/>
  <c r="F76" i="4"/>
  <c r="G84" i="4"/>
  <c r="H84" i="4" s="1"/>
  <c r="F84" i="4"/>
  <c r="G92" i="4"/>
  <c r="H92" i="4" s="1"/>
  <c r="F92" i="4"/>
  <c r="G100" i="4"/>
  <c r="H100" i="4" s="1"/>
  <c r="F100" i="4"/>
  <c r="G108" i="4"/>
  <c r="H108" i="4"/>
  <c r="F108" i="4"/>
  <c r="B108" i="4"/>
  <c r="B100" i="4"/>
  <c r="B92" i="4"/>
  <c r="B84" i="4"/>
  <c r="B76" i="4"/>
  <c r="B68" i="4"/>
  <c r="B60" i="4"/>
  <c r="B52" i="4"/>
  <c r="B44" i="4"/>
  <c r="B36" i="4"/>
  <c r="B28" i="4"/>
  <c r="B20" i="4"/>
  <c r="B12" i="4"/>
  <c r="G107" i="3"/>
  <c r="F107" i="3"/>
  <c r="G99" i="3"/>
  <c r="F99" i="3"/>
  <c r="G91" i="3"/>
  <c r="F91" i="3"/>
  <c r="G83" i="3"/>
  <c r="F83" i="3"/>
  <c r="G75" i="3"/>
  <c r="F75" i="3"/>
  <c r="G67" i="3"/>
  <c r="F67" i="3"/>
  <c r="G59" i="3"/>
  <c r="F59" i="3"/>
  <c r="G51" i="3"/>
  <c r="F51" i="3"/>
  <c r="G43" i="3"/>
  <c r="F43" i="3"/>
  <c r="G35" i="3"/>
  <c r="F35" i="3"/>
  <c r="G27" i="3"/>
  <c r="F27" i="3"/>
  <c r="G19" i="3"/>
  <c r="F19" i="3"/>
  <c r="G11" i="3"/>
  <c r="F11" i="3"/>
  <c r="B107" i="3"/>
  <c r="B99" i="3"/>
  <c r="B91" i="3"/>
  <c r="B83" i="3"/>
  <c r="B75" i="3"/>
  <c r="B67" i="3"/>
  <c r="B59" i="3"/>
  <c r="B51" i="3"/>
  <c r="B43" i="3"/>
  <c r="B35" i="3"/>
  <c r="B27" i="3"/>
  <c r="B19" i="3"/>
  <c r="B11" i="3"/>
  <c r="N33" i="2"/>
  <c r="M33" i="2"/>
  <c r="L33" i="2"/>
  <c r="K33" i="2"/>
  <c r="O33" i="2" s="1"/>
  <c r="J33" i="2"/>
  <c r="I33" i="2"/>
  <c r="H33" i="2"/>
  <c r="G33" i="2"/>
  <c r="F33" i="2"/>
  <c r="E33" i="2"/>
  <c r="D33" i="2"/>
  <c r="N12" i="2"/>
  <c r="M12" i="2"/>
  <c r="L12" i="2"/>
  <c r="K12" i="2"/>
  <c r="J12" i="2"/>
  <c r="I12" i="2"/>
  <c r="H12" i="2"/>
  <c r="G12" i="2"/>
  <c r="F12" i="2"/>
  <c r="O12" i="2" s="1"/>
  <c r="E12" i="2"/>
  <c r="D12" i="2"/>
  <c r="C12" i="2"/>
  <c r="B12" i="2"/>
  <c r="A33" i="2"/>
  <c r="A12" i="2"/>
  <c r="M107" i="1"/>
  <c r="J107" i="1"/>
  <c r="I107" i="1"/>
  <c r="E107" i="1"/>
  <c r="G107" i="1"/>
  <c r="F107" i="1"/>
  <c r="H107" i="1" s="1"/>
  <c r="M99" i="1"/>
  <c r="J99" i="1"/>
  <c r="I99" i="1"/>
  <c r="E99" i="1"/>
  <c r="G99" i="1"/>
  <c r="F99" i="1"/>
  <c r="H99" i="1" s="1"/>
  <c r="M91" i="1"/>
  <c r="I91" i="1"/>
  <c r="H91" i="1"/>
  <c r="E91" i="1"/>
  <c r="G91" i="1"/>
  <c r="F91" i="1"/>
  <c r="J91" i="1" s="1"/>
  <c r="M83" i="1"/>
  <c r="J83" i="1"/>
  <c r="I83" i="1"/>
  <c r="H83" i="1"/>
  <c r="E83" i="1"/>
  <c r="G83" i="1"/>
  <c r="F83" i="1"/>
  <c r="M75" i="1"/>
  <c r="J75" i="1"/>
  <c r="I75" i="1"/>
  <c r="E75" i="1"/>
  <c r="G75" i="1"/>
  <c r="H75" i="1" s="1"/>
  <c r="F75" i="1"/>
  <c r="M67" i="1"/>
  <c r="I67" i="1"/>
  <c r="E67" i="1"/>
  <c r="G67" i="1"/>
  <c r="F67" i="1"/>
  <c r="J67" i="1" s="1"/>
  <c r="M59" i="1"/>
  <c r="I59" i="1"/>
  <c r="E59" i="1"/>
  <c r="G59" i="1"/>
  <c r="F59" i="1"/>
  <c r="J59" i="1" s="1"/>
  <c r="M51" i="1"/>
  <c r="I51" i="1"/>
  <c r="H51" i="1"/>
  <c r="E51" i="1"/>
  <c r="G51" i="1"/>
  <c r="F51" i="1"/>
  <c r="J51" i="1" s="1"/>
  <c r="M43" i="1"/>
  <c r="J43" i="1"/>
  <c r="I43" i="1"/>
  <c r="E43" i="1"/>
  <c r="G43" i="1"/>
  <c r="F43" i="1"/>
  <c r="H43" i="1" s="1"/>
  <c r="M35" i="1"/>
  <c r="J35" i="1"/>
  <c r="I35" i="1"/>
  <c r="E35" i="1"/>
  <c r="G35" i="1"/>
  <c r="F35" i="1"/>
  <c r="H35" i="1" s="1"/>
  <c r="M27" i="1"/>
  <c r="J27" i="1"/>
  <c r="I27" i="1"/>
  <c r="E27" i="1"/>
  <c r="G27" i="1"/>
  <c r="H27" i="1" s="1"/>
  <c r="M19" i="1"/>
  <c r="I19" i="1"/>
  <c r="E19" i="1"/>
  <c r="G19" i="1"/>
  <c r="F19" i="1"/>
  <c r="J19" i="1" s="1"/>
  <c r="M11" i="1"/>
  <c r="I11" i="1"/>
  <c r="E11" i="1"/>
  <c r="G11" i="1"/>
  <c r="G15" i="1"/>
  <c r="F11" i="1"/>
  <c r="J11" i="1" s="1"/>
  <c r="B107" i="1"/>
  <c r="B99" i="1"/>
  <c r="B91" i="1"/>
  <c r="B83" i="1"/>
  <c r="B75" i="1"/>
  <c r="B67" i="1"/>
  <c r="B59" i="1"/>
  <c r="B51" i="1"/>
  <c r="B43" i="1"/>
  <c r="B35" i="1"/>
  <c r="B27" i="1"/>
  <c r="B19" i="1"/>
  <c r="B11" i="1"/>
  <c r="G107" i="4"/>
  <c r="H107" i="4" s="1"/>
  <c r="F107" i="4"/>
  <c r="G99" i="4"/>
  <c r="H99" i="4"/>
  <c r="F99" i="4"/>
  <c r="G91" i="4"/>
  <c r="H91" i="4" s="1"/>
  <c r="F91" i="4"/>
  <c r="G83" i="4"/>
  <c r="H83" i="4" s="1"/>
  <c r="F83" i="4"/>
  <c r="G75" i="4"/>
  <c r="H75" i="4"/>
  <c r="F75" i="4"/>
  <c r="G67" i="4"/>
  <c r="H67" i="4" s="1"/>
  <c r="F67" i="4"/>
  <c r="H59" i="4"/>
  <c r="G59" i="4"/>
  <c r="F59" i="4"/>
  <c r="H51" i="4"/>
  <c r="G51" i="4"/>
  <c r="F51" i="4"/>
  <c r="G43" i="4"/>
  <c r="H43" i="4" s="1"/>
  <c r="F43" i="4"/>
  <c r="G35" i="4"/>
  <c r="H35" i="4" s="1"/>
  <c r="F35" i="4"/>
  <c r="G27" i="4"/>
  <c r="H27" i="4"/>
  <c r="F27" i="4"/>
  <c r="G19" i="4"/>
  <c r="H19" i="4"/>
  <c r="F19" i="4"/>
  <c r="G11" i="4"/>
  <c r="H11" i="4"/>
  <c r="F11" i="4"/>
  <c r="B107" i="4"/>
  <c r="B99" i="4"/>
  <c r="B91" i="4"/>
  <c r="B83" i="4"/>
  <c r="B75" i="4"/>
  <c r="B67" i="4"/>
  <c r="B59" i="4"/>
  <c r="B51" i="4"/>
  <c r="B43" i="4"/>
  <c r="B35" i="4"/>
  <c r="B27" i="4"/>
  <c r="B19" i="4"/>
  <c r="B11" i="4"/>
  <c r="G106" i="3"/>
  <c r="F106" i="3"/>
  <c r="G98" i="3"/>
  <c r="F98" i="3"/>
  <c r="G90" i="3"/>
  <c r="F90" i="3"/>
  <c r="G82" i="3"/>
  <c r="F82" i="3"/>
  <c r="G74" i="3"/>
  <c r="F74" i="3"/>
  <c r="G66" i="3"/>
  <c r="F66" i="3"/>
  <c r="G58" i="3"/>
  <c r="F58" i="3"/>
  <c r="G50" i="3"/>
  <c r="F50" i="3"/>
  <c r="G42" i="3"/>
  <c r="F42" i="3"/>
  <c r="G34" i="3"/>
  <c r="F34" i="3"/>
  <c r="G26" i="3"/>
  <c r="F26" i="3"/>
  <c r="G18" i="3"/>
  <c r="F18" i="3"/>
  <c r="G10" i="3"/>
  <c r="F10" i="3"/>
  <c r="B106" i="3"/>
  <c r="B98" i="3"/>
  <c r="B90" i="3"/>
  <c r="B82" i="3"/>
  <c r="B74" i="3"/>
  <c r="B66" i="3"/>
  <c r="B58" i="3"/>
  <c r="B50" i="3"/>
  <c r="B42" i="3"/>
  <c r="B34" i="3"/>
  <c r="B26" i="3"/>
  <c r="B18" i="3"/>
  <c r="B10" i="3"/>
  <c r="N32" i="2"/>
  <c r="M32" i="2"/>
  <c r="L32" i="2"/>
  <c r="K32" i="2"/>
  <c r="J32" i="2"/>
  <c r="I32" i="2"/>
  <c r="H32" i="2"/>
  <c r="G32" i="2"/>
  <c r="O32" i="2" s="1"/>
  <c r="F32" i="2"/>
  <c r="E32" i="2"/>
  <c r="D32" i="2"/>
  <c r="C32" i="2"/>
  <c r="B32" i="2"/>
  <c r="N11" i="2"/>
  <c r="M11" i="2"/>
  <c r="L11" i="2"/>
  <c r="K11" i="2"/>
  <c r="J11" i="2"/>
  <c r="I11" i="2"/>
  <c r="H11" i="2"/>
  <c r="G11" i="2"/>
  <c r="F11" i="2"/>
  <c r="E11" i="2"/>
  <c r="D11" i="2"/>
  <c r="O11" i="2" s="1"/>
  <c r="C11" i="2"/>
  <c r="B11" i="2"/>
  <c r="A32" i="2"/>
  <c r="A11" i="2"/>
  <c r="F25" i="1"/>
  <c r="M106" i="1"/>
  <c r="J106" i="1"/>
  <c r="I106" i="1"/>
  <c r="E106" i="1"/>
  <c r="G106" i="1"/>
  <c r="F106" i="1"/>
  <c r="H106" i="1" s="1"/>
  <c r="M98" i="1"/>
  <c r="I98" i="1"/>
  <c r="H98" i="1"/>
  <c r="E98" i="1"/>
  <c r="G98" i="1"/>
  <c r="F98" i="1"/>
  <c r="J98" i="1" s="1"/>
  <c r="M90" i="1"/>
  <c r="J90" i="1"/>
  <c r="I90" i="1"/>
  <c r="H90" i="1"/>
  <c r="E90" i="1"/>
  <c r="G90" i="1"/>
  <c r="F90" i="1"/>
  <c r="M82" i="1"/>
  <c r="I82" i="1"/>
  <c r="E82" i="1"/>
  <c r="G82" i="1"/>
  <c r="F82" i="1"/>
  <c r="H82" i="1"/>
  <c r="M74" i="1"/>
  <c r="I74" i="1"/>
  <c r="E74" i="1"/>
  <c r="G74" i="1"/>
  <c r="F74" i="1"/>
  <c r="J74" i="1" s="1"/>
  <c r="M66" i="1"/>
  <c r="I66" i="1"/>
  <c r="E66" i="1"/>
  <c r="G66" i="1"/>
  <c r="H66" i="1" s="1"/>
  <c r="J66" i="1"/>
  <c r="M58" i="1"/>
  <c r="J58" i="1"/>
  <c r="I58" i="1"/>
  <c r="E58" i="1"/>
  <c r="G58" i="1"/>
  <c r="F58" i="1"/>
  <c r="H58" i="1" s="1"/>
  <c r="M50" i="1"/>
  <c r="J50" i="1"/>
  <c r="I50" i="1"/>
  <c r="E50" i="1"/>
  <c r="G50" i="1"/>
  <c r="F50" i="1"/>
  <c r="H50" i="1" s="1"/>
  <c r="M42" i="1"/>
  <c r="I42" i="1"/>
  <c r="H42" i="1"/>
  <c r="E42" i="1"/>
  <c r="G42" i="1"/>
  <c r="F42" i="1"/>
  <c r="J42" i="1" s="1"/>
  <c r="M34" i="1"/>
  <c r="J34" i="1"/>
  <c r="I34" i="1"/>
  <c r="H34" i="1"/>
  <c r="E34" i="1"/>
  <c r="G34" i="1"/>
  <c r="F34" i="1"/>
  <c r="M26" i="1"/>
  <c r="J26" i="1"/>
  <c r="I26" i="1"/>
  <c r="E26" i="1"/>
  <c r="G26" i="1"/>
  <c r="H26" i="1" s="1"/>
  <c r="F26" i="1"/>
  <c r="M18" i="1"/>
  <c r="I18" i="1"/>
  <c r="E18" i="1"/>
  <c r="G18" i="1"/>
  <c r="F18" i="1"/>
  <c r="J18" i="1" s="1"/>
  <c r="M10" i="1"/>
  <c r="I10" i="1"/>
  <c r="E10" i="1"/>
  <c r="G10" i="1"/>
  <c r="F10" i="1"/>
  <c r="J10" i="1" s="1"/>
  <c r="B106" i="1"/>
  <c r="B98" i="1"/>
  <c r="B90" i="1"/>
  <c r="B82" i="1"/>
  <c r="B74" i="1"/>
  <c r="B66" i="1"/>
  <c r="B58" i="1"/>
  <c r="B50" i="1"/>
  <c r="B42" i="1"/>
  <c r="B34" i="1"/>
  <c r="B26" i="1"/>
  <c r="B18" i="1"/>
  <c r="B10" i="1"/>
  <c r="B106" i="4"/>
  <c r="B98" i="4"/>
  <c r="B90" i="4"/>
  <c r="B82" i="4"/>
  <c r="B74" i="4"/>
  <c r="B66" i="4"/>
  <c r="B58" i="4"/>
  <c r="B50" i="4"/>
  <c r="B42" i="4"/>
  <c r="B34" i="4"/>
  <c r="B26" i="4"/>
  <c r="B18" i="4"/>
  <c r="B10" i="4"/>
  <c r="B105" i="3"/>
  <c r="B97" i="3"/>
  <c r="B89" i="3"/>
  <c r="B81" i="3"/>
  <c r="B73" i="3"/>
  <c r="B65" i="3"/>
  <c r="B57" i="3"/>
  <c r="B49" i="3"/>
  <c r="B41" i="3"/>
  <c r="B33" i="3"/>
  <c r="B25" i="3"/>
  <c r="B17" i="3"/>
  <c r="B9" i="3"/>
  <c r="A10" i="2"/>
  <c r="A31" i="2"/>
  <c r="G105" i="1"/>
  <c r="F105" i="1"/>
  <c r="F111" i="1" s="1"/>
  <c r="G97" i="1"/>
  <c r="F97" i="1"/>
  <c r="G89" i="1"/>
  <c r="G95" i="1" s="1"/>
  <c r="F89" i="1"/>
  <c r="F95" i="1" s="1"/>
  <c r="G81" i="1"/>
  <c r="F81" i="1"/>
  <c r="J81" i="1" s="1"/>
  <c r="G73" i="1"/>
  <c r="G79" i="1" s="1"/>
  <c r="F73" i="1"/>
  <c r="G65" i="1"/>
  <c r="G71" i="1" s="1"/>
  <c r="F65" i="1"/>
  <c r="H65" i="1" s="1"/>
  <c r="G57" i="1"/>
  <c r="G63" i="1" s="1"/>
  <c r="F57" i="1"/>
  <c r="J57" i="1" s="1"/>
  <c r="G49" i="1"/>
  <c r="G55" i="1" s="1"/>
  <c r="H55" i="1" s="1"/>
  <c r="F49" i="1"/>
  <c r="J49" i="1" s="1"/>
  <c r="G41" i="1"/>
  <c r="G47" i="1" s="1"/>
  <c r="F41" i="1"/>
  <c r="F47" i="1" s="1"/>
  <c r="J41" i="1"/>
  <c r="G33" i="1"/>
  <c r="G39" i="1" s="1"/>
  <c r="F33" i="1"/>
  <c r="J33" i="1"/>
  <c r="G25" i="1"/>
  <c r="G17" i="1"/>
  <c r="G23" i="1" s="1"/>
  <c r="F17" i="1"/>
  <c r="F23" i="1" s="1"/>
  <c r="G9" i="1"/>
  <c r="F9" i="1"/>
  <c r="F15" i="1" s="1"/>
  <c r="B105" i="1"/>
  <c r="B97" i="1"/>
  <c r="B89" i="1"/>
  <c r="B81" i="1"/>
  <c r="B73" i="1"/>
  <c r="B57" i="1"/>
  <c r="B65" i="1"/>
  <c r="B49" i="1"/>
  <c r="B41" i="1"/>
  <c r="B33" i="1"/>
  <c r="B25" i="1"/>
  <c r="B17" i="1"/>
  <c r="B9" i="1"/>
  <c r="J105" i="1"/>
  <c r="L39" i="1"/>
  <c r="F50" i="4"/>
  <c r="F49" i="3"/>
  <c r="M49" i="1"/>
  <c r="E49" i="1"/>
  <c r="F106" i="4"/>
  <c r="F105" i="3"/>
  <c r="G31" i="2"/>
  <c r="G10" i="2"/>
  <c r="M105" i="1"/>
  <c r="E105" i="1"/>
  <c r="E56" i="4"/>
  <c r="D56" i="4"/>
  <c r="F56" i="4"/>
  <c r="C56" i="4"/>
  <c r="G50" i="4"/>
  <c r="H50" i="4" s="1"/>
  <c r="E55" i="3"/>
  <c r="D55" i="3"/>
  <c r="G55" i="3" s="1"/>
  <c r="C55" i="3"/>
  <c r="G49" i="3"/>
  <c r="L55" i="1"/>
  <c r="D55" i="1"/>
  <c r="C55" i="1"/>
  <c r="I49" i="1"/>
  <c r="G106" i="4"/>
  <c r="H106" i="4"/>
  <c r="G105" i="3"/>
  <c r="I105" i="1"/>
  <c r="D15" i="1"/>
  <c r="D23" i="1"/>
  <c r="D31" i="1"/>
  <c r="E31" i="1" s="1"/>
  <c r="D39" i="1"/>
  <c r="D47" i="1"/>
  <c r="D63" i="1"/>
  <c r="D71" i="1"/>
  <c r="D79" i="1"/>
  <c r="D87" i="1"/>
  <c r="D95" i="1"/>
  <c r="E95" i="1" s="1"/>
  <c r="D103" i="1"/>
  <c r="D111" i="1"/>
  <c r="C111" i="1"/>
  <c r="C112" i="4"/>
  <c r="D112" i="4"/>
  <c r="C111" i="3"/>
  <c r="D111" i="3"/>
  <c r="G111" i="3" s="1"/>
  <c r="F111" i="3"/>
  <c r="E16" i="4"/>
  <c r="E24" i="4"/>
  <c r="E32" i="4"/>
  <c r="E40" i="4"/>
  <c r="E48" i="4"/>
  <c r="E64" i="4"/>
  <c r="F64" i="4"/>
  <c r="E72" i="4"/>
  <c r="E80" i="4"/>
  <c r="E88" i="4"/>
  <c r="F88" i="4"/>
  <c r="E96" i="4"/>
  <c r="F96" i="4"/>
  <c r="E104" i="4"/>
  <c r="F104" i="4"/>
  <c r="E112" i="4"/>
  <c r="F112" i="4" s="1"/>
  <c r="D16" i="4"/>
  <c r="D24" i="4"/>
  <c r="F24" i="4"/>
  <c r="D32" i="4"/>
  <c r="F32" i="4" s="1"/>
  <c r="D40" i="4"/>
  <c r="G40" i="4" s="1"/>
  <c r="H40" i="4" s="1"/>
  <c r="F40" i="4"/>
  <c r="D48" i="4"/>
  <c r="F48" i="4"/>
  <c r="D64" i="4"/>
  <c r="D72" i="4"/>
  <c r="F72" i="4" s="1"/>
  <c r="G72" i="4"/>
  <c r="H72" i="4" s="1"/>
  <c r="D80" i="4"/>
  <c r="F80" i="4" s="1"/>
  <c r="D88" i="4"/>
  <c r="D96" i="4"/>
  <c r="G96" i="4"/>
  <c r="H96" i="4"/>
  <c r="D104" i="4"/>
  <c r="C16" i="4"/>
  <c r="G16" i="4" s="1"/>
  <c r="H16" i="4" s="1"/>
  <c r="C24" i="4"/>
  <c r="G24" i="4" s="1"/>
  <c r="H24" i="4" s="1"/>
  <c r="C32" i="4"/>
  <c r="C40" i="4"/>
  <c r="C48" i="4"/>
  <c r="G48" i="4" s="1"/>
  <c r="H48" i="4" s="1"/>
  <c r="C64" i="4"/>
  <c r="C72" i="4"/>
  <c r="C80" i="4"/>
  <c r="C114" i="4" s="1"/>
  <c r="C88" i="4"/>
  <c r="C96" i="4"/>
  <c r="C104" i="4"/>
  <c r="F82" i="4"/>
  <c r="E15" i="3"/>
  <c r="F15" i="3" s="1"/>
  <c r="E23" i="3"/>
  <c r="E31" i="3"/>
  <c r="E39" i="3"/>
  <c r="E47" i="3"/>
  <c r="E63" i="3"/>
  <c r="E71" i="3"/>
  <c r="E79" i="3"/>
  <c r="E113" i="3" s="1"/>
  <c r="E87" i="3"/>
  <c r="E95" i="3"/>
  <c r="E103" i="3"/>
  <c r="E111" i="3"/>
  <c r="D15" i="3"/>
  <c r="G15" i="3" s="1"/>
  <c r="D23" i="3"/>
  <c r="F23" i="3"/>
  <c r="D31" i="3"/>
  <c r="F31" i="3" s="1"/>
  <c r="D39" i="3"/>
  <c r="F39" i="3"/>
  <c r="D47" i="3"/>
  <c r="D63" i="3"/>
  <c r="F63" i="3"/>
  <c r="D71" i="3"/>
  <c r="G71" i="3"/>
  <c r="D79" i="3"/>
  <c r="F79" i="3" s="1"/>
  <c r="D87" i="3"/>
  <c r="F87" i="3"/>
  <c r="D95" i="3"/>
  <c r="F95" i="3" s="1"/>
  <c r="D103" i="3"/>
  <c r="F103" i="3" s="1"/>
  <c r="C15" i="3"/>
  <c r="C23" i="3"/>
  <c r="G23" i="3"/>
  <c r="C31" i="3"/>
  <c r="C39" i="3"/>
  <c r="C47" i="3"/>
  <c r="C63" i="3"/>
  <c r="G63" i="3"/>
  <c r="C71" i="3"/>
  <c r="C79" i="3"/>
  <c r="C87" i="3"/>
  <c r="G87" i="3"/>
  <c r="C95" i="3"/>
  <c r="G95" i="3"/>
  <c r="C103" i="3"/>
  <c r="C113" i="3" s="1"/>
  <c r="F81" i="3"/>
  <c r="M81" i="1"/>
  <c r="E81" i="1"/>
  <c r="L15" i="1"/>
  <c r="L23" i="1"/>
  <c r="L31" i="1"/>
  <c r="L47" i="1"/>
  <c r="M47" i="1" s="1"/>
  <c r="L63" i="1"/>
  <c r="L113" i="1" s="1"/>
  <c r="L71" i="1"/>
  <c r="L79" i="1"/>
  <c r="L87" i="1"/>
  <c r="L95" i="1"/>
  <c r="L103" i="1"/>
  <c r="M103" i="1"/>
  <c r="K15" i="1"/>
  <c r="M15" i="1"/>
  <c r="K23" i="1"/>
  <c r="M23" i="1" s="1"/>
  <c r="C15" i="1"/>
  <c r="E15" i="1"/>
  <c r="C23" i="1"/>
  <c r="E23" i="1" s="1"/>
  <c r="C31" i="1"/>
  <c r="C39" i="1"/>
  <c r="E39" i="1" s="1"/>
  <c r="C47" i="1"/>
  <c r="C63" i="1"/>
  <c r="E63" i="1"/>
  <c r="C71" i="1"/>
  <c r="E71" i="1" s="1"/>
  <c r="C79" i="1"/>
  <c r="C87" i="1"/>
  <c r="E87" i="1" s="1"/>
  <c r="C95" i="1"/>
  <c r="C103" i="1"/>
  <c r="I103" i="1"/>
  <c r="E89" i="1"/>
  <c r="I89" i="1"/>
  <c r="M89" i="1"/>
  <c r="K87" i="1"/>
  <c r="M87" i="1" s="1"/>
  <c r="F98" i="4"/>
  <c r="K31" i="2"/>
  <c r="K10" i="2"/>
  <c r="K23" i="2" s="1"/>
  <c r="K39" i="1"/>
  <c r="M39" i="1" s="1"/>
  <c r="K47" i="1"/>
  <c r="K63" i="1"/>
  <c r="M63" i="1" s="1"/>
  <c r="K71" i="1"/>
  <c r="M71" i="1"/>
  <c r="K79" i="1"/>
  <c r="I79" i="1" s="1"/>
  <c r="J79" i="1"/>
  <c r="K103" i="1"/>
  <c r="I81" i="1"/>
  <c r="G82" i="4"/>
  <c r="H82" i="4"/>
  <c r="G81" i="3"/>
  <c r="F66" i="4"/>
  <c r="F65" i="3"/>
  <c r="N31" i="2"/>
  <c r="M31" i="2"/>
  <c r="L31" i="2"/>
  <c r="J31" i="2"/>
  <c r="I31" i="2"/>
  <c r="H31" i="2"/>
  <c r="F31" i="2"/>
  <c r="F44" i="2" s="1"/>
  <c r="E31" i="2"/>
  <c r="E44" i="2" s="1"/>
  <c r="C31" i="2"/>
  <c r="C44" i="2"/>
  <c r="B31" i="2"/>
  <c r="O31" i="2" s="1"/>
  <c r="M65" i="1"/>
  <c r="E65" i="1"/>
  <c r="I10" i="2"/>
  <c r="I23" i="2" s="1"/>
  <c r="G66" i="4"/>
  <c r="H66" i="4" s="1"/>
  <c r="G74" i="4"/>
  <c r="H74" i="4"/>
  <c r="F74" i="4"/>
  <c r="G65" i="3"/>
  <c r="I65" i="1"/>
  <c r="F10" i="4"/>
  <c r="G10" i="4"/>
  <c r="H10" i="4" s="1"/>
  <c r="I9" i="1"/>
  <c r="I17" i="1"/>
  <c r="I33" i="1"/>
  <c r="I41" i="1"/>
  <c r="I57" i="1"/>
  <c r="I73" i="1"/>
  <c r="I97" i="1"/>
  <c r="E9" i="1"/>
  <c r="M9" i="1"/>
  <c r="E17" i="1"/>
  <c r="M17" i="1"/>
  <c r="E25" i="1"/>
  <c r="E33" i="1"/>
  <c r="M33" i="1"/>
  <c r="E41" i="1"/>
  <c r="M41" i="1"/>
  <c r="E57" i="1"/>
  <c r="M57" i="1"/>
  <c r="E73" i="1"/>
  <c r="M73" i="1"/>
  <c r="E97" i="1"/>
  <c r="M97" i="1"/>
  <c r="F18" i="4"/>
  <c r="G18" i="4"/>
  <c r="H18" i="4"/>
  <c r="F26" i="4"/>
  <c r="G26" i="4"/>
  <c r="H26" i="4"/>
  <c r="F34" i="4"/>
  <c r="G34" i="4"/>
  <c r="H34" i="4"/>
  <c r="F42" i="4"/>
  <c r="G42" i="4"/>
  <c r="H42" i="4"/>
  <c r="F58" i="4"/>
  <c r="G58" i="4"/>
  <c r="H58" i="4" s="1"/>
  <c r="F90" i="4"/>
  <c r="G90" i="4"/>
  <c r="H90" i="4" s="1"/>
  <c r="G98" i="4"/>
  <c r="H98" i="4"/>
  <c r="F9" i="3"/>
  <c r="F17" i="3"/>
  <c r="G17" i="3"/>
  <c r="F25" i="3"/>
  <c r="G25" i="3"/>
  <c r="F33" i="3"/>
  <c r="G33" i="3"/>
  <c r="F41" i="3"/>
  <c r="G41" i="3"/>
  <c r="F57" i="3"/>
  <c r="G57" i="3"/>
  <c r="F73" i="3"/>
  <c r="G73" i="3"/>
  <c r="F89" i="3"/>
  <c r="G89" i="3"/>
  <c r="F97" i="3"/>
  <c r="G97" i="3"/>
  <c r="G9" i="3"/>
  <c r="B10" i="2"/>
  <c r="C10" i="2"/>
  <c r="O10" i="2" s="1"/>
  <c r="D10" i="2"/>
  <c r="D23" i="2" s="1"/>
  <c r="E10" i="2"/>
  <c r="F10" i="2"/>
  <c r="H10" i="2"/>
  <c r="H23" i="2" s="1"/>
  <c r="J10" i="2"/>
  <c r="L10" i="2"/>
  <c r="L23" i="2" s="1"/>
  <c r="M10" i="2"/>
  <c r="N10" i="2"/>
  <c r="N23" i="2" s="1"/>
  <c r="I25" i="1"/>
  <c r="M25" i="1"/>
  <c r="K31" i="1"/>
  <c r="J31" i="1" s="1"/>
  <c r="M31" i="1"/>
  <c r="D31" i="2"/>
  <c r="L111" i="1"/>
  <c r="K111" i="1"/>
  <c r="M111" i="1"/>
  <c r="K55" i="1"/>
  <c r="I55" i="1" s="1"/>
  <c r="K95" i="1"/>
  <c r="M95" i="1"/>
  <c r="G116" i="4"/>
  <c r="H116" i="4" s="1"/>
  <c r="J9" i="1"/>
  <c r="H9" i="1"/>
  <c r="H97" i="1"/>
  <c r="J97" i="1"/>
  <c r="H49" i="1"/>
  <c r="F103" i="1"/>
  <c r="G111" i="1"/>
  <c r="H105" i="1"/>
  <c r="H17" i="1"/>
  <c r="J17" i="1"/>
  <c r="J73" i="1"/>
  <c r="H73" i="1"/>
  <c r="F79" i="1"/>
  <c r="J89" i="1"/>
  <c r="E55" i="1"/>
  <c r="G31" i="1"/>
  <c r="H31" i="1" s="1"/>
  <c r="H41" i="1"/>
  <c r="G103" i="1"/>
  <c r="H103" i="1" s="1"/>
  <c r="H89" i="1"/>
  <c r="F55" i="1"/>
  <c r="G87" i="1"/>
  <c r="H25" i="1"/>
  <c r="J25" i="1"/>
  <c r="E111" i="1"/>
  <c r="G88" i="4"/>
  <c r="H88" i="4" s="1"/>
  <c r="G64" i="4"/>
  <c r="H64" i="4"/>
  <c r="J82" i="1"/>
  <c r="F116" i="4"/>
  <c r="G112" i="4"/>
  <c r="H112" i="4"/>
  <c r="F16" i="4"/>
  <c r="M44" i="2"/>
  <c r="F31" i="1"/>
  <c r="E103" i="1"/>
  <c r="E79" i="1"/>
  <c r="I47" i="1"/>
  <c r="E47" i="1"/>
  <c r="I15" i="1"/>
  <c r="F115" i="3"/>
  <c r="G115" i="3"/>
  <c r="G104" i="4"/>
  <c r="H104" i="4" s="1"/>
  <c r="G80" i="4"/>
  <c r="H80" i="4"/>
  <c r="G56" i="4"/>
  <c r="H56" i="4"/>
  <c r="F71" i="3"/>
  <c r="F47" i="3"/>
  <c r="G47" i="3"/>
  <c r="D113" i="3"/>
  <c r="G39" i="3"/>
  <c r="F23" i="2"/>
  <c r="J65" i="1"/>
  <c r="F71" i="1"/>
  <c r="I115" i="1"/>
  <c r="I111" i="1"/>
  <c r="J103" i="1"/>
  <c r="I95" i="1"/>
  <c r="J44" i="2"/>
  <c r="D44" i="2"/>
  <c r="J23" i="2"/>
  <c r="K44" i="2"/>
  <c r="I44" i="2"/>
  <c r="L44" i="2"/>
  <c r="G23" i="2"/>
  <c r="N44" i="2"/>
  <c r="B23" i="2"/>
  <c r="H15" i="1" l="1"/>
  <c r="J15" i="1"/>
  <c r="J47" i="1"/>
  <c r="H47" i="1"/>
  <c r="H111" i="1"/>
  <c r="J111" i="1"/>
  <c r="F113" i="3"/>
  <c r="H71" i="1"/>
  <c r="H23" i="1"/>
  <c r="J23" i="1"/>
  <c r="H79" i="1"/>
  <c r="J95" i="1"/>
  <c r="H95" i="1"/>
  <c r="J55" i="1"/>
  <c r="G103" i="3"/>
  <c r="O13" i="2"/>
  <c r="O23" i="2" s="1"/>
  <c r="D113" i="1"/>
  <c r="O35" i="2"/>
  <c r="O44" i="2" s="1"/>
  <c r="H33" i="1"/>
  <c r="H81" i="1"/>
  <c r="H44" i="1"/>
  <c r="H52" i="1"/>
  <c r="H76" i="1"/>
  <c r="J37" i="1"/>
  <c r="F39" i="1"/>
  <c r="H39" i="1" s="1"/>
  <c r="G113" i="1"/>
  <c r="G44" i="2"/>
  <c r="M55" i="1"/>
  <c r="I71" i="1"/>
  <c r="I23" i="1"/>
  <c r="H18" i="1"/>
  <c r="H19" i="1"/>
  <c r="H67" i="1"/>
  <c r="J29" i="1"/>
  <c r="F87" i="1"/>
  <c r="F115" i="1"/>
  <c r="H115" i="1" s="1"/>
  <c r="G32" i="4"/>
  <c r="H32" i="4" s="1"/>
  <c r="G31" i="3"/>
  <c r="J71" i="1"/>
  <c r="E114" i="4"/>
  <c r="I31" i="1"/>
  <c r="I63" i="1"/>
  <c r="B44" i="2"/>
  <c r="I87" i="1"/>
  <c r="M79" i="1"/>
  <c r="H10" i="1"/>
  <c r="H74" i="1"/>
  <c r="H11" i="1"/>
  <c r="H59" i="1"/>
  <c r="J21" i="1"/>
  <c r="J109" i="1"/>
  <c r="G113" i="3"/>
  <c r="I39" i="1"/>
  <c r="G79" i="3"/>
  <c r="F63" i="1"/>
  <c r="C113" i="1"/>
  <c r="E113" i="1" s="1"/>
  <c r="E23" i="2"/>
  <c r="H57" i="1"/>
  <c r="F55" i="3"/>
  <c r="K113" i="1"/>
  <c r="D114" i="4"/>
  <c r="J39" i="1" l="1"/>
  <c r="F114" i="4"/>
  <c r="G114" i="4"/>
  <c r="H114" i="4" s="1"/>
  <c r="H87" i="1"/>
  <c r="J87" i="1"/>
  <c r="F113" i="1"/>
  <c r="H113" i="1" s="1"/>
  <c r="J63" i="1"/>
  <c r="H63" i="1"/>
  <c r="M113" i="1"/>
  <c r="I113" i="1"/>
  <c r="J115" i="1"/>
  <c r="J113" i="1" l="1"/>
</calcChain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<sst xmlns="http://schemas.openxmlformats.org/spreadsheetml/2006/main" count="192" uniqueCount="75">
  <si>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</si>
  <si>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</si>
  <si>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</si>
  <si>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</si>
  <si>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</si>
  <si>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</si>
  <si>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</si>
  <si>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</si>
  <si>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</si>
  <si>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</si>
  <si>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</si>
  <si>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</si>
  <si>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</si>
  <si>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</si>
  <si>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</si>
  <si>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</si>
  <si>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</si>
  <si>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</si>
  <si>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</si>
  <si>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</si>
  <si>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</si>
  <si>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</si>
  <si>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</si>
  <si>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</si>
  <si>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</si>
  <si>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</si>
  <si>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</si>
  <si>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</si>
  <si>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</si>
  <si>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</si>
  <si>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</si>
  <si>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</si>
  <si>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</si>
  <si>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</si>
  <si>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</si>
  <si>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</si>
  <si>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</si>
  <si>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</si>
  <si>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</si>
  <si>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</si>
  <si>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</si>
  <si>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</si>
  <si>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</si>
  <si>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</si>
  <si>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</si>
  <si>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</si>
  <si>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</si>
  <si>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</si>
  <si>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</si>
  <si>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</si>
  <si>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</si>
  <si>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</si>
  <si>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</si>
  <si>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</si>
  <si>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</si>
  <si>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</si>
  <si>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</si>
  <si>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</si>
  <si>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</si>
  <si>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</si>
  <si>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</si>
  <si>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</si>
  <si>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</si>
  <si>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</si>
  <si>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</si>
  <si>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</si>
  <si>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</si>
  <si>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</si>
  <si>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2019 YTD ADMISSIONS, PATRONS AND AGR SUMMARY </t>
  </si>
  <si>
    <t>MONTH ENDED:   NOVEMBER 30, 2018</t>
  </si>
  <si>
    <t>(as reported on the tax remittal database dtd 12/6/18)</t>
  </si>
  <si>
    <t>FOR THE MONTH ENDED:   NOVEMBER 30, 2018</t>
  </si>
  <si>
    <t>THRU MONTH ENDED:   NOVEMBER 30, 2018</t>
  </si>
  <si>
    <t>(as reported on the tax remittal database as of 12/6/18)</t>
  </si>
  <si>
    <t>THRU MONTH ENDED:     NOVEMBER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</si>
</sst>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0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3" fontId="16" fillId="0" borderId="14" xfId="3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87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2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DATE(2018,7,1)</f>
        <v>43282</v>
      </c>
      <c r="C9" s="21">
        <v>261456</v>
      </c>
      <c r="D9" s="22">
        <v>295047</v>
      </c>
      <c r="E9" s="23">
        <f>(+C9-D9)/D9</f>
        <v>-0.11384965785112203</v>
      </c>
      <c r="F9" s="21">
        <f>+C9-122888</f>
        <v>138568</v>
      </c>
      <c r="G9" s="21">
        <f>+D9-138811</f>
        <v>156236</v>
      </c>
      <c r="H9" s="23">
        <f>(+F9-G9)/G9</f>
        <v>-0.11308533244578714</v>
      </c>
      <c r="I9" s="24">
        <f>K9/C9</f>
        <v>51.156026597209475</v>
      </c>
      <c r="J9" s="24">
        <f>K9/F9</f>
        <v>96.523368237977024</v>
      </c>
      <c r="K9" s="21">
        <v>13375050.09</v>
      </c>
      <c r="L9" s="21">
        <v>14143686.630000001</v>
      </c>
      <c r="M9" s="25">
        <f>(+K9-L9)/L9</f>
        <v>-5.4344850823381183E-2</v>
      </c>
      <c r="N9" s="10"/>
      <c r="R9" s="2"/>
    </row>
    <row r="10" spans="1:18" ht="15.75" x14ac:dyDescent="0.25">
      <c r="A10" s="19"/>
      <c r="B10" s="20">
        <f>DATE(2018,8,1)</f>
        <v>43313</v>
      </c>
      <c r="C10" s="21">
        <v>266367</v>
      </c>
      <c r="D10" s="22">
        <v>268688</v>
      </c>
      <c r="E10" s="23">
        <f>(+C10-D10)/D10</f>
        <v>-8.6382718990055379E-3</v>
      </c>
      <c r="F10" s="21">
        <f>+C10-122166</f>
        <v>144201</v>
      </c>
      <c r="G10" s="21">
        <f>+D10-125473</f>
        <v>143215</v>
      </c>
      <c r="H10" s="23">
        <f>(+F10-G10)/G10</f>
        <v>6.8847536920015363E-3</v>
      </c>
      <c r="I10" s="24">
        <f>K10/C10</f>
        <v>52.401017543464469</v>
      </c>
      <c r="J10" s="24">
        <f>K10/F10</f>
        <v>96.794764530065677</v>
      </c>
      <c r="K10" s="21">
        <v>13957901.84</v>
      </c>
      <c r="L10" s="21">
        <v>13000027.539999999</v>
      </c>
      <c r="M10" s="25">
        <f>(+K10-L10)/L10</f>
        <v>7.3682482368033569E-2</v>
      </c>
      <c r="N10" s="10"/>
      <c r="R10" s="2"/>
    </row>
    <row r="11" spans="1:18" ht="15.75" x14ac:dyDescent="0.25">
      <c r="A11" s="19"/>
      <c r="B11" s="20">
        <f>DATE(2018,9,1)</f>
        <v>43344</v>
      </c>
      <c r="C11" s="21">
        <v>263626</v>
      </c>
      <c r="D11" s="22">
        <v>281607</v>
      </c>
      <c r="E11" s="23">
        <f>(+C11-D11)/D11</f>
        <v>-6.3851395739452504E-2</v>
      </c>
      <c r="F11" s="21">
        <f>+C11-122145</f>
        <v>141481</v>
      </c>
      <c r="G11" s="21">
        <f>+D11-134639</f>
        <v>146968</v>
      </c>
      <c r="H11" s="23">
        <f>(+F11-G11)/G11</f>
        <v>-3.7334657884709598E-2</v>
      </c>
      <c r="I11" s="24">
        <f>K11/C11</f>
        <v>51.345854733599879</v>
      </c>
      <c r="J11" s="24">
        <f>K11/F11</f>
        <v>95.67434708547438</v>
      </c>
      <c r="K11" s="21">
        <v>13536102.300000001</v>
      </c>
      <c r="L11" s="21">
        <v>13577167.09</v>
      </c>
      <c r="M11" s="25">
        <f>(+K11-L11)/L11</f>
        <v>-3.0245477372260214E-3</v>
      </c>
      <c r="N11" s="10"/>
      <c r="R11" s="2"/>
    </row>
    <row r="12" spans="1:18" ht="15.75" x14ac:dyDescent="0.25">
      <c r="A12" s="19"/>
      <c r="B12" s="20">
        <f>DATE(2018,10,1)</f>
        <v>43374</v>
      </c>
      <c r="C12" s="21">
        <v>264243</v>
      </c>
      <c r="D12" s="22">
        <v>266701</v>
      </c>
      <c r="E12" s="23">
        <f>(+C12-D12)/D12</f>
        <v>-9.2163133996497944E-3</v>
      </c>
      <c r="F12" s="21">
        <f>+C12-121413</f>
        <v>142830</v>
      </c>
      <c r="G12" s="21">
        <f>+D12-124344</f>
        <v>142357</v>
      </c>
      <c r="H12" s="23">
        <f>(+F12-G12)/G12</f>
        <v>3.3226325365103226E-3</v>
      </c>
      <c r="I12" s="24">
        <f>K12/C12</f>
        <v>52.850112888515497</v>
      </c>
      <c r="J12" s="24">
        <f>K12/F12</f>
        <v>97.775484001960379</v>
      </c>
      <c r="K12" s="21">
        <v>13965272.380000001</v>
      </c>
      <c r="L12" s="21">
        <v>13210098.189999999</v>
      </c>
      <c r="M12" s="25">
        <f>(+K12-L12)/L12</f>
        <v>5.7166432765175482E-2</v>
      </c>
      <c r="N12" s="10"/>
      <c r="R12" s="2"/>
    </row>
    <row r="13" spans="1:18" ht="15.75" x14ac:dyDescent="0.25">
      <c r="A13" s="19"/>
      <c r="B13" s="20">
        <f>DATE(2018,11,1)</f>
        <v>43405</v>
      </c>
      <c r="C13" s="21">
        <v>252868</v>
      </c>
      <c r="D13" s="22">
        <v>271175</v>
      </c>
      <c r="E13" s="23">
        <f>(+C13-D13)/D13</f>
        <v>-6.750991057435235E-2</v>
      </c>
      <c r="F13" s="21">
        <f>+C13-117772</f>
        <v>135096</v>
      </c>
      <c r="G13" s="21">
        <f>+D13-126340</f>
        <v>144835</v>
      </c>
      <c r="H13" s="23">
        <f>(+F13-G13)/G13</f>
        <v>-6.7242034038733731E-2</v>
      </c>
      <c r="I13" s="24">
        <f>K13/C13</f>
        <v>54.1405038992676</v>
      </c>
      <c r="J13" s="24">
        <f>K13/F13</f>
        <v>101.33831453188843</v>
      </c>
      <c r="K13" s="21">
        <v>13690400.939999999</v>
      </c>
      <c r="L13" s="21">
        <v>14153820.17</v>
      </c>
      <c r="M13" s="25">
        <f>(+K13-L13)/L13</f>
        <v>-3.2741636140202597E-2</v>
      </c>
      <c r="N13" s="10"/>
      <c r="R13" s="2"/>
    </row>
    <row r="14" spans="1:18" ht="15.75" customHeight="1" thickBot="1" x14ac:dyDescent="0.3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thickTop="1" thickBot="1" x14ac:dyDescent="0.3">
      <c r="A15" s="26" t="s">
        <v>14</v>
      </c>
      <c r="B15" s="27"/>
      <c r="C15" s="28">
        <f>SUM(C9:C14)</f>
        <v>1308560</v>
      </c>
      <c r="D15" s="28">
        <f>SUM(D9:D14)</f>
        <v>1383218</v>
      </c>
      <c r="E15" s="279">
        <f>(+C15-D15)/D15</f>
        <v>-5.3974138566733512E-2</v>
      </c>
      <c r="F15" s="28">
        <f>SUM(F9:F14)</f>
        <v>702176</v>
      </c>
      <c r="G15" s="28">
        <f>SUM(G9:G14)</f>
        <v>733611</v>
      </c>
      <c r="H15" s="30">
        <f>(+F15-G15)/G15</f>
        <v>-4.2849684642133228E-2</v>
      </c>
      <c r="I15" s="31">
        <f>K15/C15</f>
        <v>52.366515520877918</v>
      </c>
      <c r="J15" s="31">
        <f>K15/F15</f>
        <v>97.589105224331234</v>
      </c>
      <c r="K15" s="28">
        <f>SUM(K9:K14)</f>
        <v>68524727.550000012</v>
      </c>
      <c r="L15" s="28">
        <f>SUM(L9:L14)</f>
        <v>68084799.620000005</v>
      </c>
      <c r="M15" s="32">
        <f>(+K15-L15)/L15</f>
        <v>6.4614705845558182E-3</v>
      </c>
      <c r="N15" s="10"/>
      <c r="R15" s="2"/>
    </row>
    <row r="16" spans="1:18" ht="15.75" customHeight="1" thickTop="1" x14ac:dyDescent="0.25">
      <c r="A16" s="15"/>
      <c r="B16" s="16"/>
      <c r="C16" s="16"/>
      <c r="D16" s="16"/>
      <c r="E16" s="17"/>
      <c r="F16" s="16"/>
      <c r="G16" s="16"/>
      <c r="H16" s="17"/>
      <c r="I16" s="16"/>
      <c r="J16" s="16"/>
      <c r="K16" s="195"/>
      <c r="L16" s="195"/>
      <c r="M16" s="18"/>
      <c r="N16" s="10"/>
      <c r="R16" s="2"/>
    </row>
    <row r="17" spans="1:18" ht="15.75" x14ac:dyDescent="0.25">
      <c r="A17" s="19" t="s">
        <v>15</v>
      </c>
      <c r="B17" s="20">
        <f>DATE(2018,7,1)</f>
        <v>43282</v>
      </c>
      <c r="C17" s="21">
        <v>142477</v>
      </c>
      <c r="D17" s="21">
        <v>154485</v>
      </c>
      <c r="E17" s="23">
        <f>(+C17-D17)/D17</f>
        <v>-7.7729229375020234E-2</v>
      </c>
      <c r="F17" s="21">
        <f>+C17-67443</f>
        <v>75034</v>
      </c>
      <c r="G17" s="21">
        <f>+D17-74453</f>
        <v>80032</v>
      </c>
      <c r="H17" s="23">
        <f>(+F17-G17)/G17</f>
        <v>-6.2450019992003197E-2</v>
      </c>
      <c r="I17" s="24">
        <f>K17/C17</f>
        <v>51.761689676228443</v>
      </c>
      <c r="J17" s="24">
        <f>K17/F17</f>
        <v>98.28678012634272</v>
      </c>
      <c r="K17" s="21">
        <v>7374850.2599999998</v>
      </c>
      <c r="L17" s="21">
        <v>7453089.46</v>
      </c>
      <c r="M17" s="25">
        <f>(+K17-L17)/L17</f>
        <v>-1.0497552782628237E-2</v>
      </c>
      <c r="N17" s="10"/>
      <c r="R17" s="2"/>
    </row>
    <row r="18" spans="1:18" ht="15.75" x14ac:dyDescent="0.25">
      <c r="A18" s="19"/>
      <c r="B18" s="20">
        <f>DATE(2018,8,1)</f>
        <v>43313</v>
      </c>
      <c r="C18" s="21">
        <v>137832</v>
      </c>
      <c r="D18" s="21">
        <v>146885</v>
      </c>
      <c r="E18" s="23">
        <f>(+C18-D18)/D18</f>
        <v>-6.1633250502093472E-2</v>
      </c>
      <c r="F18" s="21">
        <f>+C18-65951</f>
        <v>71881</v>
      </c>
      <c r="G18" s="21">
        <f>+D18-69501</f>
        <v>77384</v>
      </c>
      <c r="H18" s="23">
        <f>(+F18-G18)/G18</f>
        <v>-7.1112891553809579E-2</v>
      </c>
      <c r="I18" s="24">
        <f>K18/C18</f>
        <v>51.501837454292179</v>
      </c>
      <c r="J18" s="24">
        <f>K18/F18</f>
        <v>98.754904077572647</v>
      </c>
      <c r="K18" s="21">
        <v>7098601.2599999998</v>
      </c>
      <c r="L18" s="21">
        <v>6887015.3099999996</v>
      </c>
      <c r="M18" s="25">
        <f>(+K18-L18)/L18</f>
        <v>3.0722445134218845E-2</v>
      </c>
      <c r="N18" s="10"/>
      <c r="R18" s="2"/>
    </row>
    <row r="19" spans="1:18" ht="15.75" x14ac:dyDescent="0.25">
      <c r="A19" s="19"/>
      <c r="B19" s="20">
        <f>DATE(2018,9,1)</f>
        <v>43344</v>
      </c>
      <c r="C19" s="21">
        <v>137262</v>
      </c>
      <c r="D19" s="21">
        <v>147791</v>
      </c>
      <c r="E19" s="23">
        <f>(+C19-D19)/D19</f>
        <v>-7.1242497851695979E-2</v>
      </c>
      <c r="F19" s="21">
        <f>+C19-65092</f>
        <v>72170</v>
      </c>
      <c r="G19" s="21">
        <f>+D19-70004</f>
        <v>77787</v>
      </c>
      <c r="H19" s="23">
        <f>(+F19-G19)/G19</f>
        <v>-7.2210009384601537E-2</v>
      </c>
      <c r="I19" s="24">
        <f>K19/C19</f>
        <v>47.466560883565734</v>
      </c>
      <c r="J19" s="24">
        <f>K19/F19</f>
        <v>90.277886656505473</v>
      </c>
      <c r="K19" s="21">
        <v>6515355.0800000001</v>
      </c>
      <c r="L19" s="21">
        <v>6683115.0899999999</v>
      </c>
      <c r="M19" s="25">
        <f>(+K19-L19)/L19</f>
        <v>-2.5102068083642681E-2</v>
      </c>
      <c r="N19" s="10"/>
      <c r="R19" s="2"/>
    </row>
    <row r="20" spans="1:18" ht="15.75" x14ac:dyDescent="0.25">
      <c r="A20" s="19"/>
      <c r="B20" s="20">
        <f>DATE(2018,10,1)</f>
        <v>43374</v>
      </c>
      <c r="C20" s="21">
        <v>119937</v>
      </c>
      <c r="D20" s="21">
        <v>137700</v>
      </c>
      <c r="E20" s="23">
        <f>(+C20-D20)/D20</f>
        <v>-0.12899782135076251</v>
      </c>
      <c r="F20" s="21">
        <f>+C20-56627</f>
        <v>63310</v>
      </c>
      <c r="G20" s="21">
        <f>+D20-65646</f>
        <v>72054</v>
      </c>
      <c r="H20" s="23">
        <f>(+F20-G20)/G20</f>
        <v>-0.12135342937241514</v>
      </c>
      <c r="I20" s="24">
        <f>K20/C20</f>
        <v>52.920465494384551</v>
      </c>
      <c r="J20" s="24">
        <f>K20/F20</f>
        <v>100.2546496604012</v>
      </c>
      <c r="K20" s="21">
        <v>6347121.8700000001</v>
      </c>
      <c r="L20" s="21">
        <v>6249987.8600000003</v>
      </c>
      <c r="M20" s="25">
        <f>(+K20-L20)/L20</f>
        <v>1.5541471787754764E-2</v>
      </c>
      <c r="N20" s="10"/>
      <c r="R20" s="2"/>
    </row>
    <row r="21" spans="1:18" ht="15.75" x14ac:dyDescent="0.25">
      <c r="A21" s="19"/>
      <c r="B21" s="20">
        <f>DATE(2018,11,1)</f>
        <v>43405</v>
      </c>
      <c r="C21" s="21">
        <v>113387</v>
      </c>
      <c r="D21" s="21">
        <v>128271</v>
      </c>
      <c r="E21" s="23">
        <f>(+C21-D21)/D21</f>
        <v>-0.11603558091852406</v>
      </c>
      <c r="F21" s="21">
        <f>+C21-54700</f>
        <v>58687</v>
      </c>
      <c r="G21" s="21">
        <f>+D21-61249</f>
        <v>67022</v>
      </c>
      <c r="H21" s="23">
        <f>(+F21-G21)/G21</f>
        <v>-0.1243621497418758</v>
      </c>
      <c r="I21" s="24">
        <f>K21/C21</f>
        <v>50.957192535299463</v>
      </c>
      <c r="J21" s="24">
        <f>K21/F21</f>
        <v>98.452522534803279</v>
      </c>
      <c r="K21" s="21">
        <v>5777883.1900000004</v>
      </c>
      <c r="L21" s="21">
        <v>6197481.3499999996</v>
      </c>
      <c r="M21" s="25">
        <f>(+K21-L21)/L21</f>
        <v>-6.7704626493147776E-2</v>
      </c>
      <c r="N21" s="10"/>
      <c r="R21" s="2"/>
    </row>
    <row r="22" spans="1:18" ht="15.75" customHeight="1" thickBot="1" x14ac:dyDescent="0.3">
      <c r="A22" s="19"/>
      <c r="B22" s="20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customHeight="1" thickTop="1" thickBot="1" x14ac:dyDescent="0.3">
      <c r="A23" s="26" t="s">
        <v>14</v>
      </c>
      <c r="B23" s="27"/>
      <c r="C23" s="28">
        <f>SUM(C17:C22)</f>
        <v>650895</v>
      </c>
      <c r="D23" s="28">
        <f>SUM(D17:D22)</f>
        <v>715132</v>
      </c>
      <c r="E23" s="279">
        <f>(+C23-D23)/D23</f>
        <v>-8.9825374895823429E-2</v>
      </c>
      <c r="F23" s="28">
        <f>SUM(F17:F22)</f>
        <v>341082</v>
      </c>
      <c r="G23" s="28">
        <f>SUM(G17:G22)</f>
        <v>374279</v>
      </c>
      <c r="H23" s="30">
        <f>(+F23-G23)/G23</f>
        <v>-8.8695865918205399E-2</v>
      </c>
      <c r="I23" s="31">
        <f>K23/C23</f>
        <v>50.874275666582172</v>
      </c>
      <c r="J23" s="31">
        <f>K23/F23</f>
        <v>97.084606223723341</v>
      </c>
      <c r="K23" s="28">
        <f>SUM(K17:K22)</f>
        <v>33113811.660000004</v>
      </c>
      <c r="L23" s="28">
        <f>SUM(L17:L22)</f>
        <v>33470689.07</v>
      </c>
      <c r="M23" s="32">
        <f>(+K23-L23)/L23</f>
        <v>-1.0662386103065562E-2</v>
      </c>
      <c r="N23" s="10"/>
      <c r="R23" s="2"/>
    </row>
    <row r="24" spans="1:18" ht="15.75" customHeight="1" thickTop="1" x14ac:dyDescent="0.25">
      <c r="A24" s="33"/>
      <c r="B24" s="34"/>
      <c r="C24" s="35"/>
      <c r="D24" s="35"/>
      <c r="E24" s="29"/>
      <c r="F24" s="35"/>
      <c r="G24" s="35"/>
      <c r="H24" s="29"/>
      <c r="I24" s="36"/>
      <c r="J24" s="36"/>
      <c r="K24" s="35"/>
      <c r="L24" s="35"/>
      <c r="M24" s="37"/>
      <c r="N24" s="10"/>
      <c r="R24" s="2"/>
    </row>
    <row r="25" spans="1:18" ht="15.75" customHeight="1" x14ac:dyDescent="0.25">
      <c r="A25" s="19" t="s">
        <v>56</v>
      </c>
      <c r="B25" s="20">
        <f>DATE(2018,7,1)</f>
        <v>43282</v>
      </c>
      <c r="C25" s="21">
        <v>72910</v>
      </c>
      <c r="D25" s="21">
        <v>74865</v>
      </c>
      <c r="E25" s="23">
        <f>(+C25-D25)/D25</f>
        <v>-2.6113671274961597E-2</v>
      </c>
      <c r="F25" s="21">
        <f>+C25-39365</f>
        <v>33545</v>
      </c>
      <c r="G25" s="21">
        <f>+D25-41129</f>
        <v>33736</v>
      </c>
      <c r="H25" s="23">
        <f>(+F25-G25)/G25</f>
        <v>-5.6616077780412616E-3</v>
      </c>
      <c r="I25" s="24">
        <f>K25/C25</f>
        <v>44.780741324921138</v>
      </c>
      <c r="J25" s="24">
        <f>K25/F25</f>
        <v>97.33086451035922</v>
      </c>
      <c r="K25" s="21">
        <v>3264963.85</v>
      </c>
      <c r="L25" s="21">
        <v>3281831.24</v>
      </c>
      <c r="M25" s="25">
        <f>(+K25-L25)/L25</f>
        <v>-5.1396274721305073E-3</v>
      </c>
      <c r="N25" s="10"/>
      <c r="R25" s="2"/>
    </row>
    <row r="26" spans="1:18" ht="15.75" customHeight="1" x14ac:dyDescent="0.25">
      <c r="A26" s="19"/>
      <c r="B26" s="20">
        <f>DATE(2018,8,1)</f>
        <v>43313</v>
      </c>
      <c r="C26" s="21">
        <v>70597</v>
      </c>
      <c r="D26" s="21">
        <v>67175</v>
      </c>
      <c r="E26" s="23">
        <f>(+C26-D26)/D26</f>
        <v>5.0941570524748792E-2</v>
      </c>
      <c r="F26" s="21">
        <f>+C26-38383</f>
        <v>32214</v>
      </c>
      <c r="G26" s="21">
        <f>+D26-36831</f>
        <v>30344</v>
      </c>
      <c r="H26" s="23">
        <f>(+F26-G26)/G26</f>
        <v>6.1626680727656209E-2</v>
      </c>
      <c r="I26" s="24">
        <f>K26/C26</f>
        <v>44.260411348924173</v>
      </c>
      <c r="J26" s="24">
        <f>K26/F26</f>
        <v>96.996717576209093</v>
      </c>
      <c r="K26" s="21">
        <v>3124652.26</v>
      </c>
      <c r="L26" s="21">
        <v>2914048.09</v>
      </c>
      <c r="M26" s="25">
        <f>(+K26-L26)/L26</f>
        <v>7.2272029663038237E-2</v>
      </c>
      <c r="N26" s="10"/>
      <c r="R26" s="2"/>
    </row>
    <row r="27" spans="1:18" ht="15.75" customHeight="1" x14ac:dyDescent="0.25">
      <c r="A27" s="19"/>
      <c r="B27" s="20">
        <f>DATE(2018,9,1)</f>
        <v>43344</v>
      </c>
      <c r="C27" s="21">
        <v>68305</v>
      </c>
      <c r="D27" s="21">
        <v>69904</v>
      </c>
      <c r="E27" s="23">
        <f>(+C27-D27)/D27</f>
        <v>-2.2874227512016478E-2</v>
      </c>
      <c r="F27" s="21">
        <f>+C27-36547</f>
        <v>31758</v>
      </c>
      <c r="G27" s="21">
        <f>+D27-38362</f>
        <v>31542</v>
      </c>
      <c r="H27" s="23">
        <f>(+F27-G27)/G27</f>
        <v>6.8480121742438655E-3</v>
      </c>
      <c r="I27" s="24">
        <f>K27/C27</f>
        <v>45.777463436058852</v>
      </c>
      <c r="J27" s="24">
        <f>K27/F27</f>
        <v>98.45801498834939</v>
      </c>
      <c r="K27" s="21">
        <v>3126829.64</v>
      </c>
      <c r="L27" s="21">
        <v>3243425.56</v>
      </c>
      <c r="M27" s="25">
        <f>(+K27-L27)/L27</f>
        <v>-3.5948387852009135E-2</v>
      </c>
      <c r="N27" s="10"/>
      <c r="R27" s="2"/>
    </row>
    <row r="28" spans="1:18" ht="15.75" customHeight="1" x14ac:dyDescent="0.25">
      <c r="A28" s="19"/>
      <c r="B28" s="20">
        <f>DATE(2018,10,1)</f>
        <v>43374</v>
      </c>
      <c r="C28" s="21">
        <v>62929</v>
      </c>
      <c r="D28" s="21">
        <v>63657</v>
      </c>
      <c r="E28" s="23">
        <f>(+C28-D28)/D28</f>
        <v>-1.1436291374082976E-2</v>
      </c>
      <c r="F28" s="21">
        <f>+C28-33451</f>
        <v>29478</v>
      </c>
      <c r="G28" s="21">
        <f>+D28-34877</f>
        <v>28780</v>
      </c>
      <c r="H28" s="23">
        <f>(+F28-G28)/G28</f>
        <v>2.425295343988881E-2</v>
      </c>
      <c r="I28" s="24">
        <f>K28/C28</f>
        <v>45.240346739976793</v>
      </c>
      <c r="J28" s="24">
        <f>K28/F28</f>
        <v>96.578118596919737</v>
      </c>
      <c r="K28" s="21">
        <v>2846929.78</v>
      </c>
      <c r="L28" s="21">
        <v>2893425.26</v>
      </c>
      <c r="M28" s="25">
        <f>(+K28-L28)/L28</f>
        <v>-1.6069355805651598E-2</v>
      </c>
      <c r="N28" s="10"/>
      <c r="R28" s="2"/>
    </row>
    <row r="29" spans="1:18" ht="15.75" customHeight="1" x14ac:dyDescent="0.25">
      <c r="A29" s="19"/>
      <c r="B29" s="20">
        <f>DATE(2018,11,1)</f>
        <v>43405</v>
      </c>
      <c r="C29" s="21">
        <v>61871</v>
      </c>
      <c r="D29" s="21">
        <v>63113</v>
      </c>
      <c r="E29" s="23">
        <f>(+C29-D29)/D29</f>
        <v>-1.9678988480978564E-2</v>
      </c>
      <c r="F29" s="21">
        <f>+C29-34056</f>
        <v>27815</v>
      </c>
      <c r="G29" s="21">
        <f>+D29-34636</f>
        <v>28477</v>
      </c>
      <c r="H29" s="23">
        <f>(+F29-G29)/G29</f>
        <v>-2.3246830775713732E-2</v>
      </c>
      <c r="I29" s="24">
        <f>K29/C29</f>
        <v>46.101970390005008</v>
      </c>
      <c r="J29" s="24">
        <f>K29/F29</f>
        <v>102.54808592486067</v>
      </c>
      <c r="K29" s="21">
        <v>2852375.01</v>
      </c>
      <c r="L29" s="21">
        <v>2842675.68</v>
      </c>
      <c r="M29" s="25">
        <f>(+K29-L29)/L29</f>
        <v>3.4120424177265301E-3</v>
      </c>
      <c r="N29" s="10"/>
      <c r="R29" s="2"/>
    </row>
    <row r="30" spans="1:18" ht="15.75" customHeight="1" thickBot="1" x14ac:dyDescent="0.25">
      <c r="A30" s="38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Top="1" thickBot="1" x14ac:dyDescent="0.3">
      <c r="A31" s="39" t="s">
        <v>14</v>
      </c>
      <c r="B31" s="40"/>
      <c r="C31" s="41">
        <f>SUM(C25:C30)</f>
        <v>336612</v>
      </c>
      <c r="D31" s="41">
        <f>SUM(D25:D30)</f>
        <v>338714</v>
      </c>
      <c r="E31" s="280">
        <f>(+C31-D31)/D31</f>
        <v>-6.2058255637499485E-3</v>
      </c>
      <c r="F31" s="41">
        <f>SUM(F25:F30)</f>
        <v>154810</v>
      </c>
      <c r="G31" s="41">
        <f>SUM(G25:G30)</f>
        <v>152879</v>
      </c>
      <c r="H31" s="42">
        <f>(+F31-G31)/G31</f>
        <v>1.2630904179122051E-2</v>
      </c>
      <c r="I31" s="43">
        <f>K31/C31</f>
        <v>45.202638468028468</v>
      </c>
      <c r="J31" s="43">
        <f>K31/F31</f>
        <v>98.286612880304887</v>
      </c>
      <c r="K31" s="41">
        <f>SUM(K25:K30)</f>
        <v>15215750.539999999</v>
      </c>
      <c r="L31" s="41">
        <f>SUM(L25:L30)</f>
        <v>15175405.83</v>
      </c>
      <c r="M31" s="44">
        <f>(+K31-L31)/L31</f>
        <v>2.6585588848136283E-3</v>
      </c>
      <c r="N31" s="10"/>
      <c r="R31" s="2"/>
    </row>
    <row r="32" spans="1:18" ht="15.75" customHeight="1" thickTop="1" x14ac:dyDescent="0.2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customHeight="1" x14ac:dyDescent="0.25">
      <c r="A33" s="177" t="s">
        <v>65</v>
      </c>
      <c r="B33" s="20">
        <f>DATE(2018,7,1)</f>
        <v>43282</v>
      </c>
      <c r="C33" s="21">
        <v>465892</v>
      </c>
      <c r="D33" s="21">
        <v>502707</v>
      </c>
      <c r="E33" s="23">
        <f>(+C33-D33)/D33</f>
        <v>-7.3233513756522192E-2</v>
      </c>
      <c r="F33" s="21">
        <f>+C33-233751</f>
        <v>232141</v>
      </c>
      <c r="G33" s="21">
        <f>+D33-258518</f>
        <v>244189</v>
      </c>
      <c r="H33" s="23">
        <f>(+F33-G33)/G33</f>
        <v>-4.9338831806510532E-2</v>
      </c>
      <c r="I33" s="24">
        <f>K33/C33</f>
        <v>43.314960162441082</v>
      </c>
      <c r="J33" s="24">
        <f>K33/F33</f>
        <v>86.930328636475252</v>
      </c>
      <c r="K33" s="21">
        <v>20180093.420000002</v>
      </c>
      <c r="L33" s="21">
        <v>21241004.789999999</v>
      </c>
      <c r="M33" s="25">
        <f>(+K33-L33)/L33</f>
        <v>-4.9946383445074183E-2</v>
      </c>
      <c r="N33" s="10"/>
      <c r="R33" s="2"/>
    </row>
    <row r="34" spans="1:18" ht="15.75" customHeight="1" x14ac:dyDescent="0.25">
      <c r="A34" s="177"/>
      <c r="B34" s="20">
        <f>DATE(2018,8,1)</f>
        <v>43313</v>
      </c>
      <c r="C34" s="21">
        <v>454572</v>
      </c>
      <c r="D34" s="21">
        <v>453491</v>
      </c>
      <c r="E34" s="23">
        <f>(+C34-D34)/D34</f>
        <v>2.3837297763351422E-3</v>
      </c>
      <c r="F34" s="21">
        <f>+C34-227733</f>
        <v>226839</v>
      </c>
      <c r="G34" s="21">
        <f>+D34-231314</f>
        <v>222177</v>
      </c>
      <c r="H34" s="23">
        <f>(+F34-G34)/G34</f>
        <v>2.0983270095464426E-2</v>
      </c>
      <c r="I34" s="24">
        <f>K34/C34</f>
        <v>44.900259452847948</v>
      </c>
      <c r="J34" s="24">
        <f>K34/F34</f>
        <v>89.977476271716938</v>
      </c>
      <c r="K34" s="21">
        <v>20410400.739999998</v>
      </c>
      <c r="L34" s="21">
        <v>19752724.440000001</v>
      </c>
      <c r="M34" s="25">
        <f>(+K34-L34)/L34</f>
        <v>3.329547283453102E-2</v>
      </c>
      <c r="N34" s="10"/>
      <c r="R34" s="2"/>
    </row>
    <row r="35" spans="1:18" ht="15.75" customHeight="1" x14ac:dyDescent="0.25">
      <c r="A35" s="177"/>
      <c r="B35" s="20">
        <f>DATE(2018,9,1)</f>
        <v>43344</v>
      </c>
      <c r="C35" s="21">
        <v>400695</v>
      </c>
      <c r="D35" s="21">
        <v>440378</v>
      </c>
      <c r="E35" s="23">
        <f>(+C35-D35)/D35</f>
        <v>-9.0111222631466606E-2</v>
      </c>
      <c r="F35" s="21">
        <f>+C35-202275</f>
        <v>198420</v>
      </c>
      <c r="G35" s="21">
        <f>+D35-224768</f>
        <v>215610</v>
      </c>
      <c r="H35" s="23">
        <f>(+F35-G35)/G35</f>
        <v>-7.972728537637401E-2</v>
      </c>
      <c r="I35" s="24">
        <f>K35/C35</f>
        <v>48.476679269768773</v>
      </c>
      <c r="J35" s="24">
        <f>K35/F35</f>
        <v>97.895186977119238</v>
      </c>
      <c r="K35" s="21">
        <v>19424363</v>
      </c>
      <c r="L35" s="21">
        <v>19993375.760000002</v>
      </c>
      <c r="M35" s="25">
        <f>(+K35-L35)/L35</f>
        <v>-2.8460064314821919E-2</v>
      </c>
      <c r="N35" s="10"/>
      <c r="R35" s="2"/>
    </row>
    <row r="36" spans="1:18" ht="15.75" customHeight="1" x14ac:dyDescent="0.25">
      <c r="A36" s="177"/>
      <c r="B36" s="20">
        <f>DATE(2018,10,1)</f>
        <v>43374</v>
      </c>
      <c r="C36" s="21">
        <v>385937</v>
      </c>
      <c r="D36" s="21">
        <v>419713</v>
      </c>
      <c r="E36" s="23">
        <f>(+C36-D36)/D36</f>
        <v>-8.0474038211825694E-2</v>
      </c>
      <c r="F36" s="21">
        <f>+C36-196101</f>
        <v>189836</v>
      </c>
      <c r="G36" s="21">
        <f>+D36-218072</f>
        <v>201641</v>
      </c>
      <c r="H36" s="23">
        <f>(+F36-G36)/G36</f>
        <v>-5.8544641218799751E-2</v>
      </c>
      <c r="I36" s="24">
        <f>K36/C36</f>
        <v>47.036099985230749</v>
      </c>
      <c r="J36" s="24">
        <f>K36/F36</f>
        <v>95.624493352156605</v>
      </c>
      <c r="K36" s="21">
        <v>18152971.32</v>
      </c>
      <c r="L36" s="21">
        <v>18150595.489999998</v>
      </c>
      <c r="M36" s="25">
        <f>(+K36-L36)/L36</f>
        <v>1.3089542992189383E-4</v>
      </c>
      <c r="N36" s="10"/>
      <c r="R36" s="2"/>
    </row>
    <row r="37" spans="1:18" ht="15.75" customHeight="1" x14ac:dyDescent="0.25">
      <c r="A37" s="177"/>
      <c r="B37" s="20">
        <f>DATE(2018,11,1)</f>
        <v>43405</v>
      </c>
      <c r="C37" s="21">
        <v>374346</v>
      </c>
      <c r="D37" s="21">
        <v>408603</v>
      </c>
      <c r="E37" s="23">
        <f>(+C37-D37)/D37</f>
        <v>-8.3839325702454462E-2</v>
      </c>
      <c r="F37" s="21">
        <f>+C37-191013</f>
        <v>183333</v>
      </c>
      <c r="G37" s="21">
        <f>+D37-210845</f>
        <v>197758</v>
      </c>
      <c r="H37" s="23">
        <f>(+F37-G37)/G37</f>
        <v>-7.2942687527179681E-2</v>
      </c>
      <c r="I37" s="24">
        <f>K37/C37</f>
        <v>47.420801557917002</v>
      </c>
      <c r="J37" s="24">
        <f>K37/F37</f>
        <v>96.828107214740385</v>
      </c>
      <c r="K37" s="21">
        <v>17751787.379999999</v>
      </c>
      <c r="L37" s="21">
        <v>18468735.18</v>
      </c>
      <c r="M37" s="25">
        <f>(+K37-L37)/L37</f>
        <v>-3.8819539779659171E-2</v>
      </c>
      <c r="N37" s="10"/>
      <c r="R37" s="2"/>
    </row>
    <row r="38" spans="1:18" ht="15.75" thickBot="1" x14ac:dyDescent="0.25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7.25" thickTop="1" thickBot="1" x14ac:dyDescent="0.3">
      <c r="A39" s="39" t="s">
        <v>14</v>
      </c>
      <c r="B39" s="40"/>
      <c r="C39" s="41">
        <f>SUM(C33:C38)</f>
        <v>2081442</v>
      </c>
      <c r="D39" s="41">
        <f>SUM(D33:D38)</f>
        <v>2224892</v>
      </c>
      <c r="E39" s="280">
        <f>(+C39-D39)/D39</f>
        <v>-6.4475039687319657E-2</v>
      </c>
      <c r="F39" s="41">
        <f>SUM(F33:F38)</f>
        <v>1030569</v>
      </c>
      <c r="G39" s="41">
        <f>SUM(G33:G38)</f>
        <v>1081375</v>
      </c>
      <c r="H39" s="42">
        <f>(+F39-G39)/G39</f>
        <v>-4.6982776557623396E-2</v>
      </c>
      <c r="I39" s="43">
        <f>K39/C39</f>
        <v>46.083251832143283</v>
      </c>
      <c r="J39" s="43">
        <f>K39/F39</f>
        <v>93.074423798891672</v>
      </c>
      <c r="K39" s="41">
        <f>SUM(K33:K38)</f>
        <v>95919615.859999985</v>
      </c>
      <c r="L39" s="41">
        <f>SUM(L33:L38)</f>
        <v>97606435.659999996</v>
      </c>
      <c r="M39" s="44">
        <f>(+K39-L39)/L39</f>
        <v>-1.728185020376977E-2</v>
      </c>
      <c r="N39" s="10"/>
      <c r="R39" s="2"/>
    </row>
    <row r="40" spans="1:18" ht="15.75" thickTop="1" x14ac:dyDescent="0.2">
      <c r="A40" s="38"/>
      <c r="B40" s="45"/>
      <c r="C40" s="21"/>
      <c r="D40" s="21"/>
      <c r="E40" s="23"/>
      <c r="F40" s="21"/>
      <c r="G40" s="21"/>
      <c r="H40" s="23"/>
      <c r="I40" s="24"/>
      <c r="J40" s="24"/>
      <c r="K40" s="21"/>
      <c r="L40" s="21"/>
      <c r="M40" s="25"/>
      <c r="N40" s="10"/>
      <c r="R40" s="2"/>
    </row>
    <row r="41" spans="1:18" ht="15.75" x14ac:dyDescent="0.25">
      <c r="A41" s="19" t="s">
        <v>16</v>
      </c>
      <c r="B41" s="20">
        <f>DATE(2018,7,1)</f>
        <v>43282</v>
      </c>
      <c r="C41" s="21">
        <v>289167</v>
      </c>
      <c r="D41" s="21">
        <v>332127</v>
      </c>
      <c r="E41" s="23">
        <f>(+C41-D41)/D41</f>
        <v>-0.12934811081303235</v>
      </c>
      <c r="F41" s="21">
        <f>+C41-134357</f>
        <v>154810</v>
      </c>
      <c r="G41" s="21">
        <f>+D41-153372</f>
        <v>178755</v>
      </c>
      <c r="H41" s="23">
        <f>(+F41-G41)/G41</f>
        <v>-0.13395429498475567</v>
      </c>
      <c r="I41" s="24">
        <f>K41/C41</f>
        <v>51.510231907513656</v>
      </c>
      <c r="J41" s="24">
        <f>K41/F41</f>
        <v>96.21509740972806</v>
      </c>
      <c r="K41" s="21">
        <v>14895059.23</v>
      </c>
      <c r="L41" s="21">
        <v>16977556.68</v>
      </c>
      <c r="M41" s="25">
        <f>(+K41-L41)/L41</f>
        <v>-0.12266178751464485</v>
      </c>
      <c r="N41" s="10"/>
      <c r="R41" s="2"/>
    </row>
    <row r="42" spans="1:18" ht="15.75" x14ac:dyDescent="0.25">
      <c r="A42" s="19"/>
      <c r="B42" s="20">
        <f>DATE(2018,8,1)</f>
        <v>43313</v>
      </c>
      <c r="C42" s="21">
        <v>292132</v>
      </c>
      <c r="D42" s="21">
        <v>318460</v>
      </c>
      <c r="E42" s="23">
        <f>(+C42-D42)/D42</f>
        <v>-8.2672863153928286E-2</v>
      </c>
      <c r="F42" s="21">
        <f>+C42-136807</f>
        <v>155325</v>
      </c>
      <c r="G42" s="21">
        <f>+D42-146549</f>
        <v>171911</v>
      </c>
      <c r="H42" s="23">
        <f>(+F42-G42)/G42</f>
        <v>-9.6480155429262818E-2</v>
      </c>
      <c r="I42" s="24">
        <f>K42/C42</f>
        <v>49.941217497569589</v>
      </c>
      <c r="J42" s="24">
        <f>K42/F42</f>
        <v>93.928393690648633</v>
      </c>
      <c r="K42" s="21">
        <v>14589427.75</v>
      </c>
      <c r="L42" s="21">
        <v>15578003.460000001</v>
      </c>
      <c r="M42" s="25">
        <f>(+K42-L42)/L42</f>
        <v>-6.3459718219885469E-2</v>
      </c>
      <c r="N42" s="10"/>
      <c r="R42" s="2"/>
    </row>
    <row r="43" spans="1:18" ht="15.75" x14ac:dyDescent="0.25">
      <c r="A43" s="19"/>
      <c r="B43" s="20">
        <f>DATE(2018,9,1)</f>
        <v>43344</v>
      </c>
      <c r="C43" s="21">
        <v>292955</v>
      </c>
      <c r="D43" s="21">
        <v>319116</v>
      </c>
      <c r="E43" s="23">
        <f>(+C43-D43)/D43</f>
        <v>-8.197959362739568E-2</v>
      </c>
      <c r="F43" s="21">
        <f>+C43-135433</f>
        <v>157522</v>
      </c>
      <c r="G43" s="21">
        <f>+D43-146330</f>
        <v>172786</v>
      </c>
      <c r="H43" s="23">
        <f>(+F43-G43)/G43</f>
        <v>-8.8340490549002809E-2</v>
      </c>
      <c r="I43" s="24">
        <f>K43/C43</f>
        <v>51.9962153231725</v>
      </c>
      <c r="J43" s="24">
        <f>K43/F43</f>
        <v>96.701103718845616</v>
      </c>
      <c r="K43" s="21">
        <v>15232551.26</v>
      </c>
      <c r="L43" s="21">
        <v>15578279.970000001</v>
      </c>
      <c r="M43" s="25">
        <f>(+K43-L43)/L43</f>
        <v>-2.219299631703826E-2</v>
      </c>
      <c r="N43" s="10"/>
      <c r="R43" s="2"/>
    </row>
    <row r="44" spans="1:18" ht="15.75" x14ac:dyDescent="0.25">
      <c r="A44" s="19"/>
      <c r="B44" s="20">
        <f>DATE(2018,10,1)</f>
        <v>43374</v>
      </c>
      <c r="C44" s="21">
        <v>283107</v>
      </c>
      <c r="D44" s="21">
        <v>307325</v>
      </c>
      <c r="E44" s="23">
        <f>(+C44-D44)/D44</f>
        <v>-7.8802570568616281E-2</v>
      </c>
      <c r="F44" s="21">
        <f>+C44-129714</f>
        <v>153393</v>
      </c>
      <c r="G44" s="21">
        <f>+D44-144149</f>
        <v>163176</v>
      </c>
      <c r="H44" s="23">
        <f>(+F44-G44)/G44</f>
        <v>-5.9953669657302547E-2</v>
      </c>
      <c r="I44" s="24">
        <f>K44/C44</f>
        <v>51.856895484746047</v>
      </c>
      <c r="J44" s="24">
        <f>K44/F44</f>
        <v>95.708735796287968</v>
      </c>
      <c r="K44" s="21">
        <v>14681050.109999999</v>
      </c>
      <c r="L44" s="21">
        <v>14357615.17</v>
      </c>
      <c r="M44" s="25">
        <f>(+K44-L44)/L44</f>
        <v>2.2527065683987092E-2</v>
      </c>
      <c r="N44" s="10"/>
      <c r="R44" s="2"/>
    </row>
    <row r="45" spans="1:18" ht="15.75" x14ac:dyDescent="0.25">
      <c r="A45" s="19"/>
      <c r="B45" s="20">
        <f>DATE(2018,11,1)</f>
        <v>43405</v>
      </c>
      <c r="C45" s="21">
        <v>270987</v>
      </c>
      <c r="D45" s="21">
        <v>280587</v>
      </c>
      <c r="E45" s="23">
        <f>(+C45-D45)/D45</f>
        <v>-3.421398710560361E-2</v>
      </c>
      <c r="F45" s="21">
        <f>+C45-127087</f>
        <v>143900</v>
      </c>
      <c r="G45" s="21">
        <f>+D45-134796</f>
        <v>145791</v>
      </c>
      <c r="H45" s="23">
        <f>(+F45-G45)/G45</f>
        <v>-1.2970622329224713E-2</v>
      </c>
      <c r="I45" s="24">
        <f>K45/C45</f>
        <v>50.922366091362321</v>
      </c>
      <c r="J45" s="24">
        <f>K45/F45</f>
        <v>95.895060597637254</v>
      </c>
      <c r="K45" s="21">
        <v>13799299.220000001</v>
      </c>
      <c r="L45" s="21">
        <v>14099625.18</v>
      </c>
      <c r="M45" s="25">
        <f>(+K45-L45)/L45</f>
        <v>-2.1300279700059307E-2</v>
      </c>
      <c r="N45" s="10"/>
      <c r="R45" s="2"/>
    </row>
    <row r="46" spans="1:18" ht="15.75" thickBot="1" x14ac:dyDescent="0.25">
      <c r="A46" s="38"/>
      <c r="B46" s="20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Top="1" thickBot="1" x14ac:dyDescent="0.3">
      <c r="A47" s="39" t="s">
        <v>14</v>
      </c>
      <c r="B47" s="40"/>
      <c r="C47" s="41">
        <f>SUM(C41:C46)</f>
        <v>1428348</v>
      </c>
      <c r="D47" s="41">
        <f>SUM(D41:D46)</f>
        <v>1557615</v>
      </c>
      <c r="E47" s="281">
        <f>(+C47-D47)/D47</f>
        <v>-8.2990341002108989E-2</v>
      </c>
      <c r="F47" s="47">
        <f>SUM(F41:F46)</f>
        <v>764950</v>
      </c>
      <c r="G47" s="48">
        <f>SUM(G41:G46)</f>
        <v>832419</v>
      </c>
      <c r="H47" s="49">
        <f>(+F47-G47)/G47</f>
        <v>-8.1051729958110039E-2</v>
      </c>
      <c r="I47" s="50">
        <f>K47/C47</f>
        <v>51.246186202522082</v>
      </c>
      <c r="J47" s="51">
        <f>K47/F47</f>
        <v>95.68911375906923</v>
      </c>
      <c r="K47" s="48">
        <f>SUM(K41:K46)</f>
        <v>73197387.570000008</v>
      </c>
      <c r="L47" s="47">
        <f>SUM(L41:L46)</f>
        <v>76591080.460000008</v>
      </c>
      <c r="M47" s="44">
        <f>(+K47-L47)/L47</f>
        <v>-4.4309244230760915E-2</v>
      </c>
      <c r="N47" s="10"/>
      <c r="R47" s="2"/>
    </row>
    <row r="48" spans="1:18" ht="15.75" customHeight="1" thickTop="1" x14ac:dyDescent="0.25">
      <c r="A48" s="273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 x14ac:dyDescent="0.25">
      <c r="A49" s="274" t="s">
        <v>66</v>
      </c>
      <c r="B49" s="20">
        <f>DATE(2018,7,1)</f>
        <v>43282</v>
      </c>
      <c r="C49" s="21">
        <v>129160</v>
      </c>
      <c r="D49" s="21">
        <v>155680</v>
      </c>
      <c r="E49" s="23">
        <f>(+C49-D49)/D49</f>
        <v>-0.17034943473792394</v>
      </c>
      <c r="F49" s="21">
        <f>+C49-62596</f>
        <v>66564</v>
      </c>
      <c r="G49" s="21">
        <f>+D49-76075</f>
        <v>79605</v>
      </c>
      <c r="H49" s="23">
        <f>(+F49-G49)/G49</f>
        <v>-0.16382136800452232</v>
      </c>
      <c r="I49" s="24">
        <f>K49/C49</f>
        <v>40.406414911737379</v>
      </c>
      <c r="J49" s="24">
        <f>K49/F49</f>
        <v>78.404130611141156</v>
      </c>
      <c r="K49" s="21">
        <v>5218892.55</v>
      </c>
      <c r="L49" s="21">
        <v>5695517.9800000004</v>
      </c>
      <c r="M49" s="25">
        <f>(+K49-L49)/L49</f>
        <v>-8.3684299070547502E-2</v>
      </c>
      <c r="N49" s="10"/>
      <c r="R49" s="2"/>
    </row>
    <row r="50" spans="1:18" ht="15.75" x14ac:dyDescent="0.25">
      <c r="A50" s="274"/>
      <c r="B50" s="20">
        <f>DATE(2018,8,1)</f>
        <v>43313</v>
      </c>
      <c r="C50" s="21">
        <v>120860</v>
      </c>
      <c r="D50" s="21">
        <v>137297</v>
      </c>
      <c r="E50" s="23">
        <f>(+C50-D50)/D50</f>
        <v>-0.11971856631973021</v>
      </c>
      <c r="F50" s="21">
        <f>+C50-58336</f>
        <v>62524</v>
      </c>
      <c r="G50" s="21">
        <f>+D50-65122</f>
        <v>72175</v>
      </c>
      <c r="H50" s="23">
        <f>(+F50-G50)/G50</f>
        <v>-0.13371666089366124</v>
      </c>
      <c r="I50" s="24">
        <f>K50/C50</f>
        <v>43.548342462353133</v>
      </c>
      <c r="J50" s="24">
        <f>K50/F50</f>
        <v>84.179717708399977</v>
      </c>
      <c r="K50" s="21">
        <v>5263252.67</v>
      </c>
      <c r="L50" s="21">
        <v>5143794.97</v>
      </c>
      <c r="M50" s="25">
        <f>(+K50-L50)/L50</f>
        <v>2.3223651155753627E-2</v>
      </c>
      <c r="N50" s="10"/>
      <c r="R50" s="2"/>
    </row>
    <row r="51" spans="1:18" ht="15.75" x14ac:dyDescent="0.25">
      <c r="A51" s="274"/>
      <c r="B51" s="20">
        <f>DATE(2018,9,1)</f>
        <v>43344</v>
      </c>
      <c r="C51" s="21">
        <v>129571</v>
      </c>
      <c r="D51" s="21">
        <v>151497</v>
      </c>
      <c r="E51" s="23">
        <f>(+C51-D51)/D51</f>
        <v>-0.14472893852683552</v>
      </c>
      <c r="F51" s="21">
        <f>+C51-62477</f>
        <v>67094</v>
      </c>
      <c r="G51" s="21">
        <f>+D51-72439</f>
        <v>79058</v>
      </c>
      <c r="H51" s="23">
        <f>(+F51-G51)/G51</f>
        <v>-0.15133193351716462</v>
      </c>
      <c r="I51" s="24">
        <f>K51/C51</f>
        <v>39.031131348835771</v>
      </c>
      <c r="J51" s="24">
        <f>K51/F51</f>
        <v>75.376378215637757</v>
      </c>
      <c r="K51" s="21">
        <v>5057302.72</v>
      </c>
      <c r="L51" s="21">
        <v>5888747.75</v>
      </c>
      <c r="M51" s="25">
        <f>(+K51-L51)/L51</f>
        <v>-0.14119216262914305</v>
      </c>
      <c r="N51" s="10"/>
      <c r="R51" s="2"/>
    </row>
    <row r="52" spans="1:18" ht="15.75" x14ac:dyDescent="0.25">
      <c r="A52" s="274"/>
      <c r="B52" s="20">
        <f>DATE(2018,10,1)</f>
        <v>43374</v>
      </c>
      <c r="C52" s="21">
        <v>116239</v>
      </c>
      <c r="D52" s="21">
        <v>146324</v>
      </c>
      <c r="E52" s="23">
        <f>(+C52-D52)/D52</f>
        <v>-0.20560536890735628</v>
      </c>
      <c r="F52" s="21">
        <f>+C52-55540</f>
        <v>60699</v>
      </c>
      <c r="G52" s="21">
        <f>+D52-70503</f>
        <v>75821</v>
      </c>
      <c r="H52" s="23">
        <f>(+F52-G52)/G52</f>
        <v>-0.19944342596378312</v>
      </c>
      <c r="I52" s="24">
        <f>K52/C52</f>
        <v>42.495112999939785</v>
      </c>
      <c r="J52" s="24">
        <f>K52/F52</f>
        <v>81.378431934628253</v>
      </c>
      <c r="K52" s="21">
        <v>4939589.4400000004</v>
      </c>
      <c r="L52" s="21">
        <v>5166610</v>
      </c>
      <c r="M52" s="25">
        <f>(+K52-L52)/L52</f>
        <v>-4.393994514778541E-2</v>
      </c>
      <c r="N52" s="10"/>
      <c r="R52" s="2"/>
    </row>
    <row r="53" spans="1:18" ht="15.75" x14ac:dyDescent="0.25">
      <c r="A53" s="274"/>
      <c r="B53" s="20">
        <f>DATE(2018,11,1)</f>
        <v>43405</v>
      </c>
      <c r="C53" s="21">
        <v>117324</v>
      </c>
      <c r="D53" s="21">
        <v>136794</v>
      </c>
      <c r="E53" s="23">
        <f>(+C53-D53)/D53</f>
        <v>-0.14233080398263082</v>
      </c>
      <c r="F53" s="21">
        <f>+C53-56217</f>
        <v>61107</v>
      </c>
      <c r="G53" s="21">
        <f>+D53-66771</f>
        <v>70023</v>
      </c>
      <c r="H53" s="23">
        <f>(+F53-G53)/G53</f>
        <v>-0.12732959170558245</v>
      </c>
      <c r="I53" s="24">
        <f>K53/C53</f>
        <v>41.777676093552898</v>
      </c>
      <c r="J53" s="24">
        <f>K53/F53</f>
        <v>80.212153599423971</v>
      </c>
      <c r="K53" s="21">
        <v>4901524.07</v>
      </c>
      <c r="L53" s="21">
        <v>5061072.71</v>
      </c>
      <c r="M53" s="25">
        <f>(+K53-L53)/L53</f>
        <v>-3.1524668611212198E-2</v>
      </c>
      <c r="N53" s="10"/>
      <c r="R53" s="2"/>
    </row>
    <row r="54" spans="1:18" ht="15.75" customHeight="1" thickBot="1" x14ac:dyDescent="0.3">
      <c r="A54" s="19"/>
      <c r="B54" s="20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45" customHeight="1" thickTop="1" thickBot="1" x14ac:dyDescent="0.3">
      <c r="A55" s="39" t="s">
        <v>14</v>
      </c>
      <c r="B55" s="52"/>
      <c r="C55" s="47">
        <f>SUM(C49:C54)</f>
        <v>613154</v>
      </c>
      <c r="D55" s="48">
        <f>SUM(D49:D54)</f>
        <v>727592</v>
      </c>
      <c r="E55" s="281">
        <f>(+C55-D55)/D55</f>
        <v>-0.1572832026740261</v>
      </c>
      <c r="F55" s="48">
        <f>SUM(F49:F54)</f>
        <v>317988</v>
      </c>
      <c r="G55" s="47">
        <f>SUM(G49:G54)</f>
        <v>376682</v>
      </c>
      <c r="H55" s="46">
        <f>(+F55-G55)/G55</f>
        <v>-0.15581843570969678</v>
      </c>
      <c r="I55" s="51">
        <f>K55/C55</f>
        <v>41.393453276012224</v>
      </c>
      <c r="J55" s="50">
        <f>K55/F55</f>
        <v>79.816098248990528</v>
      </c>
      <c r="K55" s="47">
        <f>SUM(K49:K54)</f>
        <v>25380561.449999999</v>
      </c>
      <c r="L55" s="48">
        <f>SUM(L49:L54)</f>
        <v>26955743.41</v>
      </c>
      <c r="M55" s="44">
        <f>(+K55-L55)/L55</f>
        <v>-5.8435856731580339E-2</v>
      </c>
      <c r="N55" s="10"/>
      <c r="R55" s="2"/>
    </row>
    <row r="56" spans="1:18" ht="15.75" customHeight="1" thickTop="1" x14ac:dyDescent="0.25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 x14ac:dyDescent="0.25">
      <c r="A57" s="19" t="s">
        <v>17</v>
      </c>
      <c r="B57" s="20">
        <f>DATE(2018,7,1)</f>
        <v>43282</v>
      </c>
      <c r="C57" s="21">
        <v>164240</v>
      </c>
      <c r="D57" s="21">
        <v>176619</v>
      </c>
      <c r="E57" s="23">
        <f>(+C57-D57)/D57</f>
        <v>-7.0088722051421415E-2</v>
      </c>
      <c r="F57" s="21">
        <f>+C57-78084</f>
        <v>86156</v>
      </c>
      <c r="G57" s="21">
        <f>+D57-82680</f>
        <v>93939</v>
      </c>
      <c r="H57" s="23">
        <f>(+F57-G57)/G57</f>
        <v>-8.2851637764932567E-2</v>
      </c>
      <c r="I57" s="24">
        <f>K57/C57</f>
        <v>35.170054858743299</v>
      </c>
      <c r="J57" s="24">
        <f>K57/F57</f>
        <v>67.045009169413618</v>
      </c>
      <c r="K57" s="21">
        <v>5776329.8099999996</v>
      </c>
      <c r="L57" s="21">
        <v>6184772.9199999999</v>
      </c>
      <c r="M57" s="25">
        <f>(+K57-L57)/L57</f>
        <v>-6.6040114210046102E-2</v>
      </c>
      <c r="N57" s="10"/>
      <c r="R57" s="2"/>
    </row>
    <row r="58" spans="1:18" ht="15.75" x14ac:dyDescent="0.25">
      <c r="A58" s="19"/>
      <c r="B58" s="20">
        <f>DATE(2018,8,1)</f>
        <v>43313</v>
      </c>
      <c r="C58" s="21">
        <v>161125</v>
      </c>
      <c r="D58" s="21">
        <v>166602</v>
      </c>
      <c r="E58" s="23">
        <f>(+C58-D58)/D58</f>
        <v>-3.2874755405097177E-2</v>
      </c>
      <c r="F58" s="21">
        <f>+C58-76425</f>
        <v>84700</v>
      </c>
      <c r="G58" s="21">
        <f>+D58-77233</f>
        <v>89369</v>
      </c>
      <c r="H58" s="23">
        <f>(+F58-G58)/G58</f>
        <v>-5.224406673455001E-2</v>
      </c>
      <c r="I58" s="24">
        <f>K58/C58</f>
        <v>34.524392986811485</v>
      </c>
      <c r="J58" s="24">
        <f>K58/F58</f>
        <v>65.675830224321132</v>
      </c>
      <c r="K58" s="21">
        <v>5562742.8200000003</v>
      </c>
      <c r="L58" s="21">
        <v>5912368.3300000001</v>
      </c>
      <c r="M58" s="25">
        <f>(+K58-L58)/L58</f>
        <v>-5.9134595560625329E-2</v>
      </c>
      <c r="N58" s="10"/>
      <c r="R58" s="2"/>
    </row>
    <row r="59" spans="1:18" ht="15.75" x14ac:dyDescent="0.25">
      <c r="A59" s="19"/>
      <c r="B59" s="20">
        <f>DATE(2018,9,1)</f>
        <v>43344</v>
      </c>
      <c r="C59" s="21">
        <v>154193</v>
      </c>
      <c r="D59" s="21">
        <v>169194</v>
      </c>
      <c r="E59" s="23">
        <f>(+C59-D59)/D59</f>
        <v>-8.8661536461103821E-2</v>
      </c>
      <c r="F59" s="21">
        <f>+C59-72768</f>
        <v>81425</v>
      </c>
      <c r="G59" s="21">
        <f>+D59-79368</f>
        <v>89826</v>
      </c>
      <c r="H59" s="23">
        <f>(+F59-G59)/G59</f>
        <v>-9.3525259947008665E-2</v>
      </c>
      <c r="I59" s="24">
        <f>K59/C59</f>
        <v>34.861351034093637</v>
      </c>
      <c r="J59" s="24">
        <f>K59/F59</f>
        <v>66.016288609149527</v>
      </c>
      <c r="K59" s="21">
        <v>5375376.2999999998</v>
      </c>
      <c r="L59" s="21">
        <v>5903665.7400000002</v>
      </c>
      <c r="M59" s="25">
        <f>(+K59-L59)/L59</f>
        <v>-8.9484984968000642E-2</v>
      </c>
      <c r="N59" s="10"/>
      <c r="R59" s="2"/>
    </row>
    <row r="60" spans="1:18" ht="15.75" x14ac:dyDescent="0.25">
      <c r="A60" s="19"/>
      <c r="B60" s="20">
        <f>DATE(2018,10,1)</f>
        <v>43374</v>
      </c>
      <c r="C60" s="21">
        <v>153175</v>
      </c>
      <c r="D60" s="21">
        <v>167767</v>
      </c>
      <c r="E60" s="23">
        <f>(+C60-D60)/D60</f>
        <v>-8.6977772744341861E-2</v>
      </c>
      <c r="F60" s="21">
        <f>+C60-73639</f>
        <v>79536</v>
      </c>
      <c r="G60" s="21">
        <f>+D60-77884</f>
        <v>89883</v>
      </c>
      <c r="H60" s="23">
        <f>(+F60-G60)/G60</f>
        <v>-0.11511631787991056</v>
      </c>
      <c r="I60" s="24">
        <f>K60/C60</f>
        <v>34.315905337032802</v>
      </c>
      <c r="J60" s="24">
        <f>K60/F60</f>
        <v>66.087542747938045</v>
      </c>
      <c r="K60" s="21">
        <v>5256338.8</v>
      </c>
      <c r="L60" s="21">
        <v>5780372.5599999996</v>
      </c>
      <c r="M60" s="25">
        <f>(+K60-L60)/L60</f>
        <v>-9.0657436793312826E-2</v>
      </c>
      <c r="N60" s="10"/>
      <c r="R60" s="2"/>
    </row>
    <row r="61" spans="1:18" ht="15.75" x14ac:dyDescent="0.25">
      <c r="A61" s="19"/>
      <c r="B61" s="20">
        <f>DATE(2018,11,1)</f>
        <v>43405</v>
      </c>
      <c r="C61" s="21">
        <v>139109</v>
      </c>
      <c r="D61" s="21">
        <v>158513</v>
      </c>
      <c r="E61" s="23">
        <f>(+C61-D61)/D61</f>
        <v>-0.12241267277762707</v>
      </c>
      <c r="F61" s="21">
        <f>+C61-66707</f>
        <v>72402</v>
      </c>
      <c r="G61" s="21">
        <f>+D61-75019</f>
        <v>83494</v>
      </c>
      <c r="H61" s="23">
        <f>(+F61-G61)/G61</f>
        <v>-0.13284786930797424</v>
      </c>
      <c r="I61" s="24">
        <f>K61/C61</f>
        <v>36.458471270730151</v>
      </c>
      <c r="J61" s="24">
        <f>K61/F61</f>
        <v>70.049190353857639</v>
      </c>
      <c r="K61" s="21">
        <v>5071701.4800000004</v>
      </c>
      <c r="L61" s="21">
        <v>5726979.4000000004</v>
      </c>
      <c r="M61" s="25">
        <f>(+K61-L61)/L61</f>
        <v>-0.11441946517216386</v>
      </c>
      <c r="N61" s="10"/>
      <c r="R61" s="2"/>
    </row>
    <row r="62" spans="1:18" ht="15.75" customHeight="1" thickBot="1" x14ac:dyDescent="0.3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45" customHeight="1" thickTop="1" thickBot="1" x14ac:dyDescent="0.3">
      <c r="A63" s="39" t="s">
        <v>14</v>
      </c>
      <c r="B63" s="52"/>
      <c r="C63" s="47">
        <f>SUM(C57:C62)</f>
        <v>771842</v>
      </c>
      <c r="D63" s="48">
        <f>SUM(D57:D62)</f>
        <v>838695</v>
      </c>
      <c r="E63" s="281">
        <f>(+C63-D63)/D63</f>
        <v>-7.9710741091815265E-2</v>
      </c>
      <c r="F63" s="48">
        <f>SUM(F57:F62)</f>
        <v>404219</v>
      </c>
      <c r="G63" s="47">
        <f>SUM(G57:G62)</f>
        <v>446511</v>
      </c>
      <c r="H63" s="53">
        <f>(+F63-G63)/G63</f>
        <v>-9.4716591528540173E-2</v>
      </c>
      <c r="I63" s="51">
        <f>K63/C63</f>
        <v>35.036301743102861</v>
      </c>
      <c r="J63" s="50">
        <f>K63/F63</f>
        <v>66.900589061869923</v>
      </c>
      <c r="K63" s="47">
        <f>SUM(K57:K62)</f>
        <v>27042489.210000001</v>
      </c>
      <c r="L63" s="48">
        <f>SUM(L57:L62)</f>
        <v>29508158.950000003</v>
      </c>
      <c r="M63" s="44">
        <f>(+K63-L63)/L63</f>
        <v>-8.3558914813287657E-2</v>
      </c>
      <c r="N63" s="10"/>
      <c r="R63" s="2"/>
    </row>
    <row r="64" spans="1:18" ht="15.75" customHeight="1" thickTop="1" x14ac:dyDescent="0.25">
      <c r="A64" s="19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customHeight="1" x14ac:dyDescent="0.25">
      <c r="A65" s="19" t="s">
        <v>67</v>
      </c>
      <c r="B65" s="20">
        <f>DATE(2018,7,1)</f>
        <v>43282</v>
      </c>
      <c r="C65" s="21">
        <v>388303</v>
      </c>
      <c r="D65" s="21">
        <v>366754</v>
      </c>
      <c r="E65" s="23">
        <f>(+C65-D65)/D65</f>
        <v>5.8756005387807633E-2</v>
      </c>
      <c r="F65" s="21">
        <f>+C65-165452</f>
        <v>222851</v>
      </c>
      <c r="G65" s="21">
        <f>+D65-155073</f>
        <v>211681</v>
      </c>
      <c r="H65" s="23">
        <f>(+F65-G65)/G65</f>
        <v>5.2768080271729634E-2</v>
      </c>
      <c r="I65" s="24">
        <f>K65/C65</f>
        <v>34.57685554837331</v>
      </c>
      <c r="J65" s="24">
        <f>K65/F65</f>
        <v>60.247863998815355</v>
      </c>
      <c r="K65" s="21">
        <v>13426296.74</v>
      </c>
      <c r="L65" s="21">
        <v>12532234.060000001</v>
      </c>
      <c r="M65" s="25">
        <f>(+K65-L65)/L65</f>
        <v>7.1341045476771101E-2</v>
      </c>
      <c r="N65" s="10"/>
      <c r="R65" s="2"/>
    </row>
    <row r="66" spans="1:18" ht="15.75" customHeight="1" x14ac:dyDescent="0.25">
      <c r="A66" s="19"/>
      <c r="B66" s="20">
        <f>DATE(2018,8,1)</f>
        <v>43313</v>
      </c>
      <c r="C66" s="21">
        <v>375147</v>
      </c>
      <c r="D66" s="21">
        <v>332593</v>
      </c>
      <c r="E66" s="23">
        <f>(+C66-D66)/D66</f>
        <v>0.12794616844010548</v>
      </c>
      <c r="F66" s="21">
        <f>+C66-161826</f>
        <v>213321</v>
      </c>
      <c r="G66" s="21">
        <f>+D66-143450</f>
        <v>189143</v>
      </c>
      <c r="H66" s="23">
        <f>(+F66-G66)/G66</f>
        <v>0.12782920858821104</v>
      </c>
      <c r="I66" s="24">
        <f>K66/C66</f>
        <v>37.336334983353197</v>
      </c>
      <c r="J66" s="24">
        <f>K66/F66</f>
        <v>65.659799363400694</v>
      </c>
      <c r="K66" s="21">
        <v>14006614.060000001</v>
      </c>
      <c r="L66" s="21">
        <v>12428268.710000001</v>
      </c>
      <c r="M66" s="25">
        <f>(+K66-L66)/L66</f>
        <v>0.1269963972319037</v>
      </c>
      <c r="N66" s="10"/>
      <c r="R66" s="2"/>
    </row>
    <row r="67" spans="1:18" ht="15.75" customHeight="1" x14ac:dyDescent="0.25">
      <c r="A67" s="19"/>
      <c r="B67" s="20">
        <f>DATE(2018,9,1)</f>
        <v>43344</v>
      </c>
      <c r="C67" s="21">
        <v>360341</v>
      </c>
      <c r="D67" s="21">
        <v>334430</v>
      </c>
      <c r="E67" s="23">
        <f>(+C67-D67)/D67</f>
        <v>7.7478097060670395E-2</v>
      </c>
      <c r="F67" s="21">
        <f>+C67-155599</f>
        <v>204742</v>
      </c>
      <c r="G67" s="21">
        <f>+D67-144819</f>
        <v>189611</v>
      </c>
      <c r="H67" s="23">
        <f>(+F67-G67)/G67</f>
        <v>7.9800222560927378E-2</v>
      </c>
      <c r="I67" s="24">
        <f>K67/C67</f>
        <v>36.888861633841273</v>
      </c>
      <c r="J67" s="24">
        <f>K67/F67</f>
        <v>64.923510027253812</v>
      </c>
      <c r="K67" s="21">
        <v>13292569.289999999</v>
      </c>
      <c r="L67" s="21">
        <v>11826002.08</v>
      </c>
      <c r="M67" s="25">
        <f>(+K67-L67)/L67</f>
        <v>0.12401208794646171</v>
      </c>
      <c r="N67" s="10"/>
      <c r="R67" s="2"/>
    </row>
    <row r="68" spans="1:18" ht="15.75" customHeight="1" x14ac:dyDescent="0.25">
      <c r="A68" s="19"/>
      <c r="B68" s="20">
        <f>DATE(2018,10,1)</f>
        <v>43374</v>
      </c>
      <c r="C68" s="21">
        <v>333723</v>
      </c>
      <c r="D68" s="21">
        <v>316813</v>
      </c>
      <c r="E68" s="23">
        <f>(+C68-D68)/D68</f>
        <v>5.3375334976784414E-2</v>
      </c>
      <c r="F68" s="21">
        <f>+C68-146807</f>
        <v>186916</v>
      </c>
      <c r="G68" s="21">
        <f>+D68-139997</f>
        <v>176816</v>
      </c>
      <c r="H68" s="23">
        <f>(+F68-G68)/G68</f>
        <v>5.7121527463577959E-2</v>
      </c>
      <c r="I68" s="24">
        <f>K68/C68</f>
        <v>39.848894622186663</v>
      </c>
      <c r="J68" s="24">
        <f>K68/F68</f>
        <v>71.146893042864178</v>
      </c>
      <c r="K68" s="21">
        <v>13298492.66</v>
      </c>
      <c r="L68" s="21">
        <v>11196087.949999999</v>
      </c>
      <c r="M68" s="25">
        <f>(+K68-L68)/L68</f>
        <v>0.1877802960631442</v>
      </c>
      <c r="N68" s="10"/>
      <c r="R68" s="2"/>
    </row>
    <row r="69" spans="1:18" ht="15.75" customHeight="1" x14ac:dyDescent="0.25">
      <c r="A69" s="19"/>
      <c r="B69" s="20">
        <f>DATE(2018,11,1)</f>
        <v>43405</v>
      </c>
      <c r="C69" s="21">
        <v>327940</v>
      </c>
      <c r="D69" s="21">
        <v>320184</v>
      </c>
      <c r="E69" s="23">
        <f>(+C69-D69)/D69</f>
        <v>2.4223571446418308E-2</v>
      </c>
      <c r="F69" s="21">
        <f>+C69-147192</f>
        <v>180748</v>
      </c>
      <c r="G69" s="21">
        <f>+D69-141719</f>
        <v>178465</v>
      </c>
      <c r="H69" s="23">
        <f>(+F69-G69)/G69</f>
        <v>1.2792424284873784E-2</v>
      </c>
      <c r="I69" s="24">
        <f>K69/C69</f>
        <v>39.086274135512596</v>
      </c>
      <c r="J69" s="24">
        <f>K69/F69</f>
        <v>70.916152543873238</v>
      </c>
      <c r="K69" s="21">
        <v>12817952.74</v>
      </c>
      <c r="L69" s="21">
        <v>12032537.07</v>
      </c>
      <c r="M69" s="25">
        <f>(+K69-L69)/L69</f>
        <v>6.5274319574566655E-2</v>
      </c>
      <c r="N69" s="10"/>
      <c r="R69" s="2"/>
    </row>
    <row r="70" spans="1:18" ht="15.75" customHeight="1" thickBot="1" x14ac:dyDescent="0.3">
      <c r="A70" s="19"/>
      <c r="B70" s="45"/>
      <c r="C70" s="21"/>
      <c r="D70" s="21"/>
      <c r="E70" s="23"/>
      <c r="F70" s="21"/>
      <c r="G70" s="21"/>
      <c r="H70" s="23"/>
      <c r="I70" s="24"/>
      <c r="J70" s="24"/>
      <c r="K70" s="21"/>
      <c r="L70" s="21"/>
      <c r="M70" s="25"/>
      <c r="N70" s="10"/>
      <c r="R70" s="2"/>
    </row>
    <row r="71" spans="1:18" ht="17.25" thickTop="1" thickBot="1" x14ac:dyDescent="0.3">
      <c r="A71" s="39" t="s">
        <v>14</v>
      </c>
      <c r="B71" s="40"/>
      <c r="C71" s="41">
        <f>SUM(C65:C70)</f>
        <v>1785454</v>
      </c>
      <c r="D71" s="41">
        <f>SUM(D65:D70)</f>
        <v>1670774</v>
      </c>
      <c r="E71" s="280">
        <f>(+C71-D71)/D71</f>
        <v>6.863884642686563E-2</v>
      </c>
      <c r="F71" s="41">
        <f>SUM(F65:F70)</f>
        <v>1008578</v>
      </c>
      <c r="G71" s="41">
        <f>SUM(G65:G70)</f>
        <v>945716</v>
      </c>
      <c r="H71" s="42">
        <f>(+F71-G71)/G71</f>
        <v>6.6470272259325211E-2</v>
      </c>
      <c r="I71" s="43">
        <f>K71/C71</f>
        <v>37.436935082057559</v>
      </c>
      <c r="J71" s="43">
        <f>K71/F71</f>
        <v>66.27343199038647</v>
      </c>
      <c r="K71" s="41">
        <f>SUM(K65:K70)</f>
        <v>66841925.490000002</v>
      </c>
      <c r="L71" s="41">
        <f>SUM(L65:L70)</f>
        <v>60015129.869999997</v>
      </c>
      <c r="M71" s="44">
        <f>(+K71-L71)/L71</f>
        <v>0.113751242974691</v>
      </c>
      <c r="N71" s="10"/>
      <c r="R71" s="2"/>
    </row>
    <row r="72" spans="1:18" ht="15.75" customHeight="1" thickTop="1" x14ac:dyDescent="0.2">
      <c r="A72" s="54"/>
      <c r="B72" s="55"/>
      <c r="C72" s="55"/>
      <c r="D72" s="55"/>
      <c r="E72" s="56"/>
      <c r="F72" s="55"/>
      <c r="G72" s="55"/>
      <c r="H72" s="56"/>
      <c r="I72" s="55"/>
      <c r="J72" s="55"/>
      <c r="K72" s="196"/>
      <c r="L72" s="196"/>
      <c r="M72" s="57"/>
      <c r="N72" s="10"/>
      <c r="R72" s="2"/>
    </row>
    <row r="73" spans="1:18" ht="15.75" customHeight="1" x14ac:dyDescent="0.25">
      <c r="A73" s="19" t="s">
        <v>18</v>
      </c>
      <c r="B73" s="20">
        <f>DATE(2018,7,1)</f>
        <v>43282</v>
      </c>
      <c r="C73" s="21">
        <v>413730</v>
      </c>
      <c r="D73" s="21">
        <v>402324</v>
      </c>
      <c r="E73" s="23">
        <f>(+C73-D73)/D73</f>
        <v>2.8350284845050259E-2</v>
      </c>
      <c r="F73" s="21">
        <f>+C73-202461</f>
        <v>211269</v>
      </c>
      <c r="G73" s="21">
        <f>+D73-196212</f>
        <v>206112</v>
      </c>
      <c r="H73" s="23">
        <f>(+F73-G73)/G73</f>
        <v>2.5020377270610152E-2</v>
      </c>
      <c r="I73" s="24">
        <f>K73/C73</f>
        <v>42.610814492543447</v>
      </c>
      <c r="J73" s="24">
        <f>K73/F73</f>
        <v>83.445144720711511</v>
      </c>
      <c r="K73" s="21">
        <v>17629372.280000001</v>
      </c>
      <c r="L73" s="21">
        <v>16341217.17</v>
      </c>
      <c r="M73" s="25">
        <f>(+K73-L73)/L73</f>
        <v>7.8828590098224682E-2</v>
      </c>
      <c r="N73" s="10"/>
      <c r="R73" s="2"/>
    </row>
    <row r="74" spans="1:18" ht="15.75" customHeight="1" x14ac:dyDescent="0.25">
      <c r="A74" s="19"/>
      <c r="B74" s="20">
        <f>DATE(2018,8,1)</f>
        <v>43313</v>
      </c>
      <c r="C74" s="21">
        <v>405834</v>
      </c>
      <c r="D74" s="21">
        <v>379939</v>
      </c>
      <c r="E74" s="23">
        <f>(+C74-D74)/D74</f>
        <v>6.8155677621934044E-2</v>
      </c>
      <c r="F74" s="21">
        <f>+C74-195636</f>
        <v>210198</v>
      </c>
      <c r="G74" s="21">
        <f>+D74-185707</f>
        <v>194232</v>
      </c>
      <c r="H74" s="23">
        <f>(+F74-G74)/G74</f>
        <v>8.220066724329668E-2</v>
      </c>
      <c r="I74" s="24">
        <f>K74/C74</f>
        <v>43.859896460129015</v>
      </c>
      <c r="J74" s="24">
        <f>K74/F74</f>
        <v>84.681287262485839</v>
      </c>
      <c r="K74" s="21">
        <v>17799837.219999999</v>
      </c>
      <c r="L74" s="21">
        <v>15315276.050000001</v>
      </c>
      <c r="M74" s="25">
        <f>(+K74-L74)/L74</f>
        <v>0.16222764525357661</v>
      </c>
      <c r="N74" s="10"/>
      <c r="R74" s="2"/>
    </row>
    <row r="75" spans="1:18" ht="15.75" customHeight="1" x14ac:dyDescent="0.25">
      <c r="A75" s="19"/>
      <c r="B75" s="20">
        <f>DATE(2018,9,1)</f>
        <v>43344</v>
      </c>
      <c r="C75" s="21">
        <v>386512</v>
      </c>
      <c r="D75" s="21">
        <v>383853</v>
      </c>
      <c r="E75" s="23">
        <f>(+C75-D75)/D75</f>
        <v>6.9271309589869039E-3</v>
      </c>
      <c r="F75" s="21">
        <f>+C75-188889</f>
        <v>197623</v>
      </c>
      <c r="G75" s="21">
        <f>+D75-186182</f>
        <v>197671</v>
      </c>
      <c r="H75" s="23">
        <f>(+F75-G75)/G75</f>
        <v>-2.4282772890307634E-4</v>
      </c>
      <c r="I75" s="24">
        <f>K75/C75</f>
        <v>42.948639886989277</v>
      </c>
      <c r="J75" s="24">
        <f>K75/F75</f>
        <v>83.999153438617967</v>
      </c>
      <c r="K75" s="21">
        <v>16600164.699999999</v>
      </c>
      <c r="L75" s="21">
        <v>16031264.689999999</v>
      </c>
      <c r="M75" s="25">
        <f>(+K75-L75)/L75</f>
        <v>3.5486907677026183E-2</v>
      </c>
      <c r="N75" s="10"/>
      <c r="R75" s="2"/>
    </row>
    <row r="76" spans="1:18" ht="15.75" customHeight="1" x14ac:dyDescent="0.25">
      <c r="A76" s="19"/>
      <c r="B76" s="20">
        <f>DATE(2018,10,1)</f>
        <v>43374</v>
      </c>
      <c r="C76" s="21">
        <v>353857</v>
      </c>
      <c r="D76" s="21">
        <v>372927</v>
      </c>
      <c r="E76" s="23">
        <f>(+C76-D76)/D76</f>
        <v>-5.1136013214382436E-2</v>
      </c>
      <c r="F76" s="21">
        <f>+C76-169336</f>
        <v>184521</v>
      </c>
      <c r="G76" s="21">
        <f>+D76-185932</f>
        <v>186995</v>
      </c>
      <c r="H76" s="23">
        <f>(+F76-G76)/G76</f>
        <v>-1.3230300275408433E-2</v>
      </c>
      <c r="I76" s="24">
        <f>K76/C76</f>
        <v>42.600034901104124</v>
      </c>
      <c r="J76" s="24">
        <f>K76/F76</f>
        <v>81.694335875049461</v>
      </c>
      <c r="K76" s="21">
        <v>15074320.550000001</v>
      </c>
      <c r="L76" s="21">
        <v>15264818.060000001</v>
      </c>
      <c r="M76" s="25">
        <f>(+K76-L76)/L76</f>
        <v>-1.2479513954979937E-2</v>
      </c>
      <c r="N76" s="10"/>
      <c r="R76" s="2"/>
    </row>
    <row r="77" spans="1:18" ht="15.75" customHeight="1" x14ac:dyDescent="0.25">
      <c r="A77" s="19"/>
      <c r="B77" s="20">
        <f>DATE(2018,11,1)</f>
        <v>43405</v>
      </c>
      <c r="C77" s="21">
        <v>343012</v>
      </c>
      <c r="D77" s="21">
        <v>350531</v>
      </c>
      <c r="E77" s="23">
        <f>(+C77-D77)/D77</f>
        <v>-2.1450313952260998E-2</v>
      </c>
      <c r="F77" s="21">
        <f>+C77-162356</f>
        <v>180656</v>
      </c>
      <c r="G77" s="21">
        <f>+D77-173337</f>
        <v>177194</v>
      </c>
      <c r="H77" s="23">
        <f>(+F77-G77)/G77</f>
        <v>1.9537907604094948E-2</v>
      </c>
      <c r="I77" s="24">
        <f>K77/C77</f>
        <v>43.197420410947721</v>
      </c>
      <c r="J77" s="24">
        <f>K77/F77</f>
        <v>82.019050405189972</v>
      </c>
      <c r="K77" s="21">
        <v>14817233.57</v>
      </c>
      <c r="L77" s="21">
        <v>14781579.57</v>
      </c>
      <c r="M77" s="25">
        <f>(+K77-L77)/L77</f>
        <v>2.4120561561879138E-3</v>
      </c>
      <c r="N77" s="10"/>
      <c r="R77" s="2"/>
    </row>
    <row r="78" spans="1:18" ht="15.75" customHeight="1" thickBot="1" x14ac:dyDescent="0.3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Top="1" thickBot="1" x14ac:dyDescent="0.3">
      <c r="A79" s="39" t="s">
        <v>14</v>
      </c>
      <c r="B79" s="40"/>
      <c r="C79" s="41">
        <f>SUM(C73:C78)</f>
        <v>1902945</v>
      </c>
      <c r="D79" s="41">
        <f>SUM(D73:D78)</f>
        <v>1889574</v>
      </c>
      <c r="E79" s="280">
        <f>(+C79-D79)/D79</f>
        <v>7.0761981271969237E-3</v>
      </c>
      <c r="F79" s="41">
        <f>SUM(F73:F78)</f>
        <v>984267</v>
      </c>
      <c r="G79" s="41">
        <f>SUM(G73:G78)</f>
        <v>962204</v>
      </c>
      <c r="H79" s="42">
        <f>(+F79-G79)/G79</f>
        <v>2.2929649014138374E-2</v>
      </c>
      <c r="I79" s="43">
        <f>K79/C79</f>
        <v>43.049551258706899</v>
      </c>
      <c r="J79" s="43">
        <f>K79/F79</f>
        <v>83.230392078572166</v>
      </c>
      <c r="K79" s="41">
        <f>SUM(K73:K78)</f>
        <v>81920928.319999993</v>
      </c>
      <c r="L79" s="41">
        <f>SUM(L73:L78)</f>
        <v>77734155.539999992</v>
      </c>
      <c r="M79" s="44">
        <f>(+K79-L79)/L79</f>
        <v>5.3860143599882497E-2</v>
      </c>
      <c r="N79" s="10"/>
      <c r="R79" s="2"/>
    </row>
    <row r="80" spans="1:18" ht="15.75" customHeight="1" thickTop="1" x14ac:dyDescent="0.2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 x14ac:dyDescent="0.25">
      <c r="A81" s="19" t="s">
        <v>58</v>
      </c>
      <c r="B81" s="20">
        <f>DATE(2018,7,1)</f>
        <v>43282</v>
      </c>
      <c r="C81" s="21">
        <v>437213</v>
      </c>
      <c r="D81" s="21">
        <v>487621</v>
      </c>
      <c r="E81" s="23">
        <f>(+C81-D81)/D81</f>
        <v>-0.1033753673447206</v>
      </c>
      <c r="F81" s="21">
        <f>+C81-202829</f>
        <v>234384</v>
      </c>
      <c r="G81" s="21">
        <f>+D81-237847</f>
        <v>249774</v>
      </c>
      <c r="H81" s="23">
        <f>(+F81-G81)/G81</f>
        <v>-6.1615700593336376E-2</v>
      </c>
      <c r="I81" s="24">
        <f>K81/C81</f>
        <v>44.800503484571593</v>
      </c>
      <c r="J81" s="24">
        <f>K81/F81</f>
        <v>83.569537724418055</v>
      </c>
      <c r="K81" s="21">
        <v>19587362.530000001</v>
      </c>
      <c r="L81" s="21">
        <v>19804673.68</v>
      </c>
      <c r="M81" s="25">
        <f>(+K81-L81)/L81</f>
        <v>-1.0972720556332768E-2</v>
      </c>
      <c r="N81" s="10"/>
      <c r="R81" s="2"/>
    </row>
    <row r="82" spans="1:18" ht="15.75" customHeight="1" x14ac:dyDescent="0.25">
      <c r="A82" s="19"/>
      <c r="B82" s="20">
        <f>DATE(2018,8,1)</f>
        <v>43313</v>
      </c>
      <c r="C82" s="21">
        <v>428435</v>
      </c>
      <c r="D82" s="21">
        <v>450476</v>
      </c>
      <c r="E82" s="23">
        <f>(+C82-D82)/D82</f>
        <v>-4.8928244789955513E-2</v>
      </c>
      <c r="F82" s="21">
        <f>+C82-198491</f>
        <v>229944</v>
      </c>
      <c r="G82" s="21">
        <f>+D82-212152</f>
        <v>238324</v>
      </c>
      <c r="H82" s="23">
        <f>(+F82-G82)/G82</f>
        <v>-3.5162216142730067E-2</v>
      </c>
      <c r="I82" s="24">
        <f>K82/C82</f>
        <v>44.517867261078109</v>
      </c>
      <c r="J82" s="24">
        <f>K82/F82</f>
        <v>82.946336760254681</v>
      </c>
      <c r="K82" s="21">
        <v>19073012.460000001</v>
      </c>
      <c r="L82" s="21">
        <v>18591700.170000002</v>
      </c>
      <c r="M82" s="25">
        <f>(+K82-L82)/L82</f>
        <v>2.5888557022700688E-2</v>
      </c>
      <c r="N82" s="10"/>
      <c r="R82" s="2"/>
    </row>
    <row r="83" spans="1:18" ht="15.75" customHeight="1" x14ac:dyDescent="0.25">
      <c r="A83" s="19"/>
      <c r="B83" s="20">
        <f>DATE(2018,9,1)</f>
        <v>43344</v>
      </c>
      <c r="C83" s="21">
        <v>430488</v>
      </c>
      <c r="D83" s="21">
        <v>460463</v>
      </c>
      <c r="E83" s="23">
        <f>(+C83-D83)/D83</f>
        <v>-6.509752140780041E-2</v>
      </c>
      <c r="F83" s="21">
        <f>+C83-198602</f>
        <v>231886</v>
      </c>
      <c r="G83" s="21">
        <f>+D83-224219</f>
        <v>236244</v>
      </c>
      <c r="H83" s="23">
        <f>(+F83-G83)/G83</f>
        <v>-1.8447029342544149E-2</v>
      </c>
      <c r="I83" s="24">
        <f>K83/C83</f>
        <v>42.288596778539699</v>
      </c>
      <c r="J83" s="24">
        <f>K83/F83</f>
        <v>78.50725550486014</v>
      </c>
      <c r="K83" s="21">
        <v>18204733.449999999</v>
      </c>
      <c r="L83" s="21">
        <v>18717604.129999999</v>
      </c>
      <c r="M83" s="25">
        <f>(+K83-L83)/L83</f>
        <v>-2.7400444866658248E-2</v>
      </c>
      <c r="N83" s="10"/>
      <c r="R83" s="2"/>
    </row>
    <row r="84" spans="1:18" ht="15.75" customHeight="1" x14ac:dyDescent="0.25">
      <c r="A84" s="19"/>
      <c r="B84" s="20">
        <f>DATE(2018,10,1)</f>
        <v>43374</v>
      </c>
      <c r="C84" s="21">
        <v>407384</v>
      </c>
      <c r="D84" s="21">
        <v>417011</v>
      </c>
      <c r="E84" s="23">
        <f>(+C84-D84)/D84</f>
        <v>-2.3085721959372776E-2</v>
      </c>
      <c r="F84" s="21">
        <f>+C84-184682</f>
        <v>222702</v>
      </c>
      <c r="G84" s="21">
        <f>+D84-199528</f>
        <v>217483</v>
      </c>
      <c r="H84" s="23">
        <f>(+F84-G84)/G84</f>
        <v>2.3997277948161467E-2</v>
      </c>
      <c r="I84" s="24">
        <f>K84/C84</f>
        <v>41.137461829625117</v>
      </c>
      <c r="J84" s="24">
        <f>K84/F84</f>
        <v>75.251878070246335</v>
      </c>
      <c r="K84" s="21">
        <v>16758743.75</v>
      </c>
      <c r="L84" s="21">
        <v>17765294.359999999</v>
      </c>
      <c r="M84" s="25">
        <f>(+K84-L84)/L84</f>
        <v>-5.6658256801324365E-2</v>
      </c>
      <c r="N84" s="10"/>
      <c r="R84" s="2"/>
    </row>
    <row r="85" spans="1:18" ht="15.75" customHeight="1" x14ac:dyDescent="0.25">
      <c r="A85" s="19"/>
      <c r="B85" s="20">
        <f>DATE(2018,11,1)</f>
        <v>43405</v>
      </c>
      <c r="C85" s="21">
        <v>412204</v>
      </c>
      <c r="D85" s="21">
        <v>418322</v>
      </c>
      <c r="E85" s="23">
        <f>(+C85-D85)/D85</f>
        <v>-1.4625097412997643E-2</v>
      </c>
      <c r="F85" s="21">
        <f>+C85-188557</f>
        <v>223647</v>
      </c>
      <c r="G85" s="21">
        <f>+D85-203115</f>
        <v>215207</v>
      </c>
      <c r="H85" s="23">
        <f>(+F85-G85)/G85</f>
        <v>3.9218055174785209E-2</v>
      </c>
      <c r="I85" s="24">
        <f>K85/C85</f>
        <v>47.326759226014303</v>
      </c>
      <c r="J85" s="24">
        <f>K85/F85</f>
        <v>87.227995278273355</v>
      </c>
      <c r="K85" s="21">
        <v>19508279.460000001</v>
      </c>
      <c r="L85" s="21">
        <v>17634313.489999998</v>
      </c>
      <c r="M85" s="25">
        <f>(+K85-L85)/L85</f>
        <v>0.10626815560825116</v>
      </c>
      <c r="N85" s="10"/>
      <c r="R85" s="2"/>
    </row>
    <row r="86" spans="1:18" ht="15.75" customHeight="1" thickBot="1" x14ac:dyDescent="0.3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Top="1" thickBot="1" x14ac:dyDescent="0.3">
      <c r="A87" s="39" t="s">
        <v>14</v>
      </c>
      <c r="B87" s="40"/>
      <c r="C87" s="41">
        <f>SUM(C81:C86)</f>
        <v>2115724</v>
      </c>
      <c r="D87" s="41">
        <f>SUM(D81:D86)</f>
        <v>2233893</v>
      </c>
      <c r="E87" s="280">
        <f>(+C87-D87)/D87</f>
        <v>-5.2898236397177487E-2</v>
      </c>
      <c r="F87" s="41">
        <f>SUM(F81:F86)</f>
        <v>1142563</v>
      </c>
      <c r="G87" s="41">
        <f>SUM(G81:G86)</f>
        <v>1157032</v>
      </c>
      <c r="H87" s="42">
        <f>(+F87-G87)/G87</f>
        <v>-1.2505272110019429E-2</v>
      </c>
      <c r="I87" s="43">
        <f>K87/C87</f>
        <v>44.019036344060005</v>
      </c>
      <c r="J87" s="43">
        <f>K87/F87</f>
        <v>81.511594240317606</v>
      </c>
      <c r="K87" s="41">
        <f>SUM(K81:K86)</f>
        <v>93132131.650000006</v>
      </c>
      <c r="L87" s="41">
        <f>SUM(L81:L86)</f>
        <v>92513585.829999998</v>
      </c>
      <c r="M87" s="44">
        <f>(+K87-L87)/L87</f>
        <v>6.6859998393817288E-3</v>
      </c>
      <c r="N87" s="10"/>
      <c r="R87" s="2"/>
    </row>
    <row r="88" spans="1:18" ht="15.75" customHeight="1" thickTop="1" x14ac:dyDescent="0.2">
      <c r="A88" s="58"/>
      <c r="B88" s="59"/>
      <c r="C88" s="59"/>
      <c r="D88" s="59"/>
      <c r="E88" s="60"/>
      <c r="F88" s="59"/>
      <c r="G88" s="59"/>
      <c r="H88" s="60"/>
      <c r="I88" s="59"/>
      <c r="J88" s="59"/>
      <c r="K88" s="197"/>
      <c r="L88" s="197"/>
      <c r="M88" s="61"/>
      <c r="N88" s="10"/>
      <c r="R88" s="2"/>
    </row>
    <row r="89" spans="1:18" ht="15" customHeight="1" x14ac:dyDescent="0.25">
      <c r="A89" s="19" t="s">
        <v>59</v>
      </c>
      <c r="B89" s="20">
        <f>DATE(2018,7,1)</f>
        <v>43282</v>
      </c>
      <c r="C89" s="21">
        <v>63934</v>
      </c>
      <c r="D89" s="21">
        <v>62927</v>
      </c>
      <c r="E89" s="23">
        <f>(+C89-D89)/D89</f>
        <v>1.6002669760198325E-2</v>
      </c>
      <c r="F89" s="21">
        <f>+C89-30110</f>
        <v>33824</v>
      </c>
      <c r="G89" s="21">
        <f>+D89-30201</f>
        <v>32726</v>
      </c>
      <c r="H89" s="23">
        <f>(+F89-G89)/G89</f>
        <v>3.3551304772963392E-2</v>
      </c>
      <c r="I89" s="24">
        <f>K89/C89</f>
        <v>44.104667156755404</v>
      </c>
      <c r="J89" s="24">
        <f>K89/F89</f>
        <v>83.366479127246933</v>
      </c>
      <c r="K89" s="21">
        <v>2819787.79</v>
      </c>
      <c r="L89" s="21">
        <v>2929610.63</v>
      </c>
      <c r="M89" s="25">
        <f>(+K89-L89)/L89</f>
        <v>-3.748717965294926E-2</v>
      </c>
      <c r="N89" s="10"/>
      <c r="R89" s="2"/>
    </row>
    <row r="90" spans="1:18" ht="15" customHeight="1" x14ac:dyDescent="0.25">
      <c r="A90" s="19"/>
      <c r="B90" s="20">
        <f>DATE(2018,8,1)</f>
        <v>43313</v>
      </c>
      <c r="C90" s="21">
        <v>61004</v>
      </c>
      <c r="D90" s="21">
        <v>58528</v>
      </c>
      <c r="E90" s="23">
        <f>(+C90-D90)/D90</f>
        <v>4.2304537998906509E-2</v>
      </c>
      <c r="F90" s="21">
        <f>+C90-29259</f>
        <v>31745</v>
      </c>
      <c r="G90" s="21">
        <f>+D90-27538</f>
        <v>30990</v>
      </c>
      <c r="H90" s="23">
        <f>(+F90-G90)/G90</f>
        <v>2.436269764440142E-2</v>
      </c>
      <c r="I90" s="24">
        <f>K90/C90</f>
        <v>45.564104157104452</v>
      </c>
      <c r="J90" s="24">
        <f>K90/F90</f>
        <v>87.560012915419748</v>
      </c>
      <c r="K90" s="21">
        <v>2779592.61</v>
      </c>
      <c r="L90" s="21">
        <v>2672799.7599999998</v>
      </c>
      <c r="M90" s="25">
        <f>(+K90-L90)/L90</f>
        <v>3.9955424868790057E-2</v>
      </c>
      <c r="N90" s="10"/>
      <c r="R90" s="2"/>
    </row>
    <row r="91" spans="1:18" ht="15" customHeight="1" x14ac:dyDescent="0.25">
      <c r="A91" s="19"/>
      <c r="B91" s="20">
        <f>DATE(2018,9,1)</f>
        <v>43344</v>
      </c>
      <c r="C91" s="21">
        <v>57391</v>
      </c>
      <c r="D91" s="21">
        <v>59418</v>
      </c>
      <c r="E91" s="23">
        <f>(+C91-D91)/D91</f>
        <v>-3.4114241475647109E-2</v>
      </c>
      <c r="F91" s="21">
        <f>+C91-27760</f>
        <v>29631</v>
      </c>
      <c r="G91" s="21">
        <f>+D91-28421</f>
        <v>30997</v>
      </c>
      <c r="H91" s="23">
        <f>(+F91-G91)/G91</f>
        <v>-4.4068780849759653E-2</v>
      </c>
      <c r="I91" s="24">
        <f>K91/C91</f>
        <v>45.601388196755586</v>
      </c>
      <c r="J91" s="24">
        <f>K91/F91</f>
        <v>88.323352907428031</v>
      </c>
      <c r="K91" s="21">
        <v>2617109.27</v>
      </c>
      <c r="L91" s="21">
        <v>2764418.67</v>
      </c>
      <c r="M91" s="25">
        <f>(+K91-L91)/L91</f>
        <v>-5.3287659209738991E-2</v>
      </c>
      <c r="N91" s="10"/>
      <c r="R91" s="2"/>
    </row>
    <row r="92" spans="1:18" ht="15" customHeight="1" x14ac:dyDescent="0.25">
      <c r="A92" s="19"/>
      <c r="B92" s="20">
        <f>DATE(2018,10,1)</f>
        <v>43374</v>
      </c>
      <c r="C92" s="21">
        <v>54970</v>
      </c>
      <c r="D92" s="21">
        <v>52864</v>
      </c>
      <c r="E92" s="23">
        <f>(+C92-D92)/D92</f>
        <v>3.9838075060532691E-2</v>
      </c>
      <c r="F92" s="21">
        <f>+C92-26236</f>
        <v>28734</v>
      </c>
      <c r="G92" s="21">
        <f>+D92-24998</f>
        <v>27866</v>
      </c>
      <c r="H92" s="23">
        <f>(+F92-G92)/G92</f>
        <v>3.1149070551927078E-2</v>
      </c>
      <c r="I92" s="24">
        <f>K92/C92</f>
        <v>46.124502092050207</v>
      </c>
      <c r="J92" s="24">
        <f>K92/F92</f>
        <v>88.239155008004445</v>
      </c>
      <c r="K92" s="21">
        <v>2535463.88</v>
      </c>
      <c r="L92" s="21">
        <v>2564041.46</v>
      </c>
      <c r="M92" s="25">
        <f>(+K92-L92)/L92</f>
        <v>-1.1145521804471942E-2</v>
      </c>
      <c r="N92" s="10"/>
      <c r="R92" s="2"/>
    </row>
    <row r="93" spans="1:18" ht="15" customHeight="1" x14ac:dyDescent="0.25">
      <c r="A93" s="19"/>
      <c r="B93" s="20">
        <f>DATE(2018,11,1)</f>
        <v>43405</v>
      </c>
      <c r="C93" s="21">
        <v>49028</v>
      </c>
      <c r="D93" s="21">
        <v>54003</v>
      </c>
      <c r="E93" s="23">
        <f>(+C93-D93)/D93</f>
        <v>-9.212451160120734E-2</v>
      </c>
      <c r="F93" s="21">
        <f>+C93-24232</f>
        <v>24796</v>
      </c>
      <c r="G93" s="21">
        <f>+D93-25453</f>
        <v>28550</v>
      </c>
      <c r="H93" s="23">
        <f>(+F93-G93)/G93</f>
        <v>-0.13148861646234675</v>
      </c>
      <c r="I93" s="24">
        <f>K93/C93</f>
        <v>49.04757873052133</v>
      </c>
      <c r="J93" s="24">
        <f>K93/F93</f>
        <v>96.979540651718011</v>
      </c>
      <c r="K93" s="21">
        <v>2404704.69</v>
      </c>
      <c r="L93" s="21">
        <v>2490796.4900000002</v>
      </c>
      <c r="M93" s="25">
        <f>(+K93-L93)/L93</f>
        <v>-3.4563963915012694E-2</v>
      </c>
      <c r="N93" s="10"/>
      <c r="R93" s="2"/>
    </row>
    <row r="94" spans="1:18" ht="15.75" thickBot="1" x14ac:dyDescent="0.25">
      <c r="A94" s="38"/>
      <c r="B94" s="20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Top="1" thickBot="1" x14ac:dyDescent="0.3">
      <c r="A95" s="62" t="s">
        <v>14</v>
      </c>
      <c r="B95" s="52"/>
      <c r="C95" s="48">
        <f>SUM(C89:C94)</f>
        <v>286327</v>
      </c>
      <c r="D95" s="48">
        <f>SUM(D89:D94)</f>
        <v>287740</v>
      </c>
      <c r="E95" s="280">
        <f>(+C95-D95)/D95</f>
        <v>-4.9106832557169666E-3</v>
      </c>
      <c r="F95" s="48">
        <f>SUM(F89:F94)</f>
        <v>148730</v>
      </c>
      <c r="G95" s="48">
        <f>SUM(G89:G94)</f>
        <v>151129</v>
      </c>
      <c r="H95" s="42">
        <f>(+F95-G95)/G95</f>
        <v>-1.5873856109681134E-2</v>
      </c>
      <c r="I95" s="50">
        <f>K95/C95</f>
        <v>45.949764569879896</v>
      </c>
      <c r="J95" s="50">
        <f>K95/F95</f>
        <v>88.460016405567131</v>
      </c>
      <c r="K95" s="48">
        <f>SUM(K89:K94)</f>
        <v>13156658.24</v>
      </c>
      <c r="L95" s="48">
        <f>SUM(L89:L94)</f>
        <v>13421667.01</v>
      </c>
      <c r="M95" s="44">
        <f>(+K95-L95)/L95</f>
        <v>-1.9744847626047574E-2</v>
      </c>
      <c r="N95" s="10"/>
      <c r="R95" s="2"/>
    </row>
    <row r="96" spans="1:18" ht="15.75" customHeight="1" thickTop="1" x14ac:dyDescent="0.25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5.75" x14ac:dyDescent="0.25">
      <c r="A97" s="19" t="s">
        <v>19</v>
      </c>
      <c r="B97" s="20">
        <f>DATE(2018,7,1)</f>
        <v>43282</v>
      </c>
      <c r="C97" s="21">
        <v>470354</v>
      </c>
      <c r="D97" s="21">
        <v>504566</v>
      </c>
      <c r="E97" s="23">
        <f>(+C97-D97)/D97</f>
        <v>-6.7804806506978274E-2</v>
      </c>
      <c r="F97" s="21">
        <f>+C97-224841</f>
        <v>245513</v>
      </c>
      <c r="G97" s="21">
        <f>+D97-244721</f>
        <v>259845</v>
      </c>
      <c r="H97" s="23">
        <f>(+F97-G97)/G97</f>
        <v>-5.5155958359791417E-2</v>
      </c>
      <c r="I97" s="24">
        <f>K97/C97</f>
        <v>49.791339671821653</v>
      </c>
      <c r="J97" s="24">
        <f>K97/F97</f>
        <v>95.390288009188922</v>
      </c>
      <c r="K97" s="21">
        <v>23419555.780000001</v>
      </c>
      <c r="L97" s="21">
        <v>23735238.920000002</v>
      </c>
      <c r="M97" s="25">
        <f>(+K97-L97)/L97</f>
        <v>-1.3300188005859795E-2</v>
      </c>
      <c r="N97" s="10"/>
      <c r="R97" s="2"/>
    </row>
    <row r="98" spans="1:18" ht="15.75" x14ac:dyDescent="0.25">
      <c r="A98" s="19"/>
      <c r="B98" s="20">
        <f>DATE(2018,8,1)</f>
        <v>43313</v>
      </c>
      <c r="C98" s="21">
        <v>474935</v>
      </c>
      <c r="D98" s="21">
        <v>457218</v>
      </c>
      <c r="E98" s="23">
        <f>(+C98-D98)/D98</f>
        <v>3.8749568039753463E-2</v>
      </c>
      <c r="F98" s="21">
        <f>+C98-232414</f>
        <v>242521</v>
      </c>
      <c r="G98" s="21">
        <f>+D98-220228</f>
        <v>236990</v>
      </c>
      <c r="H98" s="23">
        <f>(+F98-G98)/G98</f>
        <v>2.3338537491033377E-2</v>
      </c>
      <c r="I98" s="24">
        <f>K98/C98</f>
        <v>50.253279522460964</v>
      </c>
      <c r="J98" s="24">
        <f>K98/F98</f>
        <v>98.412266607840138</v>
      </c>
      <c r="K98" s="21">
        <v>23867041.309999999</v>
      </c>
      <c r="L98" s="21">
        <v>21406025.879999999</v>
      </c>
      <c r="M98" s="25">
        <f>(+K98-L98)/L98</f>
        <v>0.11496834787532266</v>
      </c>
      <c r="N98" s="10"/>
      <c r="R98" s="2"/>
    </row>
    <row r="99" spans="1:18" ht="15.75" x14ac:dyDescent="0.25">
      <c r="A99" s="19"/>
      <c r="B99" s="20">
        <f>DATE(2018,9,1)</f>
        <v>43344</v>
      </c>
      <c r="C99" s="21">
        <v>439040</v>
      </c>
      <c r="D99" s="21">
        <v>469781</v>
      </c>
      <c r="E99" s="23">
        <f>(+C99-D99)/D99</f>
        <v>-6.5436873777355825E-2</v>
      </c>
      <c r="F99" s="21">
        <f>+C99-213778</f>
        <v>225262</v>
      </c>
      <c r="G99" s="21">
        <f>+D99-233419</f>
        <v>236362</v>
      </c>
      <c r="H99" s="23">
        <f>(+F99-G99)/G99</f>
        <v>-4.6961863582132495E-2</v>
      </c>
      <c r="I99" s="24">
        <f>K99/C99</f>
        <v>49.367473442055392</v>
      </c>
      <c r="J99" s="24">
        <f>K99/F99</f>
        <v>96.218161696158248</v>
      </c>
      <c r="K99" s="21">
        <v>21674295.539999999</v>
      </c>
      <c r="L99" s="21">
        <v>22005324.359999999</v>
      </c>
      <c r="M99" s="25">
        <f>(+K99-L99)/L99</f>
        <v>-1.5043123863319427E-2</v>
      </c>
      <c r="N99" s="10"/>
      <c r="R99" s="2"/>
    </row>
    <row r="100" spans="1:18" ht="15.75" x14ac:dyDescent="0.25">
      <c r="A100" s="19"/>
      <c r="B100" s="20">
        <f>DATE(2018,10,1)</f>
        <v>43374</v>
      </c>
      <c r="C100" s="21">
        <v>422287</v>
      </c>
      <c r="D100" s="21">
        <v>443959</v>
      </c>
      <c r="E100" s="23">
        <f>(+C100-D100)/D100</f>
        <v>-4.8815318531666214E-2</v>
      </c>
      <c r="F100" s="21">
        <f>+C100-199383</f>
        <v>222904</v>
      </c>
      <c r="G100" s="21">
        <f>+D100-215005</f>
        <v>228954</v>
      </c>
      <c r="H100" s="23">
        <f>(+F100-G100)/G100</f>
        <v>-2.6424521956375516E-2</v>
      </c>
      <c r="I100" s="24">
        <f>K100/C100</f>
        <v>49.147177322531832</v>
      </c>
      <c r="J100" s="24">
        <f>K100/F100</f>
        <v>93.108307029034918</v>
      </c>
      <c r="K100" s="21">
        <v>20754214.07</v>
      </c>
      <c r="L100" s="21">
        <v>21053075.300000001</v>
      </c>
      <c r="M100" s="25">
        <f>(+K100-L100)/L100</f>
        <v>-1.419560922769323E-2</v>
      </c>
      <c r="N100" s="10"/>
      <c r="R100" s="2"/>
    </row>
    <row r="101" spans="1:18" ht="15.75" x14ac:dyDescent="0.25">
      <c r="A101" s="19"/>
      <c r="B101" s="20">
        <f>DATE(2018,11,1)</f>
        <v>43405</v>
      </c>
      <c r="C101" s="21">
        <v>425527</v>
      </c>
      <c r="D101" s="21">
        <v>438651</v>
      </c>
      <c r="E101" s="23">
        <f>(+C101-D101)/D101</f>
        <v>-2.9919001666472891E-2</v>
      </c>
      <c r="F101" s="21">
        <f>+C101-204971</f>
        <v>220556</v>
      </c>
      <c r="G101" s="21">
        <f>+D101-216495</f>
        <v>222156</v>
      </c>
      <c r="H101" s="23">
        <f>(+F101-G101)/G101</f>
        <v>-7.2021462395793949E-3</v>
      </c>
      <c r="I101" s="24">
        <f>K101/C101</f>
        <v>50.26108846207174</v>
      </c>
      <c r="J101" s="24">
        <f>K101/F101</f>
        <v>96.970611500027204</v>
      </c>
      <c r="K101" s="21">
        <v>21387450.190000001</v>
      </c>
      <c r="L101" s="21">
        <v>20908979.129999999</v>
      </c>
      <c r="M101" s="25">
        <f>(+K101-L101)/L101</f>
        <v>2.2883520856046807E-2</v>
      </c>
      <c r="N101" s="10"/>
      <c r="R101" s="2"/>
    </row>
    <row r="102" spans="1:18" ht="15.75" thickBot="1" x14ac:dyDescent="0.25">
      <c r="A102" s="38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Top="1" thickBot="1" x14ac:dyDescent="0.3">
      <c r="A103" s="39" t="s">
        <v>14</v>
      </c>
      <c r="B103" s="40"/>
      <c r="C103" s="41">
        <f>SUM(C97:C102)</f>
        <v>2232143</v>
      </c>
      <c r="D103" s="41">
        <f>SUM(D97:D102)</f>
        <v>2314175</v>
      </c>
      <c r="E103" s="280">
        <f>(+C103-D103)/D103</f>
        <v>-3.5447621722644138E-2</v>
      </c>
      <c r="F103" s="41">
        <f>SUM(F97:F102)</f>
        <v>1156756</v>
      </c>
      <c r="G103" s="41">
        <f>SUM(G97:G102)</f>
        <v>1184307</v>
      </c>
      <c r="H103" s="42">
        <f>(+F103-G103)/G103</f>
        <v>-2.326339369774898E-2</v>
      </c>
      <c r="I103" s="43">
        <f>K103/C103</f>
        <v>49.773942301187688</v>
      </c>
      <c r="J103" s="43">
        <f>K103/F103</f>
        <v>96.046665753192542</v>
      </c>
      <c r="K103" s="41">
        <f>SUM(K97:K102)</f>
        <v>111102556.88999999</v>
      </c>
      <c r="L103" s="41">
        <f>SUM(L97:L102)</f>
        <v>109108643.58999999</v>
      </c>
      <c r="M103" s="44">
        <f>(+K103-L103)/L103</f>
        <v>1.8274567755535209E-2</v>
      </c>
      <c r="N103" s="10"/>
      <c r="R103" s="2"/>
    </row>
    <row r="104" spans="1:18" ht="15.75" customHeight="1" thickTop="1" x14ac:dyDescent="0.25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5.75" x14ac:dyDescent="0.25">
      <c r="A105" s="19" t="s">
        <v>63</v>
      </c>
      <c r="B105" s="20">
        <f>DATE(2018,7,1)</f>
        <v>43282</v>
      </c>
      <c r="C105" s="21">
        <v>83462</v>
      </c>
      <c r="D105" s="21">
        <v>79906</v>
      </c>
      <c r="E105" s="23">
        <f>(+C105-D105)/D105</f>
        <v>4.4502290190974396E-2</v>
      </c>
      <c r="F105" s="21">
        <f>+C105-37670</f>
        <v>45792</v>
      </c>
      <c r="G105" s="21">
        <f>+D105-36860</f>
        <v>43046</v>
      </c>
      <c r="H105" s="23">
        <f>(+F105-G105)/G105</f>
        <v>6.379222227384658E-2</v>
      </c>
      <c r="I105" s="24">
        <f>K105/C105</f>
        <v>43.092575064101027</v>
      </c>
      <c r="J105" s="24">
        <f>K105/F105</f>
        <v>78.541939640111806</v>
      </c>
      <c r="K105" s="21">
        <v>3596592.5</v>
      </c>
      <c r="L105" s="21">
        <v>3314806.15</v>
      </c>
      <c r="M105" s="25">
        <f>(+K105-L105)/L105</f>
        <v>8.5008394834793014E-2</v>
      </c>
      <c r="N105" s="10"/>
      <c r="R105" s="2"/>
    </row>
    <row r="106" spans="1:18" ht="15.75" x14ac:dyDescent="0.25">
      <c r="A106" s="19"/>
      <c r="B106" s="20">
        <f>DATE(2018,8,1)</f>
        <v>43313</v>
      </c>
      <c r="C106" s="21">
        <v>82775</v>
      </c>
      <c r="D106" s="21">
        <v>79783</v>
      </c>
      <c r="E106" s="23">
        <f>(+C106-D106)/D106</f>
        <v>3.7501723424789739E-2</v>
      </c>
      <c r="F106" s="21">
        <f>+C106-37255</f>
        <v>45520</v>
      </c>
      <c r="G106" s="21">
        <f>+D106-35821</f>
        <v>43962</v>
      </c>
      <c r="H106" s="23">
        <f>(+F106-G106)/G106</f>
        <v>3.5439697920931712E-2</v>
      </c>
      <c r="I106" s="24">
        <f>K106/C106</f>
        <v>43.964893868921777</v>
      </c>
      <c r="J106" s="24">
        <f>K106/F106</f>
        <v>79.947146089630934</v>
      </c>
      <c r="K106" s="21">
        <v>3639194.09</v>
      </c>
      <c r="L106" s="21">
        <v>3234719.93</v>
      </c>
      <c r="M106" s="25">
        <f>(+K106-L106)/L106</f>
        <v>0.12504147770221322</v>
      </c>
      <c r="N106" s="10"/>
      <c r="R106" s="2"/>
    </row>
    <row r="107" spans="1:18" ht="15.75" x14ac:dyDescent="0.25">
      <c r="A107" s="19"/>
      <c r="B107" s="20">
        <f>DATE(2018,9,1)</f>
        <v>43344</v>
      </c>
      <c r="C107" s="21">
        <v>77092</v>
      </c>
      <c r="D107" s="21">
        <v>84353</v>
      </c>
      <c r="E107" s="23">
        <f>(+C107-D107)/D107</f>
        <v>-8.6078740530864339E-2</v>
      </c>
      <c r="F107" s="21">
        <f>+C107-35421</f>
        <v>41671</v>
      </c>
      <c r="G107" s="21">
        <f>+D107-38205</f>
        <v>46148</v>
      </c>
      <c r="H107" s="23">
        <f>(+F107-G107)/G107</f>
        <v>-9.701395510097946E-2</v>
      </c>
      <c r="I107" s="24">
        <f>K107/C107</f>
        <v>44.389417838426816</v>
      </c>
      <c r="J107" s="24">
        <f>K107/F107</f>
        <v>82.12111540399799</v>
      </c>
      <c r="K107" s="21">
        <v>3422069</v>
      </c>
      <c r="L107" s="21">
        <v>3468398</v>
      </c>
      <c r="M107" s="25">
        <f>(+K107-L107)/L107</f>
        <v>-1.3357463589818701E-2</v>
      </c>
      <c r="N107" s="10"/>
      <c r="R107" s="2"/>
    </row>
    <row r="108" spans="1:18" ht="15.75" x14ac:dyDescent="0.25">
      <c r="A108" s="19"/>
      <c r="B108" s="20">
        <f>DATE(2018,10,1)</f>
        <v>43374</v>
      </c>
      <c r="C108" s="21">
        <v>82223</v>
      </c>
      <c r="D108" s="21">
        <v>80014</v>
      </c>
      <c r="E108" s="23">
        <f>(+C108-D108)/D108</f>
        <v>2.7607668657984853E-2</v>
      </c>
      <c r="F108" s="21">
        <f>+C108-37480</f>
        <v>44743</v>
      </c>
      <c r="G108" s="21">
        <f>+D108-36610</f>
        <v>43404</v>
      </c>
      <c r="H108" s="23">
        <f>(+F108-G108)/G108</f>
        <v>3.0849691272693762E-2</v>
      </c>
      <c r="I108" s="24">
        <f>K108/C108</f>
        <v>41.262334504943873</v>
      </c>
      <c r="J108" s="24">
        <f>K108/F108</f>
        <v>75.82667523411483</v>
      </c>
      <c r="K108" s="21">
        <v>3392712.93</v>
      </c>
      <c r="L108" s="21">
        <v>3370291.8</v>
      </c>
      <c r="M108" s="25">
        <f>(+K108-L108)/L108</f>
        <v>6.6525782723028185E-3</v>
      </c>
      <c r="N108" s="10"/>
      <c r="R108" s="2"/>
    </row>
    <row r="109" spans="1:18" ht="15.75" x14ac:dyDescent="0.25">
      <c r="A109" s="19"/>
      <c r="B109" s="20">
        <f>DATE(2018,11,1)</f>
        <v>43405</v>
      </c>
      <c r="C109" s="21">
        <v>76303</v>
      </c>
      <c r="D109" s="21">
        <v>81471</v>
      </c>
      <c r="E109" s="23">
        <f>(+C109-D109)/D109</f>
        <v>-6.3433614414945189E-2</v>
      </c>
      <c r="F109" s="21">
        <f>+C109-35181</f>
        <v>41122</v>
      </c>
      <c r="G109" s="21">
        <f>+D109-37675</f>
        <v>43796</v>
      </c>
      <c r="H109" s="23">
        <f>(+F109-G109)/G109</f>
        <v>-6.1055804183030415E-2</v>
      </c>
      <c r="I109" s="24">
        <f>K109/C109</f>
        <v>44.119836048386041</v>
      </c>
      <c r="J109" s="24">
        <f>K109/F109</f>
        <v>81.865567093040227</v>
      </c>
      <c r="K109" s="21">
        <v>3366475.85</v>
      </c>
      <c r="L109" s="21">
        <v>3424537.07</v>
      </c>
      <c r="M109" s="25">
        <f>(+K109-L109)/L109</f>
        <v>-1.6954472623068945E-2</v>
      </c>
      <c r="N109" s="10"/>
      <c r="R109" s="2"/>
    </row>
    <row r="110" spans="1:18" ht="15.75" thickBot="1" x14ac:dyDescent="0.25">
      <c r="A110" s="38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Top="1" thickBot="1" x14ac:dyDescent="0.3">
      <c r="A111" s="26" t="s">
        <v>14</v>
      </c>
      <c r="B111" s="27"/>
      <c r="C111" s="28">
        <f>SUM(C105:C110)</f>
        <v>401855</v>
      </c>
      <c r="D111" s="28">
        <f>SUM(D105:D110)</f>
        <v>405527</v>
      </c>
      <c r="E111" s="280">
        <f>(+C111-D111)/D111</f>
        <v>-9.0548841384174173E-3</v>
      </c>
      <c r="F111" s="28">
        <f>SUM(F105:F110)</f>
        <v>218848</v>
      </c>
      <c r="G111" s="28">
        <f>SUM(G105:G110)</f>
        <v>220356</v>
      </c>
      <c r="H111" s="42">
        <f>(+F111-G111)/G111</f>
        <v>-6.8434714734338983E-3</v>
      </c>
      <c r="I111" s="43">
        <f>K111/C111</f>
        <v>43.3416141891976</v>
      </c>
      <c r="J111" s="43">
        <f>K111/F111</f>
        <v>79.585120129039339</v>
      </c>
      <c r="K111" s="28">
        <f>SUM(K105:K110)</f>
        <v>17417044.370000001</v>
      </c>
      <c r="L111" s="28">
        <f>SUM(L105:L110)</f>
        <v>16812752.949999999</v>
      </c>
      <c r="M111" s="44">
        <f>(+K111-L111)/L111</f>
        <v>3.5942443322466225E-2</v>
      </c>
      <c r="N111" s="10"/>
      <c r="R111" s="2"/>
    </row>
    <row r="112" spans="1:18" ht="16.5" thickTop="1" thickBot="1" x14ac:dyDescent="0.25">
      <c r="A112" s="63"/>
      <c r="B112" s="34"/>
      <c r="C112" s="35"/>
      <c r="D112" s="35"/>
      <c r="E112" s="29"/>
      <c r="F112" s="35"/>
      <c r="G112" s="35"/>
      <c r="H112" s="29"/>
      <c r="I112" s="36"/>
      <c r="J112" s="36"/>
      <c r="K112" s="35"/>
      <c r="L112" s="35"/>
      <c r="M112" s="37"/>
      <c r="N112" s="10"/>
      <c r="R112" s="2"/>
    </row>
    <row r="113" spans="1:18" ht="17.25" thickTop="1" thickBot="1" x14ac:dyDescent="0.3">
      <c r="A113" s="64" t="s">
        <v>20</v>
      </c>
      <c r="B113" s="65"/>
      <c r="C113" s="28">
        <f>C111+C103+C47+C63+C71+C31+C15+C79+C87+C39+C95+C23+C55</f>
        <v>15915301</v>
      </c>
      <c r="D113" s="28">
        <f>D111+D103+D47+D63+D71+D31+D15+D79+D87+D39+D95+D23+D55</f>
        <v>16587541</v>
      </c>
      <c r="E113" s="279">
        <f>(+C113-D113)/D113</f>
        <v>-4.0526802616493912E-2</v>
      </c>
      <c r="F113" s="28">
        <f>F111+F103+F47+F63+F71+F31+F15+F79+F87+F39+F95+F23+F55</f>
        <v>8375536</v>
      </c>
      <c r="G113" s="28">
        <f>G111+G103+G47+G63+G71+G31+G15+G79+G87+G39+G95+G23+G55</f>
        <v>8618500</v>
      </c>
      <c r="H113" s="30">
        <f>(+F113-G113)/G113</f>
        <v>-2.8190984510065558E-2</v>
      </c>
      <c r="I113" s="31">
        <f>K113/C113</f>
        <v>45.362986776059095</v>
      </c>
      <c r="J113" s="31">
        <f>K113/F113</f>
        <v>86.199329666781935</v>
      </c>
      <c r="K113" s="28">
        <f>K111+K103+K47+K63+K71+K31+K15+K79+K87+K39+K95+K23+K55</f>
        <v>721965588.80000007</v>
      </c>
      <c r="L113" s="28">
        <f>L111+L103+L47+L63+L71+L31+L15+L79+L87+L39+L95+L23+L55</f>
        <v>716998247.78999996</v>
      </c>
      <c r="M113" s="32">
        <f>(+K113-L113)/L113</f>
        <v>6.927968130062967E-3</v>
      </c>
      <c r="N113" s="10"/>
      <c r="R113" s="2"/>
    </row>
    <row r="114" spans="1:18" ht="17.25" thickTop="1" thickBot="1" x14ac:dyDescent="0.3">
      <c r="A114" s="64"/>
      <c r="B114" s="65"/>
      <c r="C114" s="28"/>
      <c r="D114" s="28"/>
      <c r="E114" s="29"/>
      <c r="F114" s="28"/>
      <c r="G114" s="28"/>
      <c r="H114" s="30"/>
      <c r="I114" s="31"/>
      <c r="J114" s="31"/>
      <c r="K114" s="28"/>
      <c r="L114" s="28"/>
      <c r="M114" s="32"/>
      <c r="N114" s="10"/>
      <c r="R114" s="2"/>
    </row>
    <row r="115" spans="1:18" ht="17.25" thickTop="1" thickBot="1" x14ac:dyDescent="0.3">
      <c r="A115" s="64" t="s">
        <v>21</v>
      </c>
      <c r="B115" s="65"/>
      <c r="C115" s="28">
        <f>+C13+C21+C29+C37+C45+C53+C61+C69+C77+C85+C93+C101+C109</f>
        <v>2963906</v>
      </c>
      <c r="D115" s="28">
        <f>+D13+D21+D29+D37+D45+D53+D61+D69+D77+D85+D93+D101+D109</f>
        <v>3110218</v>
      </c>
      <c r="E115" s="279">
        <f>(+C115-D115)/D115</f>
        <v>-4.7042361660822492E-2</v>
      </c>
      <c r="F115" s="28">
        <f>+F13+F21+F29+F37+F45+F53+F61+F69+F77+F85+F93+F101+F109</f>
        <v>1553865</v>
      </c>
      <c r="G115" s="28">
        <f>+G13+G21+G29+G37+G45+G53+G61+G69+G77+G85+G93+G101+G109</f>
        <v>1602768</v>
      </c>
      <c r="H115" s="30">
        <f>(+F115-G115)/G115</f>
        <v>-3.051158994938756E-2</v>
      </c>
      <c r="I115" s="31">
        <f>K115/C115</f>
        <v>46.609800644824766</v>
      </c>
      <c r="J115" s="31">
        <f>K115/F115</f>
        <v>88.905450467061158</v>
      </c>
      <c r="K115" s="28">
        <f>+K13+K21+K29+K37+K45+K53+K61+K69+K77+K85+K93+K101+K109</f>
        <v>138147067.78999999</v>
      </c>
      <c r="L115" s="28">
        <f>+L13+L21+L29+L37+L45+L53+L61+L69+L77+L85+L93+L101+L109</f>
        <v>137823132.48999998</v>
      </c>
      <c r="M115" s="44">
        <f>(+K115-L115)/L115</f>
        <v>2.350369594331457E-3</v>
      </c>
      <c r="N115" s="10"/>
      <c r="R115" s="2"/>
    </row>
    <row r="116" spans="1:18" ht="15.75" thickTop="1" x14ac:dyDescent="0.2">
      <c r="A116" s="66"/>
      <c r="B116" s="67"/>
      <c r="C116" s="68"/>
      <c r="D116" s="67"/>
      <c r="E116" s="67"/>
      <c r="F116" s="67"/>
      <c r="G116" s="67"/>
      <c r="H116" s="67"/>
      <c r="I116" s="67"/>
      <c r="J116" s="67"/>
      <c r="K116" s="68"/>
      <c r="L116" s="68"/>
      <c r="M116" s="67"/>
      <c r="R116" s="2"/>
    </row>
    <row r="117" spans="1:18" ht="18.75" x14ac:dyDescent="0.3">
      <c r="A117" s="264" t="s">
        <v>22</v>
      </c>
      <c r="B117" s="70"/>
      <c r="C117" s="71"/>
      <c r="D117" s="71"/>
      <c r="E117" s="71"/>
      <c r="F117" s="71"/>
      <c r="G117" s="71"/>
      <c r="H117" s="71"/>
      <c r="I117" s="71"/>
      <c r="J117" s="71"/>
      <c r="K117" s="198"/>
      <c r="L117" s="198"/>
      <c r="M117" s="71"/>
      <c r="N117" s="2"/>
      <c r="O117" s="2"/>
      <c r="P117" s="2"/>
      <c r="Q117" s="2"/>
      <c r="R117" s="2"/>
    </row>
    <row r="118" spans="1:18" ht="18" x14ac:dyDescent="0.25">
      <c r="A118" s="69"/>
      <c r="B118" s="70"/>
      <c r="C118" s="71"/>
      <c r="D118" s="71"/>
      <c r="E118" s="71"/>
      <c r="F118" s="71"/>
      <c r="G118" s="71"/>
      <c r="H118" s="71"/>
      <c r="I118" s="71"/>
      <c r="J118" s="71"/>
      <c r="K118" s="198"/>
      <c r="L118" s="198"/>
      <c r="M118" s="71"/>
      <c r="N118" s="2"/>
      <c r="O118" s="2"/>
      <c r="P118" s="2"/>
      <c r="Q118" s="2"/>
      <c r="R118" s="2"/>
    </row>
    <row r="119" spans="1:18" ht="15.75" x14ac:dyDescent="0.25">
      <c r="A119" s="72"/>
      <c r="B119" s="73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73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73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x14ac:dyDescent="0.2">
      <c r="A122" s="2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x14ac:dyDescent="0.2">
      <c r="A125" s="2"/>
      <c r="B125" s="73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x14ac:dyDescent="0.2">
      <c r="A126" s="2"/>
      <c r="B126" s="73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x14ac:dyDescent="0.2">
      <c r="A127" s="2"/>
      <c r="B127" s="73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73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4"/>
      <c r="N128" s="2"/>
      <c r="O128" s="2"/>
      <c r="P128" s="2"/>
      <c r="Q128" s="2"/>
      <c r="R128" s="2"/>
    </row>
    <row r="129" spans="1:18" x14ac:dyDescent="0.2">
      <c r="A129" s="2"/>
      <c r="B129" s="73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4"/>
      <c r="N129" s="2"/>
      <c r="O129" s="2"/>
      <c r="P129" s="2"/>
      <c r="Q129" s="2"/>
      <c r="R129" s="2"/>
    </row>
    <row r="130" spans="1:18" x14ac:dyDescent="0.2">
      <c r="A130" s="2"/>
      <c r="B130" s="70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4"/>
      <c r="N130" s="2"/>
      <c r="O130" s="2"/>
      <c r="P130" s="2"/>
      <c r="Q130" s="2"/>
      <c r="R130" s="2"/>
    </row>
    <row r="131" spans="1:18" ht="15.75" x14ac:dyDescent="0.25">
      <c r="A131" s="76"/>
      <c r="B131" s="70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.75" x14ac:dyDescent="0.25">
      <c r="A132" s="76"/>
      <c r="B132" s="70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.75" x14ac:dyDescent="0.25">
      <c r="A133" s="76"/>
      <c r="B133" s="70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70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 x14ac:dyDescent="0.25">
      <c r="A135" s="76"/>
      <c r="B135" s="73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77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x14ac:dyDescent="0.2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.75" x14ac:dyDescent="0.25">
      <c r="A148" s="76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.75" x14ac:dyDescent="0.25">
      <c r="A151" s="76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 x14ac:dyDescent="0.25">
      <c r="A152" s="76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 x14ac:dyDescent="0.25">
      <c r="A153" s="76"/>
      <c r="B153" s="77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77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77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77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77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.75" x14ac:dyDescent="0.25">
      <c r="A166" s="76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.75" x14ac:dyDescent="0.25">
      <c r="A169" s="76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.75" x14ac:dyDescent="0.25">
      <c r="A175" s="76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.75" x14ac:dyDescent="0.25">
      <c r="A178" s="76"/>
      <c r="B178" s="76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2" manualBreakCount="2">
    <brk id="55" max="12" man="1"/>
    <brk id="10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16.21875" style="80" customWidth="1"/>
    <col min="5" max="5" width="13.6640625" style="80" customWidth="1"/>
    <col min="6" max="6" width="14.33203125" style="80" customWidth="1"/>
    <col min="7" max="7" width="21.44140625" style="80" customWidth="1"/>
    <col min="8" max="8" width="17.8867187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 x14ac:dyDescent="0.2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DATE(2018,7,1)</f>
        <v>43282</v>
      </c>
      <c r="B10" s="89">
        <f>'MONTHLY STATS'!$C$9*2</f>
        <v>522912</v>
      </c>
      <c r="C10" s="89">
        <f>'MONTHLY STATS'!$C$17*2</f>
        <v>284954</v>
      </c>
      <c r="D10" s="89">
        <f>'MONTHLY STATS'!$C$25*2</f>
        <v>145820</v>
      </c>
      <c r="E10" s="89">
        <f>'MONTHLY STATS'!$C$33*2</f>
        <v>931784</v>
      </c>
      <c r="F10" s="89">
        <f>'MONTHLY STATS'!$C$41*2</f>
        <v>578334</v>
      </c>
      <c r="G10" s="89">
        <f>'MONTHLY STATS'!$C$49*2</f>
        <v>258320</v>
      </c>
      <c r="H10" s="89">
        <f>'MONTHLY STATS'!$C$57*2</f>
        <v>328480</v>
      </c>
      <c r="I10" s="89">
        <f>'MONTHLY STATS'!$C$65*2</f>
        <v>776606</v>
      </c>
      <c r="J10" s="89">
        <f>'MONTHLY STATS'!$C$73*2</f>
        <v>827460</v>
      </c>
      <c r="K10" s="89">
        <f>'MONTHLY STATS'!$C$81*2</f>
        <v>874426</v>
      </c>
      <c r="L10" s="89">
        <f>'MONTHLY STATS'!$C$89*2</f>
        <v>127868</v>
      </c>
      <c r="M10" s="89">
        <f>'MONTHLY STATS'!$C$97*2</f>
        <v>940708</v>
      </c>
      <c r="N10" s="89">
        <f>'MONTHLY STATS'!$C$105*2</f>
        <v>166924</v>
      </c>
      <c r="O10" s="90">
        <f>SUM(B10:N10)</f>
        <v>6764596</v>
      </c>
      <c r="P10" s="83"/>
    </row>
    <row r="11" spans="1:16" ht="15.75" x14ac:dyDescent="0.25">
      <c r="A11" s="88">
        <f>DATE(2018,8,1)</f>
        <v>43313</v>
      </c>
      <c r="B11" s="89">
        <f>'MONTHLY STATS'!$C$10*2</f>
        <v>532734</v>
      </c>
      <c r="C11" s="89">
        <f>'MONTHLY STATS'!$C$18*2</f>
        <v>275664</v>
      </c>
      <c r="D11" s="89">
        <f>'MONTHLY STATS'!$C$26*2</f>
        <v>141194</v>
      </c>
      <c r="E11" s="89">
        <f>'MONTHLY STATS'!$C$34*2</f>
        <v>909144</v>
      </c>
      <c r="F11" s="89">
        <f>'MONTHLY STATS'!$C$42*2</f>
        <v>584264</v>
      </c>
      <c r="G11" s="89">
        <f>'MONTHLY STATS'!$C$50*2</f>
        <v>241720</v>
      </c>
      <c r="H11" s="89">
        <f>'MONTHLY STATS'!$C$58*2</f>
        <v>322250</v>
      </c>
      <c r="I11" s="89">
        <f>'MONTHLY STATS'!$C$66*2</f>
        <v>750294</v>
      </c>
      <c r="J11" s="89">
        <f>'MONTHLY STATS'!$C$74*2</f>
        <v>811668</v>
      </c>
      <c r="K11" s="89">
        <f>'MONTHLY STATS'!$C$82*2</f>
        <v>856870</v>
      </c>
      <c r="L11" s="89">
        <f>'MONTHLY STATS'!$C$90*2</f>
        <v>122008</v>
      </c>
      <c r="M11" s="89">
        <f>'MONTHLY STATS'!$C$98*2</f>
        <v>949870</v>
      </c>
      <c r="N11" s="89">
        <f>'MONTHLY STATS'!$C$106*2</f>
        <v>165550</v>
      </c>
      <c r="O11" s="90">
        <f>SUM(B11:N11)</f>
        <v>6663230</v>
      </c>
      <c r="P11" s="83"/>
    </row>
    <row r="12" spans="1:16" ht="15.75" x14ac:dyDescent="0.25">
      <c r="A12" s="88">
        <f>DATE(2018,9,1)</f>
        <v>43344</v>
      </c>
      <c r="B12" s="89">
        <f>'MONTHLY STATS'!$C$11*2</f>
        <v>527252</v>
      </c>
      <c r="C12" s="89">
        <f>'MONTHLY STATS'!$C$19*2</f>
        <v>274524</v>
      </c>
      <c r="D12" s="89">
        <f>'MONTHLY STATS'!$C$27*2</f>
        <v>136610</v>
      </c>
      <c r="E12" s="89">
        <f>'MONTHLY STATS'!$C$35*2</f>
        <v>801390</v>
      </c>
      <c r="F12" s="89">
        <f>'MONTHLY STATS'!$C$43*2</f>
        <v>585910</v>
      </c>
      <c r="G12" s="89">
        <f>'MONTHLY STATS'!$C$51*2</f>
        <v>259142</v>
      </c>
      <c r="H12" s="89">
        <f>'MONTHLY STATS'!$C$59*2</f>
        <v>308386</v>
      </c>
      <c r="I12" s="89">
        <f>'MONTHLY STATS'!$C$67*2</f>
        <v>720682</v>
      </c>
      <c r="J12" s="89">
        <f>'MONTHLY STATS'!$C$75*2</f>
        <v>773024</v>
      </c>
      <c r="K12" s="89">
        <f>'MONTHLY STATS'!$C$83*2</f>
        <v>860976</v>
      </c>
      <c r="L12" s="89">
        <f>'MONTHLY STATS'!$C$91*2</f>
        <v>114782</v>
      </c>
      <c r="M12" s="89">
        <f>'MONTHLY STATS'!$C$99*2</f>
        <v>878080</v>
      </c>
      <c r="N12" s="89">
        <f>'MONTHLY STATS'!$C$107*2</f>
        <v>154184</v>
      </c>
      <c r="O12" s="90">
        <f>SUM(B12:N12)</f>
        <v>6394942</v>
      </c>
      <c r="P12" s="83"/>
    </row>
    <row r="13" spans="1:16" ht="15.75" x14ac:dyDescent="0.25">
      <c r="A13" s="88">
        <f>DATE(2018,10,1)</f>
        <v>43374</v>
      </c>
      <c r="B13" s="89">
        <f>'MONTHLY STATS'!$C$12*2</f>
        <v>528486</v>
      </c>
      <c r="C13" s="89">
        <f>'MONTHLY STATS'!$C$20*2</f>
        <v>239874</v>
      </c>
      <c r="D13" s="89">
        <f>'MONTHLY STATS'!$C$28*2</f>
        <v>125858</v>
      </c>
      <c r="E13" s="89">
        <f>'MONTHLY STATS'!$C$36*2</f>
        <v>771874</v>
      </c>
      <c r="F13" s="89">
        <f>'MONTHLY STATS'!$C$44*2</f>
        <v>566214</v>
      </c>
      <c r="G13" s="89">
        <f>'MONTHLY STATS'!$C$52*2</f>
        <v>232478</v>
      </c>
      <c r="H13" s="89">
        <f>'MONTHLY STATS'!$C$60*2</f>
        <v>306350</v>
      </c>
      <c r="I13" s="89">
        <f>'MONTHLY STATS'!$C$68*2</f>
        <v>667446</v>
      </c>
      <c r="J13" s="89">
        <f>'MONTHLY STATS'!$C$76*2</f>
        <v>707714</v>
      </c>
      <c r="K13" s="89">
        <f>'MONTHLY STATS'!$C$84*2</f>
        <v>814768</v>
      </c>
      <c r="L13" s="89">
        <f>'MONTHLY STATS'!$C$92*2</f>
        <v>109940</v>
      </c>
      <c r="M13" s="89">
        <f>'MONTHLY STATS'!$C$100*2</f>
        <v>844574</v>
      </c>
      <c r="N13" s="89">
        <f>'MONTHLY STATS'!$C$108*2</f>
        <v>164446</v>
      </c>
      <c r="O13" s="90">
        <f>SUM(B13:N13)</f>
        <v>6080022</v>
      </c>
      <c r="P13" s="83"/>
    </row>
    <row r="14" spans="1:16" ht="15.75" x14ac:dyDescent="0.25">
      <c r="A14" s="88">
        <f>DATE(2018,11,1)</f>
        <v>43405</v>
      </c>
      <c r="B14" s="89">
        <f>'MONTHLY STATS'!$C$13*2</f>
        <v>505736</v>
      </c>
      <c r="C14" s="89">
        <f>'MONTHLY STATS'!$C$21*2</f>
        <v>226774</v>
      </c>
      <c r="D14" s="89">
        <f>'MONTHLY STATS'!$C$29*2</f>
        <v>123742</v>
      </c>
      <c r="E14" s="89">
        <f>'MONTHLY STATS'!$C$37*2</f>
        <v>748692</v>
      </c>
      <c r="F14" s="89">
        <f>'MONTHLY STATS'!$C$45*2</f>
        <v>541974</v>
      </c>
      <c r="G14" s="89">
        <f>'MONTHLY STATS'!$C$53*2</f>
        <v>234648</v>
      </c>
      <c r="H14" s="89">
        <f>'MONTHLY STATS'!$C$61*2</f>
        <v>278218</v>
      </c>
      <c r="I14" s="89">
        <f>'MONTHLY STATS'!$C$69*2</f>
        <v>655880</v>
      </c>
      <c r="J14" s="89">
        <f>'MONTHLY STATS'!$C$77*2</f>
        <v>686024</v>
      </c>
      <c r="K14" s="89">
        <f>'MONTHLY STATS'!$C$85*2</f>
        <v>824408</v>
      </c>
      <c r="L14" s="89">
        <f>'MONTHLY STATS'!$C$93*2</f>
        <v>98056</v>
      </c>
      <c r="M14" s="89">
        <f>'MONTHLY STATS'!$C$101*2</f>
        <v>851054</v>
      </c>
      <c r="N14" s="89">
        <f>'MONTHLY STATS'!$C$109*2</f>
        <v>152606</v>
      </c>
      <c r="O14" s="90">
        <f>SUM(B14:N14)</f>
        <v>5927812</v>
      </c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29</v>
      </c>
      <c r="B23" s="90">
        <f t="shared" ref="B23:O23" si="0">SUM(B10:B21)</f>
        <v>2617120</v>
      </c>
      <c r="C23" s="90">
        <f t="shared" si="0"/>
        <v>1301790</v>
      </c>
      <c r="D23" s="90">
        <f t="shared" si="0"/>
        <v>673224</v>
      </c>
      <c r="E23" s="90">
        <f t="shared" si="0"/>
        <v>4162884</v>
      </c>
      <c r="F23" s="90">
        <f t="shared" si="0"/>
        <v>2856696</v>
      </c>
      <c r="G23" s="90">
        <f>SUM(G10:G21)</f>
        <v>1226308</v>
      </c>
      <c r="H23" s="90">
        <f t="shared" si="0"/>
        <v>1543684</v>
      </c>
      <c r="I23" s="90">
        <f>SUM(I10:I21)</f>
        <v>3570908</v>
      </c>
      <c r="J23" s="90">
        <f t="shared" si="0"/>
        <v>3805890</v>
      </c>
      <c r="K23" s="90">
        <f>SUM(K10:K21)</f>
        <v>4231448</v>
      </c>
      <c r="L23" s="90">
        <f t="shared" si="0"/>
        <v>572654</v>
      </c>
      <c r="M23" s="90">
        <f t="shared" si="0"/>
        <v>4464286</v>
      </c>
      <c r="N23" s="90">
        <f t="shared" si="0"/>
        <v>803710</v>
      </c>
      <c r="O23" s="90">
        <f t="shared" si="0"/>
        <v>31830602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 x14ac:dyDescent="0.2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DATE(2018,7,1)</f>
        <v>43282</v>
      </c>
      <c r="B31" s="89">
        <f>'MONTHLY STATS'!$K$9*0.21</f>
        <v>2808760.5189</v>
      </c>
      <c r="C31" s="89">
        <f>'MONTHLY STATS'!$K$17*0.21</f>
        <v>1548718.5545999999</v>
      </c>
      <c r="D31" s="89">
        <f>'MONTHLY STATS'!$K$25*0.21</f>
        <v>685642.40850000002</v>
      </c>
      <c r="E31" s="89">
        <f>'MONTHLY STATS'!$K$33*0.21</f>
        <v>4237819.6182000004</v>
      </c>
      <c r="F31" s="89">
        <f>'MONTHLY STATS'!$K$41*0.21</f>
        <v>3127962.4383</v>
      </c>
      <c r="G31" s="89">
        <f>'MONTHLY STATS'!$K$49*0.21</f>
        <v>1095967.4354999999</v>
      </c>
      <c r="H31" s="89">
        <f>'MONTHLY STATS'!$K$57*0.21</f>
        <v>1213029.2600999998</v>
      </c>
      <c r="I31" s="89">
        <f>'MONTHLY STATS'!$K$65*0.21</f>
        <v>2819522.3153999997</v>
      </c>
      <c r="J31" s="89">
        <f>'MONTHLY STATS'!$K$73*0.21</f>
        <v>3702168.1788000003</v>
      </c>
      <c r="K31" s="89">
        <f>'MONTHLY STATS'!$K$81*0.21</f>
        <v>4113346.1313</v>
      </c>
      <c r="L31" s="89">
        <f>'MONTHLY STATS'!$K$89*0.21</f>
        <v>592155.43590000004</v>
      </c>
      <c r="M31" s="89">
        <f>'MONTHLY STATS'!$K$97*0.21</f>
        <v>4918106.7138</v>
      </c>
      <c r="N31" s="89">
        <f>'MONTHLY STATS'!$K$105*0.21</f>
        <v>755284.42499999993</v>
      </c>
      <c r="O31" s="90">
        <f>SUM(B31:N31)</f>
        <v>31618483.434300002</v>
      </c>
      <c r="P31" s="83"/>
    </row>
    <row r="32" spans="1:16" ht="15.75" x14ac:dyDescent="0.25">
      <c r="A32" s="88">
        <f>DATE(2018,8,1)</f>
        <v>43313</v>
      </c>
      <c r="B32" s="89">
        <f>'MONTHLY STATS'!$K$10*0.21</f>
        <v>2931159.3863999997</v>
      </c>
      <c r="C32" s="89">
        <f>'MONTHLY STATS'!$K$18*0.21</f>
        <v>1490706.2645999999</v>
      </c>
      <c r="D32" s="89">
        <f>'MONTHLY STATS'!$K$26*0.21</f>
        <v>656176.97459999996</v>
      </c>
      <c r="E32" s="89">
        <f>'MONTHLY STATS'!$K$34*0.21</f>
        <v>4286184.1553999996</v>
      </c>
      <c r="F32" s="89">
        <f>'MONTHLY STATS'!$K$42*0.21</f>
        <v>3063779.8274999997</v>
      </c>
      <c r="G32" s="89">
        <f>'MONTHLY STATS'!$K$50*0.21</f>
        <v>1105283.0607</v>
      </c>
      <c r="H32" s="89">
        <f>'MONTHLY STATS'!$K$58*0.21</f>
        <v>1168175.9922</v>
      </c>
      <c r="I32" s="89">
        <f>'MONTHLY STATS'!$K$66*0.21</f>
        <v>2941388.9526</v>
      </c>
      <c r="J32" s="89">
        <f>'MONTHLY STATS'!$K$74*0.21</f>
        <v>3737965.8161999998</v>
      </c>
      <c r="K32" s="89">
        <f>'MONTHLY STATS'!$K$82*0.21</f>
        <v>4005332.6165999998</v>
      </c>
      <c r="L32" s="89">
        <f>'MONTHLY STATS'!$K$90*0.21</f>
        <v>583714.44809999992</v>
      </c>
      <c r="M32" s="89">
        <f>'MONTHLY STATS'!$K$98*0.21</f>
        <v>5012078.6750999996</v>
      </c>
      <c r="N32" s="89">
        <f>'MONTHLY STATS'!$K$106*0.21</f>
        <v>764230.7588999999</v>
      </c>
      <c r="O32" s="90">
        <f>SUM(B32:N32)</f>
        <v>31746176.9289</v>
      </c>
      <c r="P32" s="83"/>
    </row>
    <row r="33" spans="1:16" ht="15.75" x14ac:dyDescent="0.25">
      <c r="A33" s="88">
        <f>DATE(2018,9,1)</f>
        <v>43344</v>
      </c>
      <c r="B33" s="89">
        <f>'MONTHLY STATS'!$K$11*0.21</f>
        <v>2842581.483</v>
      </c>
      <c r="C33" s="289">
        <v>1380883.09</v>
      </c>
      <c r="D33" s="89">
        <f>'MONTHLY STATS'!$K$27*0.21</f>
        <v>656634.22439999995</v>
      </c>
      <c r="E33" s="89">
        <f>'MONTHLY STATS'!$K$35*0.21</f>
        <v>4079116.23</v>
      </c>
      <c r="F33" s="89">
        <f>'MONTHLY STATS'!$K$43*0.21</f>
        <v>3198835.7645999999</v>
      </c>
      <c r="G33" s="89">
        <f>'MONTHLY STATS'!$K$51*0.21</f>
        <v>1062033.5711999999</v>
      </c>
      <c r="H33" s="89">
        <f>'MONTHLY STATS'!$K$59*0.21</f>
        <v>1128829.0229999998</v>
      </c>
      <c r="I33" s="89">
        <f>'MONTHLY STATS'!$K$67*0.21</f>
        <v>2791439.5508999997</v>
      </c>
      <c r="J33" s="89">
        <f>'MONTHLY STATS'!$K$75*0.21</f>
        <v>3486034.5869999998</v>
      </c>
      <c r="K33" s="89">
        <f>'MONTHLY STATS'!$K$83*0.21</f>
        <v>3822994.0244999998</v>
      </c>
      <c r="L33" s="89">
        <f>'MONTHLY STATS'!$K$91*0.21</f>
        <v>549592.94669999997</v>
      </c>
      <c r="M33" s="89">
        <f>'MONTHLY STATS'!$K$99*0.21</f>
        <v>4551602.0633999994</v>
      </c>
      <c r="N33" s="89">
        <f>'MONTHLY STATS'!$K$107*0.21</f>
        <v>718634.49</v>
      </c>
      <c r="O33" s="90">
        <f>SUM(B33:N33)</f>
        <v>30269211.048700001</v>
      </c>
      <c r="P33" s="83"/>
    </row>
    <row r="34" spans="1:16" ht="15.75" x14ac:dyDescent="0.25">
      <c r="A34" s="88">
        <f>DATE(2018,10,1)</f>
        <v>43374</v>
      </c>
      <c r="B34" s="89">
        <f>'MONTHLY STATS'!$K$12*0.21</f>
        <v>2932707.1998000001</v>
      </c>
      <c r="C34" s="89">
        <f>'MONTHLY STATS'!$K$20*0.21</f>
        <v>1332895.5926999999</v>
      </c>
      <c r="D34" s="89">
        <f>'MONTHLY STATS'!$K$28*0.21</f>
        <v>597855.25379999995</v>
      </c>
      <c r="E34" s="89">
        <f>'MONTHLY STATS'!$K$36*0.21</f>
        <v>3812123.9772000001</v>
      </c>
      <c r="F34" s="89">
        <f>'MONTHLY STATS'!$K$44*0.21</f>
        <v>3083020.5230999999</v>
      </c>
      <c r="G34" s="89">
        <f>'MONTHLY STATS'!$K$52*0.21</f>
        <v>1037313.7824</v>
      </c>
      <c r="H34" s="89">
        <f>'MONTHLY STATS'!$K$60*0.21</f>
        <v>1103831.1479999998</v>
      </c>
      <c r="I34" s="89">
        <f>'MONTHLY STATS'!$K$68*0.21</f>
        <v>2792683.4586</v>
      </c>
      <c r="J34" s="89">
        <f>'MONTHLY STATS'!$K$76*0.21</f>
        <v>3165607.3155</v>
      </c>
      <c r="K34" s="89">
        <f>'MONTHLY STATS'!$K$84*0.21</f>
        <v>3519336.1875</v>
      </c>
      <c r="L34" s="89">
        <f>'MONTHLY STATS'!$K$92*0.21</f>
        <v>532447.41479999991</v>
      </c>
      <c r="M34" s="89">
        <f>'MONTHLY STATS'!$K$100*0.21</f>
        <v>4358384.9546999997</v>
      </c>
      <c r="N34" s="89">
        <f>'MONTHLY STATS'!$K$108*0.21</f>
        <v>712469.71530000004</v>
      </c>
      <c r="O34" s="90">
        <f>SUM(B34:N34)</f>
        <v>28980676.523400001</v>
      </c>
      <c r="P34" s="83"/>
    </row>
    <row r="35" spans="1:16" ht="15.75" x14ac:dyDescent="0.25">
      <c r="A35" s="88">
        <f>DATE(2018,11,1)</f>
        <v>43405</v>
      </c>
      <c r="B35" s="89">
        <f>'MONTHLY STATS'!$K$13*0.21</f>
        <v>2874984.1973999999</v>
      </c>
      <c r="C35" s="89">
        <f>'MONTHLY STATS'!$K$21*0.21</f>
        <v>1213355.4699000001</v>
      </c>
      <c r="D35" s="89">
        <f>'MONTHLY STATS'!$K$29*0.21</f>
        <v>598998.75209999993</v>
      </c>
      <c r="E35" s="89">
        <f>'MONTHLY STATS'!$K$37*0.21</f>
        <v>3727875.3497999995</v>
      </c>
      <c r="F35" s="89">
        <f>'MONTHLY STATS'!$K$45*0.21</f>
        <v>2897852.8362000003</v>
      </c>
      <c r="G35" s="89">
        <f>'MONTHLY STATS'!$K$53*0.21</f>
        <v>1029320.0547</v>
      </c>
      <c r="H35" s="89">
        <f>'MONTHLY STATS'!$K$61*0.21</f>
        <v>1065057.3108000001</v>
      </c>
      <c r="I35" s="89">
        <f>'MONTHLY STATS'!$K$69*0.21</f>
        <v>2691770.0754</v>
      </c>
      <c r="J35" s="89">
        <f>'MONTHLY STATS'!$K$77*0.21</f>
        <v>3111619.0496999999</v>
      </c>
      <c r="K35" s="89">
        <f>'MONTHLY STATS'!$K$85*0.21</f>
        <v>4096738.6866000001</v>
      </c>
      <c r="L35" s="89">
        <f>'MONTHLY STATS'!$K$93*0.21</f>
        <v>504987.98489999998</v>
      </c>
      <c r="M35" s="89">
        <f>'MONTHLY STATS'!$K$101*0.21</f>
        <v>4491364.5399000002</v>
      </c>
      <c r="N35" s="89">
        <f>'MONTHLY STATS'!$K$109*0.21</f>
        <v>706959.92850000004</v>
      </c>
      <c r="O35" s="90">
        <f>SUM(B35:N35)</f>
        <v>29010884.235900003</v>
      </c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29</v>
      </c>
      <c r="B44" s="90">
        <f t="shared" ref="B44:O44" si="1">SUM(B31:B42)</f>
        <v>14390192.785499999</v>
      </c>
      <c r="C44" s="90">
        <f t="shared" si="1"/>
        <v>6966558.9717999995</v>
      </c>
      <c r="D44" s="90">
        <f t="shared" si="1"/>
        <v>3195307.6134000001</v>
      </c>
      <c r="E44" s="90">
        <f t="shared" si="1"/>
        <v>20143119.330600001</v>
      </c>
      <c r="F44" s="90">
        <f t="shared" si="1"/>
        <v>15371451.389699999</v>
      </c>
      <c r="G44" s="90">
        <f t="shared" si="1"/>
        <v>5329917.9045000002</v>
      </c>
      <c r="H44" s="90">
        <f t="shared" si="1"/>
        <v>5678922.7341</v>
      </c>
      <c r="I44" s="90">
        <f>SUM(I31:I42)</f>
        <v>14036804.352899998</v>
      </c>
      <c r="J44" s="90">
        <f t="shared" si="1"/>
        <v>17203394.9472</v>
      </c>
      <c r="K44" s="90">
        <f>SUM(K31:K42)</f>
        <v>19557747.646499999</v>
      </c>
      <c r="L44" s="90">
        <f t="shared" si="1"/>
        <v>2762898.2304000002</v>
      </c>
      <c r="M44" s="90">
        <f t="shared" si="1"/>
        <v>23331536.946900003</v>
      </c>
      <c r="N44" s="90">
        <f t="shared" si="1"/>
        <v>3657579.3177</v>
      </c>
      <c r="O44" s="90">
        <f t="shared" si="1"/>
        <v>151625432.17120001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18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32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72</v>
      </c>
      <c r="B3" s="117"/>
      <c r="C3" s="200"/>
      <c r="D3" s="200"/>
      <c r="E3" s="200"/>
      <c r="F3" s="117"/>
      <c r="G3" s="210"/>
    </row>
    <row r="4" spans="1:8" x14ac:dyDescent="0.2">
      <c r="A4" s="284" t="s">
        <v>73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38</v>
      </c>
      <c r="B9" s="131">
        <f>DATE(2018,7,1)</f>
        <v>43282</v>
      </c>
      <c r="C9" s="204">
        <v>10277324</v>
      </c>
      <c r="D9" s="204">
        <v>1826329</v>
      </c>
      <c r="E9" s="204">
        <v>1744231.98</v>
      </c>
      <c r="F9" s="132">
        <f>(+D9-E9)/E9</f>
        <v>4.7067718595550589E-2</v>
      </c>
      <c r="G9" s="215">
        <f>D9/C9</f>
        <v>0.17770472157927492</v>
      </c>
      <c r="H9" s="123"/>
    </row>
    <row r="10" spans="1:8" ht="15.75" x14ac:dyDescent="0.25">
      <c r="A10" s="130"/>
      <c r="B10" s="131">
        <f>DATE(2018,8,1)</f>
        <v>43313</v>
      </c>
      <c r="C10" s="204">
        <v>10565544</v>
      </c>
      <c r="D10" s="204">
        <v>1679235.5</v>
      </c>
      <c r="E10" s="204">
        <v>1558308</v>
      </c>
      <c r="F10" s="132">
        <f>(+D10-E10)/E10</f>
        <v>7.7601796307276871E-2</v>
      </c>
      <c r="G10" s="215">
        <f>D10/C10</f>
        <v>0.15893507234459484</v>
      </c>
      <c r="H10" s="123"/>
    </row>
    <row r="11" spans="1:8" ht="15.75" x14ac:dyDescent="0.25">
      <c r="A11" s="130"/>
      <c r="B11" s="131">
        <f>DATE(2018,9,1)</f>
        <v>43344</v>
      </c>
      <c r="C11" s="204">
        <v>9926032</v>
      </c>
      <c r="D11" s="204">
        <v>2056251</v>
      </c>
      <c r="E11" s="204">
        <v>1764006.5</v>
      </c>
      <c r="F11" s="132">
        <f>(+D11-E11)/E11</f>
        <v>0.16567087479552939</v>
      </c>
      <c r="G11" s="215">
        <f>D11/C11</f>
        <v>0.20715740187015314</v>
      </c>
      <c r="H11" s="123"/>
    </row>
    <row r="12" spans="1:8" ht="15.75" x14ac:dyDescent="0.25">
      <c r="A12" s="130"/>
      <c r="B12" s="131">
        <f>DATE(2018,10,1)</f>
        <v>43374</v>
      </c>
      <c r="C12" s="204">
        <v>10436409</v>
      </c>
      <c r="D12" s="204">
        <v>2198531</v>
      </c>
      <c r="E12" s="204">
        <v>1651958.5</v>
      </c>
      <c r="F12" s="132">
        <f>(+D12-E12)/E12</f>
        <v>0.33086333585256528</v>
      </c>
      <c r="G12" s="215">
        <f>D12/C12</f>
        <v>0.2106597202160245</v>
      </c>
      <c r="H12" s="123"/>
    </row>
    <row r="13" spans="1:8" ht="15.75" x14ac:dyDescent="0.25">
      <c r="A13" s="130"/>
      <c r="B13" s="131">
        <f>DATE(2018,11,1)</f>
        <v>43405</v>
      </c>
      <c r="C13" s="204">
        <v>10530469.5</v>
      </c>
      <c r="D13" s="204">
        <v>2373996</v>
      </c>
      <c r="E13" s="204">
        <v>2257240.5</v>
      </c>
      <c r="F13" s="132">
        <f>(+D13-E13)/E13</f>
        <v>5.1724882660930456E-2</v>
      </c>
      <c r="G13" s="215">
        <f>D13/C13</f>
        <v>0.22544066055174464</v>
      </c>
      <c r="H13" s="123"/>
    </row>
    <row r="14" spans="1:8" ht="15.75" thickBot="1" x14ac:dyDescent="0.25">
      <c r="A14" s="133"/>
      <c r="B14" s="134"/>
      <c r="C14" s="204"/>
      <c r="D14" s="204"/>
      <c r="E14" s="204"/>
      <c r="F14" s="132"/>
      <c r="G14" s="215"/>
      <c r="H14" s="123"/>
    </row>
    <row r="15" spans="1:8" ht="17.25" thickTop="1" thickBot="1" x14ac:dyDescent="0.3">
      <c r="A15" s="135" t="s">
        <v>14</v>
      </c>
      <c r="B15" s="136"/>
      <c r="C15" s="201">
        <f>SUM(C9:C14)</f>
        <v>51735778.5</v>
      </c>
      <c r="D15" s="201">
        <f>SUM(D9:D14)</f>
        <v>10134342.5</v>
      </c>
      <c r="E15" s="201">
        <f>SUM(E9:E14)</f>
        <v>8975745.4800000004</v>
      </c>
      <c r="F15" s="137">
        <f>(+D15-E15)/E15</f>
        <v>0.12908086827791818</v>
      </c>
      <c r="G15" s="212">
        <f>D15/C15</f>
        <v>0.19588653720558202</v>
      </c>
      <c r="H15" s="123"/>
    </row>
    <row r="16" spans="1:8" ht="15.75" customHeight="1" thickTop="1" x14ac:dyDescent="0.25">
      <c r="A16" s="138"/>
      <c r="B16" s="139"/>
      <c r="C16" s="205"/>
      <c r="D16" s="205"/>
      <c r="E16" s="205"/>
      <c r="F16" s="140"/>
      <c r="G16" s="216"/>
      <c r="H16" s="123"/>
    </row>
    <row r="17" spans="1:8" ht="15.75" x14ac:dyDescent="0.25">
      <c r="A17" s="19" t="s">
        <v>15</v>
      </c>
      <c r="B17" s="131">
        <f>DATE(2018,7,1)</f>
        <v>43282</v>
      </c>
      <c r="C17" s="204">
        <v>2618283</v>
      </c>
      <c r="D17" s="204">
        <v>544502.5</v>
      </c>
      <c r="E17" s="204">
        <v>642088</v>
      </c>
      <c r="F17" s="132">
        <f>(+D17-E17)/E17</f>
        <v>-0.15198150409289693</v>
      </c>
      <c r="G17" s="215">
        <f>D17/C17</f>
        <v>0.2079616680091495</v>
      </c>
      <c r="H17" s="123"/>
    </row>
    <row r="18" spans="1:8" ht="15.75" x14ac:dyDescent="0.25">
      <c r="A18" s="19"/>
      <c r="B18" s="131">
        <f>DATE(2018,8,1)</f>
        <v>43313</v>
      </c>
      <c r="C18" s="204">
        <v>2865412</v>
      </c>
      <c r="D18" s="204">
        <v>656165</v>
      </c>
      <c r="E18" s="204">
        <v>490413</v>
      </c>
      <c r="F18" s="132">
        <f>(+D18-E18)/E18</f>
        <v>0.33798451509238131</v>
      </c>
      <c r="G18" s="215">
        <f>D18/C18</f>
        <v>0.22899499269215037</v>
      </c>
      <c r="H18" s="123"/>
    </row>
    <row r="19" spans="1:8" ht="15.75" x14ac:dyDescent="0.25">
      <c r="A19" s="19"/>
      <c r="B19" s="131">
        <f>DATE(2018,9,1)</f>
        <v>43344</v>
      </c>
      <c r="C19" s="204">
        <v>2858660</v>
      </c>
      <c r="D19" s="204">
        <v>251895.5</v>
      </c>
      <c r="E19" s="204">
        <v>534707</v>
      </c>
      <c r="F19" s="132">
        <f>(+D19-E19)/E19</f>
        <v>-0.52890929050863367</v>
      </c>
      <c r="G19" s="215">
        <f>D19/C19</f>
        <v>8.8116635066779539E-2</v>
      </c>
      <c r="H19" s="123"/>
    </row>
    <row r="20" spans="1:8" ht="15.75" x14ac:dyDescent="0.25">
      <c r="A20" s="19"/>
      <c r="B20" s="131">
        <f>DATE(2018,10,1)</f>
        <v>43374</v>
      </c>
      <c r="C20" s="204">
        <v>2984353</v>
      </c>
      <c r="D20" s="204">
        <v>763257.5</v>
      </c>
      <c r="E20" s="204">
        <v>515461.5</v>
      </c>
      <c r="F20" s="132">
        <f>(+D20-E20)/E20</f>
        <v>0.48072649460725969</v>
      </c>
      <c r="G20" s="215">
        <f>D20/C20</f>
        <v>0.25575308953062859</v>
      </c>
      <c r="H20" s="123"/>
    </row>
    <row r="21" spans="1:8" ht="15.75" x14ac:dyDescent="0.25">
      <c r="A21" s="19"/>
      <c r="B21" s="131">
        <f>DATE(2018,11,1)</f>
        <v>43405</v>
      </c>
      <c r="C21" s="204">
        <v>2329326</v>
      </c>
      <c r="D21" s="204">
        <v>497141.5</v>
      </c>
      <c r="E21" s="204">
        <v>483129.5</v>
      </c>
      <c r="F21" s="132">
        <f>(+D21-E21)/E21</f>
        <v>2.9002575913911279E-2</v>
      </c>
      <c r="G21" s="215">
        <f>D21/C21</f>
        <v>0.21342718880912331</v>
      </c>
      <c r="H21" s="123"/>
    </row>
    <row r="22" spans="1:8" ht="15.75" thickBot="1" x14ac:dyDescent="0.25">
      <c r="A22" s="133"/>
      <c r="B22" s="131"/>
      <c r="C22" s="204"/>
      <c r="D22" s="204"/>
      <c r="E22" s="204"/>
      <c r="F22" s="132"/>
      <c r="G22" s="215"/>
      <c r="H22" s="123"/>
    </row>
    <row r="23" spans="1:8" ht="17.25" thickTop="1" thickBot="1" x14ac:dyDescent="0.3">
      <c r="A23" s="135" t="s">
        <v>14</v>
      </c>
      <c r="B23" s="136"/>
      <c r="C23" s="201">
        <f>SUM(C17:C22)</f>
        <v>13656034</v>
      </c>
      <c r="D23" s="201">
        <f>SUM(D17:D22)</f>
        <v>2712962</v>
      </c>
      <c r="E23" s="201">
        <f>SUM(E17:E22)</f>
        <v>2665799</v>
      </c>
      <c r="F23" s="137">
        <f>(+D23-E23)/E23</f>
        <v>1.7691881495941742E-2</v>
      </c>
      <c r="G23" s="212">
        <f>D23/C23</f>
        <v>0.19866397520685727</v>
      </c>
      <c r="H23" s="123"/>
    </row>
    <row r="24" spans="1:8" ht="15.75" customHeight="1" thickTop="1" x14ac:dyDescent="0.25">
      <c r="A24" s="255"/>
      <c r="B24" s="139"/>
      <c r="C24" s="205"/>
      <c r="D24" s="205"/>
      <c r="E24" s="205"/>
      <c r="F24" s="140"/>
      <c r="G24" s="219"/>
      <c r="H24" s="123"/>
    </row>
    <row r="25" spans="1:8" ht="15.75" x14ac:dyDescent="0.25">
      <c r="A25" s="19" t="s">
        <v>56</v>
      </c>
      <c r="B25" s="131">
        <f>DATE(2018,7,1)</f>
        <v>43282</v>
      </c>
      <c r="C25" s="204">
        <v>1379575</v>
      </c>
      <c r="D25" s="204">
        <v>373264</v>
      </c>
      <c r="E25" s="204">
        <v>330815.5</v>
      </c>
      <c r="F25" s="132">
        <f>(+D25-E25)/E25</f>
        <v>0.12831472527738272</v>
      </c>
      <c r="G25" s="215">
        <f>D25/C25</f>
        <v>0.27056448543935635</v>
      </c>
      <c r="H25" s="123"/>
    </row>
    <row r="26" spans="1:8" ht="15.75" x14ac:dyDescent="0.25">
      <c r="A26" s="19"/>
      <c r="B26" s="131">
        <f>DATE(2018,8,1)</f>
        <v>43313</v>
      </c>
      <c r="C26" s="204">
        <v>1464999</v>
      </c>
      <c r="D26" s="204">
        <v>339140.5</v>
      </c>
      <c r="E26" s="204">
        <v>326287.5</v>
      </c>
      <c r="F26" s="132">
        <f>(+D26-E26)/E26</f>
        <v>3.9391640807570009E-2</v>
      </c>
      <c r="G26" s="215">
        <f>D26/C26</f>
        <v>0.23149537986032756</v>
      </c>
      <c r="H26" s="123"/>
    </row>
    <row r="27" spans="1:8" ht="15.75" x14ac:dyDescent="0.25">
      <c r="A27" s="19"/>
      <c r="B27" s="131">
        <f>DATE(2018,9,1)</f>
        <v>43344</v>
      </c>
      <c r="C27" s="204">
        <v>1388620</v>
      </c>
      <c r="D27" s="204">
        <v>349109</v>
      </c>
      <c r="E27" s="204">
        <v>453438</v>
      </c>
      <c r="F27" s="132">
        <f>(+D27-E27)/E27</f>
        <v>-0.23008437757752989</v>
      </c>
      <c r="G27" s="215">
        <f>D27/C27</f>
        <v>0.2514071524247094</v>
      </c>
      <c r="H27" s="123"/>
    </row>
    <row r="28" spans="1:8" ht="15.75" x14ac:dyDescent="0.25">
      <c r="A28" s="19"/>
      <c r="B28" s="131">
        <f>DATE(2018,10,1)</f>
        <v>43374</v>
      </c>
      <c r="C28" s="204">
        <v>1282080</v>
      </c>
      <c r="D28" s="204">
        <v>213321.5</v>
      </c>
      <c r="E28" s="204">
        <v>325504</v>
      </c>
      <c r="F28" s="132">
        <f>(+D28-E28)/E28</f>
        <v>-0.34464246215100275</v>
      </c>
      <c r="G28" s="215">
        <f>D28/C28</f>
        <v>0.16638704293023837</v>
      </c>
      <c r="H28" s="123"/>
    </row>
    <row r="29" spans="1:8" ht="15.75" x14ac:dyDescent="0.25">
      <c r="A29" s="19"/>
      <c r="B29" s="131">
        <f>DATE(2018,11,1)</f>
        <v>43405</v>
      </c>
      <c r="C29" s="204">
        <v>1337192</v>
      </c>
      <c r="D29" s="204">
        <v>301353.5</v>
      </c>
      <c r="E29" s="204">
        <v>300283</v>
      </c>
      <c r="F29" s="132">
        <f>(+D29-E29)/E29</f>
        <v>3.5649703779434732E-3</v>
      </c>
      <c r="G29" s="215">
        <f>D29/C29</f>
        <v>0.22536292469592997</v>
      </c>
      <c r="H29" s="123"/>
    </row>
    <row r="30" spans="1:8" ht="15.75" thickBot="1" x14ac:dyDescent="0.25">
      <c r="A30" s="133"/>
      <c r="B30" s="131"/>
      <c r="C30" s="204"/>
      <c r="D30" s="204"/>
      <c r="E30" s="204"/>
      <c r="F30" s="132"/>
      <c r="G30" s="215"/>
      <c r="H30" s="123"/>
    </row>
    <row r="31" spans="1:8" ht="17.25" thickTop="1" thickBot="1" x14ac:dyDescent="0.3">
      <c r="A31" s="141" t="s">
        <v>14</v>
      </c>
      <c r="B31" s="142"/>
      <c r="C31" s="206">
        <f>SUM(C25:C30)</f>
        <v>6852466</v>
      </c>
      <c r="D31" s="206">
        <f>SUM(D25:D30)</f>
        <v>1576188.5</v>
      </c>
      <c r="E31" s="206">
        <f>SUM(E25:E30)</f>
        <v>1736328</v>
      </c>
      <c r="F31" s="143">
        <f>(+D31-E31)/E31</f>
        <v>-9.2228830036721179E-2</v>
      </c>
      <c r="G31" s="217">
        <f>D31/C31</f>
        <v>0.23001770457525803</v>
      </c>
      <c r="H31" s="123"/>
    </row>
    <row r="32" spans="1:8" ht="15.75" thickTop="1" x14ac:dyDescent="0.2">
      <c r="A32" s="133"/>
      <c r="B32" s="134"/>
      <c r="C32" s="204"/>
      <c r="D32" s="204"/>
      <c r="E32" s="204"/>
      <c r="F32" s="132"/>
      <c r="G32" s="218"/>
      <c r="H32" s="123"/>
    </row>
    <row r="33" spans="1:8" ht="15.75" x14ac:dyDescent="0.25">
      <c r="A33" s="177" t="s">
        <v>65</v>
      </c>
      <c r="B33" s="131">
        <f>DATE(2018,7,1)</f>
        <v>43282</v>
      </c>
      <c r="C33" s="204">
        <v>14770922.01</v>
      </c>
      <c r="D33" s="204">
        <v>2640847.2400000002</v>
      </c>
      <c r="E33" s="204">
        <v>3444933.46</v>
      </c>
      <c r="F33" s="132">
        <f>(+D33-E33)/E33</f>
        <v>-0.23341124852960143</v>
      </c>
      <c r="G33" s="215">
        <f>D33/C33</f>
        <v>0.17878689212576787</v>
      </c>
      <c r="H33" s="123"/>
    </row>
    <row r="34" spans="1:8" ht="15.75" x14ac:dyDescent="0.25">
      <c r="A34" s="177"/>
      <c r="B34" s="131">
        <f>DATE(2018,8,1)</f>
        <v>43313</v>
      </c>
      <c r="C34" s="204">
        <v>14974767</v>
      </c>
      <c r="D34" s="204">
        <v>3019576.86</v>
      </c>
      <c r="E34" s="204">
        <v>2738890.99</v>
      </c>
      <c r="F34" s="132">
        <f>(+D34-E34)/E34</f>
        <v>0.10248157777173877</v>
      </c>
      <c r="G34" s="215">
        <f>D34/C34</f>
        <v>0.20164433009208088</v>
      </c>
      <c r="H34" s="123"/>
    </row>
    <row r="35" spans="1:8" ht="15.75" x14ac:dyDescent="0.25">
      <c r="A35" s="177"/>
      <c r="B35" s="131">
        <f>DATE(2018,9,1)</f>
        <v>43344</v>
      </c>
      <c r="C35" s="204">
        <v>13265110.25</v>
      </c>
      <c r="D35" s="204">
        <v>3074145.25</v>
      </c>
      <c r="E35" s="204">
        <v>3077099.69</v>
      </c>
      <c r="F35" s="132">
        <f>(+D35-E35)/E35</f>
        <v>-9.601378888052679E-4</v>
      </c>
      <c r="G35" s="215">
        <f>D35/C35</f>
        <v>0.23174667922567774</v>
      </c>
      <c r="H35" s="123"/>
    </row>
    <row r="36" spans="1:8" ht="15.75" x14ac:dyDescent="0.25">
      <c r="A36" s="177"/>
      <c r="B36" s="131">
        <f>DATE(2018,10,1)</f>
        <v>43374</v>
      </c>
      <c r="C36" s="204">
        <v>12792793</v>
      </c>
      <c r="D36" s="204">
        <v>2577292.69</v>
      </c>
      <c r="E36" s="204">
        <v>2596719.9300000002</v>
      </c>
      <c r="F36" s="132">
        <f>(+D36-E36)/E36</f>
        <v>-7.4814537276648935E-3</v>
      </c>
      <c r="G36" s="215">
        <f>D36/C36</f>
        <v>0.20146442532135087</v>
      </c>
      <c r="H36" s="123"/>
    </row>
    <row r="37" spans="1:8" ht="15.75" x14ac:dyDescent="0.25">
      <c r="A37" s="177"/>
      <c r="B37" s="131">
        <f>DATE(2018,11,1)</f>
        <v>43405</v>
      </c>
      <c r="C37" s="204">
        <v>12986186</v>
      </c>
      <c r="D37" s="204">
        <v>2885158.69</v>
      </c>
      <c r="E37" s="204">
        <v>2954256.04</v>
      </c>
      <c r="F37" s="132">
        <f>(+D37-E37)/E37</f>
        <v>-2.3389086478773888E-2</v>
      </c>
      <c r="G37" s="215">
        <f>D37/C37</f>
        <v>0.22217136655827968</v>
      </c>
      <c r="H37" s="123"/>
    </row>
    <row r="38" spans="1:8" ht="15.75" customHeight="1" thickBot="1" x14ac:dyDescent="0.25">
      <c r="A38" s="133"/>
      <c r="B38" s="134"/>
      <c r="C38" s="204"/>
      <c r="D38" s="204"/>
      <c r="E38" s="204"/>
      <c r="F38" s="132"/>
      <c r="G38" s="215"/>
      <c r="H38" s="123"/>
    </row>
    <row r="39" spans="1:8" ht="17.25" customHeight="1" thickTop="1" thickBot="1" x14ac:dyDescent="0.3">
      <c r="A39" s="141" t="s">
        <v>14</v>
      </c>
      <c r="B39" s="142"/>
      <c r="C39" s="206">
        <f>SUM(C33:C38)</f>
        <v>68789778.25999999</v>
      </c>
      <c r="D39" s="206">
        <f>SUM(D33:D38)</f>
        <v>14197020.729999999</v>
      </c>
      <c r="E39" s="206">
        <f>SUM(E33:E38)</f>
        <v>14811900.109999999</v>
      </c>
      <c r="F39" s="143">
        <f>(+D39-E39)/E39</f>
        <v>-4.1512525431148133E-2</v>
      </c>
      <c r="G39" s="217">
        <f>D39/C39</f>
        <v>0.20638270814510401</v>
      </c>
      <c r="H39" s="123"/>
    </row>
    <row r="40" spans="1:8" ht="15.75" customHeight="1" thickTop="1" x14ac:dyDescent="0.2">
      <c r="A40" s="133"/>
      <c r="B40" s="134"/>
      <c r="C40" s="204"/>
      <c r="D40" s="204"/>
      <c r="E40" s="204"/>
      <c r="F40" s="132"/>
      <c r="G40" s="218"/>
      <c r="H40" s="123"/>
    </row>
    <row r="41" spans="1:8" ht="15" customHeight="1" x14ac:dyDescent="0.25">
      <c r="A41" s="130" t="s">
        <v>39</v>
      </c>
      <c r="B41" s="131">
        <f>DATE(2018,7,1)</f>
        <v>43282</v>
      </c>
      <c r="C41" s="204">
        <v>16232884.5</v>
      </c>
      <c r="D41" s="204">
        <v>3513953.5</v>
      </c>
      <c r="E41" s="204">
        <v>4591352</v>
      </c>
      <c r="F41" s="132">
        <f>(+D41-E41)/E41</f>
        <v>-0.23465822267602224</v>
      </c>
      <c r="G41" s="215">
        <f>D41/C41</f>
        <v>0.21647129319499564</v>
      </c>
      <c r="H41" s="123"/>
    </row>
    <row r="42" spans="1:8" ht="15" customHeight="1" x14ac:dyDescent="0.25">
      <c r="A42" s="130"/>
      <c r="B42" s="131">
        <f>DATE(2018,8,1)</f>
        <v>43313</v>
      </c>
      <c r="C42" s="204">
        <v>16145647</v>
      </c>
      <c r="D42" s="204">
        <v>3570821.5</v>
      </c>
      <c r="E42" s="204">
        <v>3842200.5</v>
      </c>
      <c r="F42" s="132">
        <f>(+D42-E42)/E42</f>
        <v>-7.0631139629490969E-2</v>
      </c>
      <c r="G42" s="215">
        <f>D42/C42</f>
        <v>0.22116310978432763</v>
      </c>
      <c r="H42" s="123"/>
    </row>
    <row r="43" spans="1:8" ht="15" customHeight="1" x14ac:dyDescent="0.25">
      <c r="A43" s="130"/>
      <c r="B43" s="131">
        <f>DATE(2018,9,1)</f>
        <v>43344</v>
      </c>
      <c r="C43" s="204">
        <v>16222388</v>
      </c>
      <c r="D43" s="204">
        <v>3367544</v>
      </c>
      <c r="E43" s="204">
        <v>3686124</v>
      </c>
      <c r="F43" s="132">
        <f>(+D43-E43)/E43</f>
        <v>-8.6426826661284317E-2</v>
      </c>
      <c r="G43" s="215">
        <f>D43/C43</f>
        <v>0.20758620740670239</v>
      </c>
      <c r="H43" s="123"/>
    </row>
    <row r="44" spans="1:8" ht="15" customHeight="1" x14ac:dyDescent="0.25">
      <c r="A44" s="130"/>
      <c r="B44" s="131">
        <f>DATE(2018,10,1)</f>
        <v>43374</v>
      </c>
      <c r="C44" s="204">
        <v>17396784</v>
      </c>
      <c r="D44" s="204">
        <v>3631888</v>
      </c>
      <c r="E44" s="204">
        <v>2992221.5</v>
      </c>
      <c r="F44" s="132">
        <f>(+D44-E44)/E44</f>
        <v>0.21377645338087436</v>
      </c>
      <c r="G44" s="215">
        <f>D44/C44</f>
        <v>0.20876778144742156</v>
      </c>
      <c r="H44" s="123"/>
    </row>
    <row r="45" spans="1:8" ht="15" customHeight="1" x14ac:dyDescent="0.25">
      <c r="A45" s="130"/>
      <c r="B45" s="131">
        <f>DATE(2018,11,1)</f>
        <v>43405</v>
      </c>
      <c r="C45" s="204">
        <v>15185055</v>
      </c>
      <c r="D45" s="204">
        <v>3478954.5</v>
      </c>
      <c r="E45" s="204">
        <v>3676452</v>
      </c>
      <c r="F45" s="132">
        <f>(+D45-E45)/E45</f>
        <v>-5.3719591606255161E-2</v>
      </c>
      <c r="G45" s="215">
        <f>D45/C45</f>
        <v>0.22910384585370286</v>
      </c>
      <c r="H45" s="123"/>
    </row>
    <row r="46" spans="1:8" ht="15.75" thickBot="1" x14ac:dyDescent="0.25">
      <c r="A46" s="133"/>
      <c r="B46" s="131"/>
      <c r="C46" s="204"/>
      <c r="D46" s="204"/>
      <c r="E46" s="204"/>
      <c r="F46" s="132"/>
      <c r="G46" s="215"/>
      <c r="H46" s="123"/>
    </row>
    <row r="47" spans="1:8" ht="17.25" customHeight="1" thickTop="1" thickBot="1" x14ac:dyDescent="0.3">
      <c r="A47" s="141" t="s">
        <v>14</v>
      </c>
      <c r="B47" s="142"/>
      <c r="C47" s="207">
        <f>SUM(C41:C46)</f>
        <v>81182758.5</v>
      </c>
      <c r="D47" s="261">
        <f>SUM(D41:D46)</f>
        <v>17563161.5</v>
      </c>
      <c r="E47" s="206">
        <f>SUM(E41:E46)</f>
        <v>18788350</v>
      </c>
      <c r="F47" s="268">
        <f>(+D47-E47)/E47</f>
        <v>-6.5210010458608664E-2</v>
      </c>
      <c r="G47" s="267">
        <f>D47/C47</f>
        <v>0.21634102886513767</v>
      </c>
      <c r="H47" s="123"/>
    </row>
    <row r="48" spans="1:8" ht="15.75" customHeight="1" thickTop="1" x14ac:dyDescent="0.25">
      <c r="A48" s="130"/>
      <c r="B48" s="134"/>
      <c r="C48" s="204"/>
      <c r="D48" s="204"/>
      <c r="E48" s="204"/>
      <c r="F48" s="132"/>
      <c r="G48" s="218"/>
      <c r="H48" s="123"/>
    </row>
    <row r="49" spans="1:8" ht="15.75" x14ac:dyDescent="0.25">
      <c r="A49" s="130" t="s">
        <v>66</v>
      </c>
      <c r="B49" s="131">
        <f>DATE(2018,7,1)</f>
        <v>43282</v>
      </c>
      <c r="C49" s="204">
        <v>2606833</v>
      </c>
      <c r="D49" s="204">
        <v>682875.5</v>
      </c>
      <c r="E49" s="204">
        <v>703792.5</v>
      </c>
      <c r="F49" s="132">
        <f>(+D49-E49)/E49</f>
        <v>-2.9720407648561188E-2</v>
      </c>
      <c r="G49" s="215">
        <f>D49/C49</f>
        <v>0.26195598260417907</v>
      </c>
      <c r="H49" s="123"/>
    </row>
    <row r="50" spans="1:8" ht="15.75" x14ac:dyDescent="0.25">
      <c r="A50" s="130"/>
      <c r="B50" s="131">
        <f>DATE(2018,8,1)</f>
        <v>43313</v>
      </c>
      <c r="C50" s="204">
        <v>2586664</v>
      </c>
      <c r="D50" s="204">
        <v>651283.5</v>
      </c>
      <c r="E50" s="204">
        <v>551376.5</v>
      </c>
      <c r="F50" s="132">
        <f>(+D50-E50)/E50</f>
        <v>0.1811956077199518</v>
      </c>
      <c r="G50" s="215">
        <f>D50/C50</f>
        <v>0.25178511781970908</v>
      </c>
      <c r="H50" s="123"/>
    </row>
    <row r="51" spans="1:8" ht="15.75" x14ac:dyDescent="0.25">
      <c r="A51" s="130"/>
      <c r="B51" s="131">
        <f>DATE(2018,9,1)</f>
        <v>43344</v>
      </c>
      <c r="C51" s="204">
        <v>2355213</v>
      </c>
      <c r="D51" s="204">
        <v>584999.5</v>
      </c>
      <c r="E51" s="204">
        <v>737458.5</v>
      </c>
      <c r="F51" s="132">
        <f>(+D51-E51)/E51</f>
        <v>-0.20673570105978845</v>
      </c>
      <c r="G51" s="215">
        <f>D51/C51</f>
        <v>0.2483849656060832</v>
      </c>
      <c r="H51" s="123"/>
    </row>
    <row r="52" spans="1:8" ht="15.75" x14ac:dyDescent="0.25">
      <c r="A52" s="130"/>
      <c r="B52" s="131">
        <f>DATE(2018,10,1)</f>
        <v>43374</v>
      </c>
      <c r="C52" s="204">
        <v>2214253</v>
      </c>
      <c r="D52" s="204">
        <v>681963.5</v>
      </c>
      <c r="E52" s="204">
        <v>599085</v>
      </c>
      <c r="F52" s="132">
        <f>(+D52-E52)/E52</f>
        <v>0.13834180458532597</v>
      </c>
      <c r="G52" s="215">
        <f>D52/C52</f>
        <v>0.3079880664043359</v>
      </c>
      <c r="H52" s="123"/>
    </row>
    <row r="53" spans="1:8" ht="15.75" x14ac:dyDescent="0.25">
      <c r="A53" s="130"/>
      <c r="B53" s="131">
        <f>DATE(2018,11,1)</f>
        <v>43405</v>
      </c>
      <c r="C53" s="204">
        <v>2440196</v>
      </c>
      <c r="D53" s="204">
        <v>534840</v>
      </c>
      <c r="E53" s="204">
        <v>713068.5</v>
      </c>
      <c r="F53" s="132">
        <f>(+D53-E53)/E53</f>
        <v>-0.24994583269349299</v>
      </c>
      <c r="G53" s="215">
        <f>D53/C53</f>
        <v>0.21917911512026084</v>
      </c>
      <c r="H53" s="123"/>
    </row>
    <row r="54" spans="1:8" ht="15.75" customHeight="1" thickBot="1" x14ac:dyDescent="0.3">
      <c r="A54" s="130"/>
      <c r="B54" s="131"/>
      <c r="C54" s="204"/>
      <c r="D54" s="204"/>
      <c r="E54" s="204"/>
      <c r="F54" s="132"/>
      <c r="G54" s="215"/>
      <c r="H54" s="123"/>
    </row>
    <row r="55" spans="1:8" ht="17.25" thickTop="1" thickBot="1" x14ac:dyDescent="0.3">
      <c r="A55" s="141" t="s">
        <v>14</v>
      </c>
      <c r="B55" s="142"/>
      <c r="C55" s="207">
        <f>SUM(C49:C54)</f>
        <v>12203159</v>
      </c>
      <c r="D55" s="261">
        <f>SUM(D49:D54)</f>
        <v>3135962</v>
      </c>
      <c r="E55" s="207">
        <f>SUM(E49:E54)</f>
        <v>3304781</v>
      </c>
      <c r="F55" s="268">
        <f>(+D55-E55)/E55</f>
        <v>-5.1083263913705629E-2</v>
      </c>
      <c r="G55" s="267">
        <f>D55/C55</f>
        <v>0.2569795247279823</v>
      </c>
      <c r="H55" s="123"/>
    </row>
    <row r="56" spans="1:8" ht="15.75" customHeight="1" thickTop="1" x14ac:dyDescent="0.25">
      <c r="A56" s="130"/>
      <c r="B56" s="134"/>
      <c r="C56" s="204"/>
      <c r="D56" s="204"/>
      <c r="E56" s="204"/>
      <c r="F56" s="132"/>
      <c r="G56" s="218"/>
      <c r="H56" s="123"/>
    </row>
    <row r="57" spans="1:8" ht="15.75" x14ac:dyDescent="0.25">
      <c r="A57" s="130" t="s">
        <v>17</v>
      </c>
      <c r="B57" s="131">
        <f>DATE(2018,7,1)</f>
        <v>43282</v>
      </c>
      <c r="C57" s="204">
        <v>1436883</v>
      </c>
      <c r="D57" s="204">
        <v>395162.5</v>
      </c>
      <c r="E57" s="204">
        <v>362602</v>
      </c>
      <c r="F57" s="132">
        <f>(+D57-E57)/E57</f>
        <v>8.9796802003298384E-2</v>
      </c>
      <c r="G57" s="215">
        <f>D57/C57</f>
        <v>0.27501369283372412</v>
      </c>
      <c r="H57" s="123"/>
    </row>
    <row r="58" spans="1:8" ht="15.75" x14ac:dyDescent="0.25">
      <c r="A58" s="130"/>
      <c r="B58" s="131">
        <f>DATE(2018,8,1)</f>
        <v>43313</v>
      </c>
      <c r="C58" s="204">
        <v>1346022</v>
      </c>
      <c r="D58" s="204">
        <v>271146</v>
      </c>
      <c r="E58" s="204">
        <v>327445</v>
      </c>
      <c r="F58" s="132">
        <f>(+D58-E58)/E58</f>
        <v>-0.17193421796026814</v>
      </c>
      <c r="G58" s="215">
        <f>D58/C58</f>
        <v>0.20144247270846985</v>
      </c>
      <c r="H58" s="123"/>
    </row>
    <row r="59" spans="1:8" ht="15.75" x14ac:dyDescent="0.25">
      <c r="A59" s="130"/>
      <c r="B59" s="131">
        <f>DATE(2018,9,1)</f>
        <v>43344</v>
      </c>
      <c r="C59" s="204">
        <v>1317459</v>
      </c>
      <c r="D59" s="204">
        <v>347747</v>
      </c>
      <c r="E59" s="204">
        <v>332251.5</v>
      </c>
      <c r="F59" s="132">
        <f>(+D59-E59)/E59</f>
        <v>4.6637863184966807E-2</v>
      </c>
      <c r="G59" s="215">
        <f>D59/C59</f>
        <v>0.26395280612148081</v>
      </c>
      <c r="H59" s="123"/>
    </row>
    <row r="60" spans="1:8" ht="15.75" x14ac:dyDescent="0.25">
      <c r="A60" s="130"/>
      <c r="B60" s="131">
        <f>DATE(2018,10,1)</f>
        <v>43374</v>
      </c>
      <c r="C60" s="204">
        <v>1265550</v>
      </c>
      <c r="D60" s="204">
        <v>240203.5</v>
      </c>
      <c r="E60" s="204">
        <v>339253.5</v>
      </c>
      <c r="F60" s="132">
        <f>(+D60-E60)/E60</f>
        <v>-0.29196456337222754</v>
      </c>
      <c r="G60" s="215">
        <f>D60/C60</f>
        <v>0.18980166725929437</v>
      </c>
      <c r="H60" s="123"/>
    </row>
    <row r="61" spans="1:8" ht="15.75" x14ac:dyDescent="0.25">
      <c r="A61" s="130"/>
      <c r="B61" s="131">
        <f>DATE(2018,11,1)</f>
        <v>43405</v>
      </c>
      <c r="C61" s="204">
        <v>1401653</v>
      </c>
      <c r="D61" s="204">
        <v>171704.5</v>
      </c>
      <c r="E61" s="204">
        <v>333725</v>
      </c>
      <c r="F61" s="132">
        <f>(+D61-E61)/E61</f>
        <v>-0.48549104801857818</v>
      </c>
      <c r="G61" s="215">
        <f>D61/C61</f>
        <v>0.12250143223750815</v>
      </c>
      <c r="H61" s="123"/>
    </row>
    <row r="62" spans="1:8" ht="15.75" customHeight="1" thickBot="1" x14ac:dyDescent="0.3">
      <c r="A62" s="130"/>
      <c r="B62" s="131"/>
      <c r="C62" s="204"/>
      <c r="D62" s="204"/>
      <c r="E62" s="204"/>
      <c r="F62" s="132"/>
      <c r="G62" s="215"/>
      <c r="H62" s="123"/>
    </row>
    <row r="63" spans="1:8" ht="17.25" thickTop="1" thickBot="1" x14ac:dyDescent="0.3">
      <c r="A63" s="141" t="s">
        <v>14</v>
      </c>
      <c r="B63" s="142"/>
      <c r="C63" s="207">
        <f>SUM(C57:C62)</f>
        <v>6767567</v>
      </c>
      <c r="D63" s="261">
        <f>SUM(D57:D62)</f>
        <v>1425963.5</v>
      </c>
      <c r="E63" s="207">
        <f>SUM(E57:E62)</f>
        <v>1695277</v>
      </c>
      <c r="F63" s="269">
        <f>(+D63-E63)/E63</f>
        <v>-0.15886105928411698</v>
      </c>
      <c r="G63" s="267">
        <f>D63/C63</f>
        <v>0.21070548692018859</v>
      </c>
      <c r="H63" s="123"/>
    </row>
    <row r="64" spans="1:8" ht="15.75" customHeight="1" thickTop="1" x14ac:dyDescent="0.25">
      <c r="A64" s="130"/>
      <c r="B64" s="139"/>
      <c r="C64" s="205"/>
      <c r="D64" s="205"/>
      <c r="E64" s="205"/>
      <c r="F64" s="140"/>
      <c r="G64" s="216"/>
      <c r="H64" s="123"/>
    </row>
    <row r="65" spans="1:8" ht="15.75" x14ac:dyDescent="0.25">
      <c r="A65" s="130" t="s">
        <v>55</v>
      </c>
      <c r="B65" s="131">
        <f>DATE(2018,7,1)</f>
        <v>43282</v>
      </c>
      <c r="C65" s="204">
        <v>13110915</v>
      </c>
      <c r="D65" s="204">
        <v>2057880.1</v>
      </c>
      <c r="E65" s="204">
        <v>2414267.38</v>
      </c>
      <c r="F65" s="132">
        <f>(+D65-E65)/E65</f>
        <v>-0.14761715415299187</v>
      </c>
      <c r="G65" s="215">
        <f>D65/C65</f>
        <v>0.15695930451841081</v>
      </c>
      <c r="H65" s="123"/>
    </row>
    <row r="66" spans="1:8" ht="15.75" x14ac:dyDescent="0.25">
      <c r="A66" s="130"/>
      <c r="B66" s="131">
        <f>DATE(2018,8,1)</f>
        <v>43313</v>
      </c>
      <c r="C66" s="204">
        <v>13239234</v>
      </c>
      <c r="D66" s="204">
        <v>2105874.34</v>
      </c>
      <c r="E66" s="204">
        <v>2346748.2999999998</v>
      </c>
      <c r="F66" s="132">
        <f>(+D66-E66)/E66</f>
        <v>-0.10264158282334751</v>
      </c>
      <c r="G66" s="215">
        <f>D66/C66</f>
        <v>0.15906315576867966</v>
      </c>
      <c r="H66" s="123"/>
    </row>
    <row r="67" spans="1:8" ht="15.75" x14ac:dyDescent="0.25">
      <c r="A67" s="130"/>
      <c r="B67" s="131">
        <f>DATE(2018,9,1)</f>
        <v>43344</v>
      </c>
      <c r="C67" s="204">
        <v>12390658</v>
      </c>
      <c r="D67" s="204">
        <v>2555133.64</v>
      </c>
      <c r="E67" s="204">
        <v>2183188.7200000002</v>
      </c>
      <c r="F67" s="132">
        <f>(+D67-E67)/E67</f>
        <v>0.17036773623491416</v>
      </c>
      <c r="G67" s="215">
        <f>D67/C67</f>
        <v>0.20621452387758585</v>
      </c>
      <c r="H67" s="123"/>
    </row>
    <row r="68" spans="1:8" ht="15.75" x14ac:dyDescent="0.25">
      <c r="A68" s="130"/>
      <c r="B68" s="131">
        <f>DATE(2018,10,1)</f>
        <v>43374</v>
      </c>
      <c r="C68" s="204">
        <v>12275724</v>
      </c>
      <c r="D68" s="204">
        <v>2663687.6</v>
      </c>
      <c r="E68" s="204">
        <v>1755251.41</v>
      </c>
      <c r="F68" s="132">
        <f>(+D68-E68)/E68</f>
        <v>0.51755331733361221</v>
      </c>
      <c r="G68" s="215">
        <f>D68/C68</f>
        <v>0.21698822814849864</v>
      </c>
      <c r="H68" s="123"/>
    </row>
    <row r="69" spans="1:8" ht="15.75" x14ac:dyDescent="0.25">
      <c r="A69" s="130"/>
      <c r="B69" s="131">
        <f>DATE(2018,11,1)</f>
        <v>43405</v>
      </c>
      <c r="C69" s="204">
        <v>12544108</v>
      </c>
      <c r="D69" s="204">
        <v>2453012.8199999998</v>
      </c>
      <c r="E69" s="204">
        <v>2283849</v>
      </c>
      <c r="F69" s="132">
        <f>(+D69-E69)/E69</f>
        <v>7.4069616686567211E-2</v>
      </c>
      <c r="G69" s="215">
        <f>D69/C69</f>
        <v>0.19555099653159871</v>
      </c>
      <c r="H69" s="123"/>
    </row>
    <row r="70" spans="1:8" ht="15.75" customHeight="1" thickBot="1" x14ac:dyDescent="0.3">
      <c r="A70" s="130"/>
      <c r="B70" s="131"/>
      <c r="C70" s="204"/>
      <c r="D70" s="204"/>
      <c r="E70" s="204"/>
      <c r="F70" s="132"/>
      <c r="G70" s="215"/>
      <c r="H70" s="123"/>
    </row>
    <row r="71" spans="1:8" ht="17.25" thickTop="1" thickBot="1" x14ac:dyDescent="0.3">
      <c r="A71" s="141" t="s">
        <v>14</v>
      </c>
      <c r="B71" s="142"/>
      <c r="C71" s="206">
        <f>SUM(C65:C70)</f>
        <v>63560639</v>
      </c>
      <c r="D71" s="206">
        <f>SUM(D65:D70)</f>
        <v>11835588.5</v>
      </c>
      <c r="E71" s="206">
        <f>SUM(E65:E70)</f>
        <v>10983304.810000001</v>
      </c>
      <c r="F71" s="143">
        <f>(+D71-E71)/E71</f>
        <v>7.7598109562070819E-2</v>
      </c>
      <c r="G71" s="217">
        <f>D71/C71</f>
        <v>0.18620940075822712</v>
      </c>
      <c r="H71" s="123"/>
    </row>
    <row r="72" spans="1:8" ht="15.75" customHeight="1" thickTop="1" x14ac:dyDescent="0.25">
      <c r="A72" s="138"/>
      <c r="B72" s="139"/>
      <c r="C72" s="205"/>
      <c r="D72" s="205"/>
      <c r="E72" s="205"/>
      <c r="F72" s="140"/>
      <c r="G72" s="216"/>
      <c r="H72" s="123"/>
    </row>
    <row r="73" spans="1:8" ht="15.75" x14ac:dyDescent="0.25">
      <c r="A73" s="130" t="s">
        <v>18</v>
      </c>
      <c r="B73" s="131">
        <f>DATE(2018,7,1)</f>
        <v>43282</v>
      </c>
      <c r="C73" s="204">
        <v>13620105.34</v>
      </c>
      <c r="D73" s="204">
        <v>2729067.84</v>
      </c>
      <c r="E73" s="204">
        <v>2350317.5</v>
      </c>
      <c r="F73" s="132">
        <f>(+D73-E73)/E73</f>
        <v>0.16114858524433395</v>
      </c>
      <c r="G73" s="215">
        <f>D73/C73</f>
        <v>0.20037053839702534</v>
      </c>
      <c r="H73" s="123"/>
    </row>
    <row r="74" spans="1:8" ht="15.75" x14ac:dyDescent="0.25">
      <c r="A74" s="130"/>
      <c r="B74" s="131">
        <f>DATE(2018,8,1)</f>
        <v>43313</v>
      </c>
      <c r="C74" s="204">
        <v>12049552</v>
      </c>
      <c r="D74" s="204">
        <v>2970026</v>
      </c>
      <c r="E74" s="204">
        <v>1942234.5</v>
      </c>
      <c r="F74" s="132">
        <f>(+D74-E74)/E74</f>
        <v>0.52917992137406678</v>
      </c>
      <c r="G74" s="215">
        <f>D74/C74</f>
        <v>0.24648435062150029</v>
      </c>
      <c r="H74" s="123"/>
    </row>
    <row r="75" spans="1:8" ht="15.75" x14ac:dyDescent="0.25">
      <c r="A75" s="130"/>
      <c r="B75" s="131">
        <f>DATE(2018,9,1)</f>
        <v>43344</v>
      </c>
      <c r="C75" s="204">
        <v>11797906</v>
      </c>
      <c r="D75" s="204">
        <v>2637488.5</v>
      </c>
      <c r="E75" s="204">
        <v>2639234.2599999998</v>
      </c>
      <c r="F75" s="132">
        <f>(+D75-E75)/E75</f>
        <v>-6.6146458708056348E-4</v>
      </c>
      <c r="G75" s="215">
        <f>D75/C75</f>
        <v>0.22355564623078028</v>
      </c>
      <c r="H75" s="123"/>
    </row>
    <row r="76" spans="1:8" ht="15.75" x14ac:dyDescent="0.25">
      <c r="A76" s="130"/>
      <c r="B76" s="131">
        <f>DATE(2018,10,1)</f>
        <v>43374</v>
      </c>
      <c r="C76" s="204">
        <v>11119336</v>
      </c>
      <c r="D76" s="204">
        <v>1894492</v>
      </c>
      <c r="E76" s="204">
        <v>2495709.5</v>
      </c>
      <c r="F76" s="132">
        <f>(+D76-E76)/E76</f>
        <v>-0.24090043332367009</v>
      </c>
      <c r="G76" s="215">
        <f>D76/C76</f>
        <v>0.17037815927138095</v>
      </c>
      <c r="H76" s="123"/>
    </row>
    <row r="77" spans="1:8" ht="15.75" x14ac:dyDescent="0.25">
      <c r="A77" s="130"/>
      <c r="B77" s="131">
        <f>DATE(2018,11,1)</f>
        <v>43405</v>
      </c>
      <c r="C77" s="204">
        <v>11602598.5</v>
      </c>
      <c r="D77" s="204">
        <v>2412867</v>
      </c>
      <c r="E77" s="204">
        <v>2041604</v>
      </c>
      <c r="F77" s="132">
        <f>(+D77-E77)/E77</f>
        <v>0.18184868368204607</v>
      </c>
      <c r="G77" s="215">
        <f>D77/C77</f>
        <v>0.20795919121048617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6">
        <f>SUM(C73:C78)</f>
        <v>60189497.840000004</v>
      </c>
      <c r="D79" s="206">
        <f>SUM(D73:D78)</f>
        <v>12643941.34</v>
      </c>
      <c r="E79" s="206">
        <f>SUM(E73:E78)</f>
        <v>11469099.76</v>
      </c>
      <c r="F79" s="143">
        <f>(+D79-E79)/E79</f>
        <v>0.10243537893858203</v>
      </c>
      <c r="G79" s="217">
        <f>D79/C79</f>
        <v>0.21006889563377024</v>
      </c>
      <c r="H79" s="123"/>
    </row>
    <row r="80" spans="1:8" ht="15.75" customHeight="1" thickTop="1" x14ac:dyDescent="0.25">
      <c r="A80" s="138"/>
      <c r="B80" s="139"/>
      <c r="C80" s="205"/>
      <c r="D80" s="205"/>
      <c r="E80" s="205"/>
      <c r="F80" s="140"/>
      <c r="G80" s="216"/>
      <c r="H80" s="123"/>
    </row>
    <row r="81" spans="1:8" ht="15.75" x14ac:dyDescent="0.25">
      <c r="A81" s="130" t="s">
        <v>58</v>
      </c>
      <c r="B81" s="131">
        <f>DATE(2018,7,1)</f>
        <v>43282</v>
      </c>
      <c r="C81" s="204">
        <v>12908844</v>
      </c>
      <c r="D81" s="204">
        <v>2888136.73</v>
      </c>
      <c r="E81" s="204">
        <v>2354816.66</v>
      </c>
      <c r="F81" s="132">
        <f>(+D81-E81)/E81</f>
        <v>0.22648050655459512</v>
      </c>
      <c r="G81" s="215">
        <f>D81/C81</f>
        <v>0.22373318091069966</v>
      </c>
      <c r="H81" s="123"/>
    </row>
    <row r="82" spans="1:8" ht="15.75" x14ac:dyDescent="0.25">
      <c r="A82" s="130"/>
      <c r="B82" s="131">
        <f>DATE(2018,8,1)</f>
        <v>43313</v>
      </c>
      <c r="C82" s="204">
        <v>11947559</v>
      </c>
      <c r="D82" s="204">
        <v>2450251.84</v>
      </c>
      <c r="E82" s="204">
        <v>1981472</v>
      </c>
      <c r="F82" s="132">
        <f>(+D82-E82)/E82</f>
        <v>0.23658161205406883</v>
      </c>
      <c r="G82" s="215">
        <f>D82/C82</f>
        <v>0.20508388700989047</v>
      </c>
      <c r="H82" s="123"/>
    </row>
    <row r="83" spans="1:8" ht="15.75" x14ac:dyDescent="0.25">
      <c r="A83" s="130"/>
      <c r="B83" s="131">
        <f>DATE(2018,9,1)</f>
        <v>43344</v>
      </c>
      <c r="C83" s="204">
        <v>12029316</v>
      </c>
      <c r="D83" s="204">
        <v>1944257.4</v>
      </c>
      <c r="E83" s="204">
        <v>2416134</v>
      </c>
      <c r="F83" s="132">
        <f>(+D83-E83)/E83</f>
        <v>-0.19530233008599693</v>
      </c>
      <c r="G83" s="215">
        <f>D83/C83</f>
        <v>0.16162659622542128</v>
      </c>
      <c r="H83" s="123"/>
    </row>
    <row r="84" spans="1:8" ht="15.75" x14ac:dyDescent="0.25">
      <c r="A84" s="130"/>
      <c r="B84" s="131">
        <f>DATE(2018,10,1)</f>
        <v>43374</v>
      </c>
      <c r="C84" s="204">
        <v>13251865</v>
      </c>
      <c r="D84" s="204">
        <v>1108774.5</v>
      </c>
      <c r="E84" s="204">
        <v>2118997.3199999998</v>
      </c>
      <c r="F84" s="132">
        <f>(+D84-E84)/E84</f>
        <v>-0.47674568082983698</v>
      </c>
      <c r="G84" s="215">
        <f>D84/C84</f>
        <v>8.3669317488519537E-2</v>
      </c>
      <c r="H84" s="123"/>
    </row>
    <row r="85" spans="1:8" ht="15.75" x14ac:dyDescent="0.25">
      <c r="A85" s="130"/>
      <c r="B85" s="131">
        <f>DATE(2018,11,1)</f>
        <v>43405</v>
      </c>
      <c r="C85" s="204">
        <v>14843812</v>
      </c>
      <c r="D85" s="204">
        <v>4255364.95</v>
      </c>
      <c r="E85" s="204">
        <v>2312922.92</v>
      </c>
      <c r="F85" s="132">
        <f>(+D85-E85)/E85</f>
        <v>0.83982134173325595</v>
      </c>
      <c r="G85" s="215">
        <f>D85/C85</f>
        <v>0.28667602028373845</v>
      </c>
      <c r="H85" s="123"/>
    </row>
    <row r="86" spans="1:8" ht="15.75" thickBot="1" x14ac:dyDescent="0.25">
      <c r="A86" s="133"/>
      <c r="B86" s="131"/>
      <c r="C86" s="204"/>
      <c r="D86" s="204"/>
      <c r="E86" s="204"/>
      <c r="F86" s="132"/>
      <c r="G86" s="215"/>
      <c r="H86" s="123"/>
    </row>
    <row r="87" spans="1:8" ht="17.25" thickTop="1" thickBot="1" x14ac:dyDescent="0.3">
      <c r="A87" s="141" t="s">
        <v>14</v>
      </c>
      <c r="B87" s="142"/>
      <c r="C87" s="207">
        <f>SUM(C81:C86)</f>
        <v>64981396</v>
      </c>
      <c r="D87" s="207">
        <f>SUM(D81:D86)</f>
        <v>12646785.420000002</v>
      </c>
      <c r="E87" s="207">
        <f>SUM(E81:E86)</f>
        <v>11184342.9</v>
      </c>
      <c r="F87" s="143">
        <f>(+D87-E87)/E87</f>
        <v>0.13075801887297298</v>
      </c>
      <c r="G87" s="267">
        <f>D87/C87</f>
        <v>0.194621633244075</v>
      </c>
      <c r="H87" s="123"/>
    </row>
    <row r="88" spans="1:8" ht="15.75" customHeight="1" thickTop="1" x14ac:dyDescent="0.25">
      <c r="A88" s="138"/>
      <c r="B88" s="139"/>
      <c r="C88" s="205"/>
      <c r="D88" s="205"/>
      <c r="E88" s="205"/>
      <c r="F88" s="140"/>
      <c r="G88" s="219"/>
      <c r="H88" s="123"/>
    </row>
    <row r="89" spans="1:8" ht="15.75" x14ac:dyDescent="0.25">
      <c r="A89" s="130" t="s">
        <v>59</v>
      </c>
      <c r="B89" s="131">
        <f>DATE(2018,7,1)</f>
        <v>43282</v>
      </c>
      <c r="C89" s="204">
        <v>623996.5</v>
      </c>
      <c r="D89" s="204">
        <v>154554.5</v>
      </c>
      <c r="E89" s="204">
        <v>185261.5</v>
      </c>
      <c r="F89" s="132">
        <f>(+D89-E89)/E89</f>
        <v>-0.16574949463326163</v>
      </c>
      <c r="G89" s="215">
        <f>D89/C89</f>
        <v>0.24768488284790058</v>
      </c>
      <c r="H89" s="123"/>
    </row>
    <row r="90" spans="1:8" ht="15.75" x14ac:dyDescent="0.25">
      <c r="A90" s="130"/>
      <c r="B90" s="131">
        <f>DATE(2018,8,1)</f>
        <v>43313</v>
      </c>
      <c r="C90" s="204">
        <v>653768</v>
      </c>
      <c r="D90" s="204">
        <v>228200</v>
      </c>
      <c r="E90" s="204">
        <v>131840.5</v>
      </c>
      <c r="F90" s="132">
        <f>(+D90-E90)/E90</f>
        <v>0.73087935801214343</v>
      </c>
      <c r="G90" s="215">
        <f>D90/C90</f>
        <v>0.34905348686384163</v>
      </c>
      <c r="H90" s="123"/>
    </row>
    <row r="91" spans="1:8" ht="15.75" x14ac:dyDescent="0.25">
      <c r="A91" s="130"/>
      <c r="B91" s="131">
        <f>DATE(2018,9,1)</f>
        <v>43344</v>
      </c>
      <c r="C91" s="204">
        <v>648238</v>
      </c>
      <c r="D91" s="204">
        <v>133253.5</v>
      </c>
      <c r="E91" s="204">
        <v>130165.5</v>
      </c>
      <c r="F91" s="132">
        <f>(+D91-E91)/E91</f>
        <v>2.3723644129972996E-2</v>
      </c>
      <c r="G91" s="215">
        <f>D91/C91</f>
        <v>0.20556261743372034</v>
      </c>
      <c r="H91" s="123"/>
    </row>
    <row r="92" spans="1:8" ht="15.75" x14ac:dyDescent="0.25">
      <c r="A92" s="130"/>
      <c r="B92" s="131">
        <f>DATE(2018,10,1)</f>
        <v>43374</v>
      </c>
      <c r="C92" s="204">
        <v>607581</v>
      </c>
      <c r="D92" s="204">
        <v>183569.5</v>
      </c>
      <c r="E92" s="204">
        <v>213032.5</v>
      </c>
      <c r="F92" s="132">
        <f>(+D92-E92)/E92</f>
        <v>-0.13830284111579219</v>
      </c>
      <c r="G92" s="215">
        <f>D92/C92</f>
        <v>0.30213173222994133</v>
      </c>
      <c r="H92" s="123"/>
    </row>
    <row r="93" spans="1:8" ht="15.75" x14ac:dyDescent="0.25">
      <c r="A93" s="130"/>
      <c r="B93" s="131">
        <f>DATE(2018,11,1)</f>
        <v>43405</v>
      </c>
      <c r="C93" s="204">
        <v>590853</v>
      </c>
      <c r="D93" s="204">
        <v>134566.5</v>
      </c>
      <c r="E93" s="204">
        <v>120661.5</v>
      </c>
      <c r="F93" s="132">
        <f>(+D93-E93)/E93</f>
        <v>0.11523974092813366</v>
      </c>
      <c r="G93" s="215">
        <f>D93/C93</f>
        <v>0.22774954176419515</v>
      </c>
      <c r="H93" s="123"/>
    </row>
    <row r="94" spans="1:8" ht="15.75" thickBot="1" x14ac:dyDescent="0.25">
      <c r="A94" s="133"/>
      <c r="B94" s="134"/>
      <c r="C94" s="204"/>
      <c r="D94" s="204"/>
      <c r="E94" s="204"/>
      <c r="F94" s="132"/>
      <c r="G94" s="215"/>
      <c r="H94" s="123"/>
    </row>
    <row r="95" spans="1:8" ht="17.25" thickTop="1" thickBot="1" x14ac:dyDescent="0.3">
      <c r="A95" s="144" t="s">
        <v>14</v>
      </c>
      <c r="B95" s="145"/>
      <c r="C95" s="207">
        <f>SUM(C89:C94)</f>
        <v>3124436.5</v>
      </c>
      <c r="D95" s="207">
        <f>SUM(D89:D94)</f>
        <v>834144</v>
      </c>
      <c r="E95" s="207">
        <f>SUM(E89:E94)</f>
        <v>780961.5</v>
      </c>
      <c r="F95" s="143">
        <f>(+D95-E95)/E95</f>
        <v>6.8098747505478827E-2</v>
      </c>
      <c r="G95" s="217">
        <f>D95/C95</f>
        <v>0.26697422079149313</v>
      </c>
      <c r="H95" s="123"/>
    </row>
    <row r="96" spans="1:8" ht="15.75" customHeight="1" thickTop="1" x14ac:dyDescent="0.25">
      <c r="A96" s="130"/>
      <c r="B96" s="134"/>
      <c r="C96" s="204"/>
      <c r="D96" s="204"/>
      <c r="E96" s="204"/>
      <c r="F96" s="132"/>
      <c r="G96" s="218"/>
      <c r="H96" s="123"/>
    </row>
    <row r="97" spans="1:8" ht="15.75" x14ac:dyDescent="0.25">
      <c r="A97" s="130" t="s">
        <v>40</v>
      </c>
      <c r="B97" s="131">
        <f>DATE(2018,7,1)</f>
        <v>43282</v>
      </c>
      <c r="C97" s="204">
        <v>18395528</v>
      </c>
      <c r="D97" s="204">
        <v>4013253.36</v>
      </c>
      <c r="E97" s="204">
        <v>3485005.33</v>
      </c>
      <c r="F97" s="132">
        <f>(+D97-E97)/E97</f>
        <v>0.15157739514848886</v>
      </c>
      <c r="G97" s="215">
        <f>D97/C97</f>
        <v>0.21816461914004315</v>
      </c>
      <c r="H97" s="123"/>
    </row>
    <row r="98" spans="1:8" ht="15.75" x14ac:dyDescent="0.25">
      <c r="A98" s="130"/>
      <c r="B98" s="131">
        <f>DATE(2018,8,1)</f>
        <v>43313</v>
      </c>
      <c r="C98" s="204">
        <v>18678539</v>
      </c>
      <c r="D98" s="204">
        <v>4234586.5999999996</v>
      </c>
      <c r="E98" s="204">
        <v>2756152.9</v>
      </c>
      <c r="F98" s="132">
        <f>(+D98-E98)/E98</f>
        <v>0.5364120764127418</v>
      </c>
      <c r="G98" s="215">
        <f>D98/C98</f>
        <v>0.22670866281351018</v>
      </c>
      <c r="H98" s="123"/>
    </row>
    <row r="99" spans="1:8" ht="15.75" x14ac:dyDescent="0.25">
      <c r="A99" s="130"/>
      <c r="B99" s="131">
        <f>DATE(2018,9,1)</f>
        <v>43344</v>
      </c>
      <c r="C99" s="204">
        <v>15238679</v>
      </c>
      <c r="D99" s="204">
        <v>3317290.2</v>
      </c>
      <c r="E99" s="204">
        <v>3555670.84</v>
      </c>
      <c r="F99" s="132">
        <f>(+D99-E99)/E99</f>
        <v>-6.7042381234591358E-2</v>
      </c>
      <c r="G99" s="215">
        <f>D99/C99</f>
        <v>0.2176888298519839</v>
      </c>
      <c r="H99" s="123"/>
    </row>
    <row r="100" spans="1:8" ht="15.75" x14ac:dyDescent="0.25">
      <c r="A100" s="130"/>
      <c r="B100" s="131">
        <f>DATE(2018,10,1)</f>
        <v>43374</v>
      </c>
      <c r="C100" s="204">
        <v>14568891</v>
      </c>
      <c r="D100" s="204">
        <v>3010473</v>
      </c>
      <c r="E100" s="204">
        <v>3109647.95</v>
      </c>
      <c r="F100" s="132">
        <f>(+D100-E100)/E100</f>
        <v>-3.1892661675737337E-2</v>
      </c>
      <c r="G100" s="215">
        <f>D100/C100</f>
        <v>0.20663707347388349</v>
      </c>
      <c r="H100" s="123"/>
    </row>
    <row r="101" spans="1:8" ht="15.75" x14ac:dyDescent="0.25">
      <c r="A101" s="130"/>
      <c r="B101" s="131">
        <f>DATE(2018,11,1)</f>
        <v>43405</v>
      </c>
      <c r="C101" s="204">
        <v>15484724</v>
      </c>
      <c r="D101" s="204">
        <v>3636412.28</v>
      </c>
      <c r="E101" s="204">
        <v>3185542.02</v>
      </c>
      <c r="F101" s="132">
        <f>(+D101-E101)/E101</f>
        <v>0.14153643466928739</v>
      </c>
      <c r="G101" s="215">
        <f>D101/C101</f>
        <v>0.23483868876190495</v>
      </c>
      <c r="H101" s="123"/>
    </row>
    <row r="102" spans="1:8" ht="15.75" thickBot="1" x14ac:dyDescent="0.25">
      <c r="A102" s="133"/>
      <c r="B102" s="134"/>
      <c r="C102" s="204"/>
      <c r="D102" s="204"/>
      <c r="E102" s="204"/>
      <c r="F102" s="132"/>
      <c r="G102" s="215"/>
      <c r="H102" s="123"/>
    </row>
    <row r="103" spans="1:8" ht="17.25" thickTop="1" thickBot="1" x14ac:dyDescent="0.3">
      <c r="A103" s="141" t="s">
        <v>14</v>
      </c>
      <c r="B103" s="142"/>
      <c r="C103" s="206">
        <f>SUM(C97:C102)</f>
        <v>82366361</v>
      </c>
      <c r="D103" s="207">
        <f>SUM(D97:D102)</f>
        <v>18212015.440000001</v>
      </c>
      <c r="E103" s="206">
        <f>SUM(E97:E102)</f>
        <v>16092019.039999999</v>
      </c>
      <c r="F103" s="143">
        <f>(+D103-E103)/E103</f>
        <v>0.13174210114531423</v>
      </c>
      <c r="G103" s="217">
        <f>D103/C103</f>
        <v>0.22110987081243036</v>
      </c>
      <c r="H103" s="123"/>
    </row>
    <row r="104" spans="1:8" ht="15.75" customHeight="1" thickTop="1" x14ac:dyDescent="0.25">
      <c r="A104" s="130"/>
      <c r="B104" s="134"/>
      <c r="C104" s="204"/>
      <c r="D104" s="204"/>
      <c r="E104" s="204"/>
      <c r="F104" s="132"/>
      <c r="G104" s="218"/>
      <c r="H104" s="123"/>
    </row>
    <row r="105" spans="1:8" ht="15.75" x14ac:dyDescent="0.25">
      <c r="A105" s="130" t="s">
        <v>64</v>
      </c>
      <c r="B105" s="131">
        <f>DATE(2018,7,1)</f>
        <v>43282</v>
      </c>
      <c r="C105" s="204">
        <v>835189</v>
      </c>
      <c r="D105" s="204">
        <v>171143.5</v>
      </c>
      <c r="E105" s="204">
        <v>283672</v>
      </c>
      <c r="F105" s="132">
        <f>(+D105-E105)/E105</f>
        <v>-0.39668525621139911</v>
      </c>
      <c r="G105" s="215">
        <f>D105/C105</f>
        <v>0.20491589328882445</v>
      </c>
      <c r="H105" s="123"/>
    </row>
    <row r="106" spans="1:8" ht="15.75" x14ac:dyDescent="0.25">
      <c r="A106" s="130"/>
      <c r="B106" s="131">
        <f>DATE(2018,8,1)</f>
        <v>43313</v>
      </c>
      <c r="C106" s="204">
        <v>795370</v>
      </c>
      <c r="D106" s="204">
        <v>217353.5</v>
      </c>
      <c r="E106" s="204">
        <v>213515</v>
      </c>
      <c r="F106" s="132">
        <f>(+D106-E106)/E106</f>
        <v>1.7977659649204975E-2</v>
      </c>
      <c r="G106" s="215">
        <f>D106/C106</f>
        <v>0.27327344506330387</v>
      </c>
      <c r="H106" s="123"/>
    </row>
    <row r="107" spans="1:8" ht="15.75" x14ac:dyDescent="0.25">
      <c r="A107" s="130"/>
      <c r="B107" s="131">
        <f>DATE(2018,9,1)</f>
        <v>43344</v>
      </c>
      <c r="C107" s="204">
        <v>769718</v>
      </c>
      <c r="D107" s="204">
        <v>169120</v>
      </c>
      <c r="E107" s="204">
        <v>213772.5</v>
      </c>
      <c r="F107" s="132">
        <f>(+D107-E107)/E107</f>
        <v>-0.20887859757452432</v>
      </c>
      <c r="G107" s="215">
        <f>D107/C107</f>
        <v>0.21971683135901721</v>
      </c>
      <c r="H107" s="123"/>
    </row>
    <row r="108" spans="1:8" ht="15.75" x14ac:dyDescent="0.25">
      <c r="A108" s="130"/>
      <c r="B108" s="131">
        <f>DATE(2018,10,1)</f>
        <v>43374</v>
      </c>
      <c r="C108" s="204">
        <v>707919</v>
      </c>
      <c r="D108" s="204">
        <v>142313.5</v>
      </c>
      <c r="E108" s="204">
        <v>244828.5</v>
      </c>
      <c r="F108" s="132">
        <f>(+D108-E108)/E108</f>
        <v>-0.41872167660219295</v>
      </c>
      <c r="G108" s="215">
        <f>D108/C108</f>
        <v>0.2010307676443209</v>
      </c>
      <c r="H108" s="123"/>
    </row>
    <row r="109" spans="1:8" ht="15.75" x14ac:dyDescent="0.25">
      <c r="A109" s="130"/>
      <c r="B109" s="131">
        <f>DATE(2018,11,1)</f>
        <v>43405</v>
      </c>
      <c r="C109" s="204">
        <v>684493</v>
      </c>
      <c r="D109" s="204">
        <v>170858.5</v>
      </c>
      <c r="E109" s="204">
        <v>214514.5</v>
      </c>
      <c r="F109" s="132">
        <f>(+D109-E109)/E109</f>
        <v>-0.20351071838966597</v>
      </c>
      <c r="G109" s="215">
        <f>D109/C109</f>
        <v>0.2496132173740272</v>
      </c>
      <c r="H109" s="123"/>
    </row>
    <row r="110" spans="1:8" ht="15.75" thickBot="1" x14ac:dyDescent="0.25">
      <c r="A110" s="133"/>
      <c r="B110" s="134"/>
      <c r="C110" s="204"/>
      <c r="D110" s="204"/>
      <c r="E110" s="204"/>
      <c r="F110" s="132"/>
      <c r="G110" s="215"/>
      <c r="H110" s="123"/>
    </row>
    <row r="111" spans="1:8" ht="17.25" thickTop="1" thickBot="1" x14ac:dyDescent="0.3">
      <c r="A111" s="135" t="s">
        <v>14</v>
      </c>
      <c r="B111" s="136"/>
      <c r="C111" s="201">
        <f>SUM(C105:C110)</f>
        <v>3792689</v>
      </c>
      <c r="D111" s="207">
        <f>SUM(D105:D110)</f>
        <v>870789</v>
      </c>
      <c r="E111" s="207">
        <f>SUM(E105:E110)</f>
        <v>1170302.5</v>
      </c>
      <c r="F111" s="143">
        <f>(+D111-E111)/E111</f>
        <v>-0.25592827495455234</v>
      </c>
      <c r="G111" s="217">
        <f>D111/C111</f>
        <v>0.22959673202838407</v>
      </c>
      <c r="H111" s="123"/>
    </row>
    <row r="112" spans="1:8" ht="16.5" thickTop="1" thickBot="1" x14ac:dyDescent="0.25">
      <c r="A112" s="146"/>
      <c r="B112" s="139"/>
      <c r="C112" s="205"/>
      <c r="D112" s="205"/>
      <c r="E112" s="205"/>
      <c r="F112" s="140"/>
      <c r="G112" s="216"/>
      <c r="H112" s="123"/>
    </row>
    <row r="113" spans="1:8" ht="17.25" thickTop="1" thickBot="1" x14ac:dyDescent="0.3">
      <c r="A113" s="147" t="s">
        <v>41</v>
      </c>
      <c r="B113" s="121"/>
      <c r="C113" s="201">
        <f>C111+C103+C79+C63+C47+C31+C15+C39+C95+C23+C71+C87+C55</f>
        <v>519202560.60000002</v>
      </c>
      <c r="D113" s="201">
        <f>D111+D103+D79+D63+D47+D31+D15+D39+D95+D23+D71+D87+D55</f>
        <v>107788864.43000001</v>
      </c>
      <c r="E113" s="201">
        <f>E111+E103+E79+E63+E47+E31+E15+E39+E95+E23+E71+E87+E55</f>
        <v>103658211.10000001</v>
      </c>
      <c r="F113" s="137">
        <f>(+D113-E113)/E113</f>
        <v>3.9848780778351654E-2</v>
      </c>
      <c r="G113" s="212">
        <f>D113/C113</f>
        <v>0.20760464722176489</v>
      </c>
      <c r="H113" s="123"/>
    </row>
    <row r="114" spans="1:8" ht="17.25" thickTop="1" thickBot="1" x14ac:dyDescent="0.3">
      <c r="A114" s="147"/>
      <c r="B114" s="121"/>
      <c r="C114" s="201"/>
      <c r="D114" s="201"/>
      <c r="E114" s="201"/>
      <c r="F114" s="137"/>
      <c r="G114" s="212"/>
      <c r="H114" s="123"/>
    </row>
    <row r="115" spans="1:8" ht="17.25" thickTop="1" thickBot="1" x14ac:dyDescent="0.3">
      <c r="A115" s="265" t="s">
        <v>42</v>
      </c>
      <c r="B115" s="266"/>
      <c r="C115" s="206">
        <f>+C13+C21+C29+C37+C45+C53+C61+C69+C77+C85+C93+C101+C109</f>
        <v>101960666</v>
      </c>
      <c r="D115" s="206">
        <f>+D13+D21+D29+D37+D45+D53+D61+D69+D77+D85+D93+D101+D109</f>
        <v>23306230.740000002</v>
      </c>
      <c r="E115" s="206">
        <f>+E13+E21+E29+E37+E45+E53+E61+E69+E77+E85+E93+E101+E109</f>
        <v>20877248.48</v>
      </c>
      <c r="F115" s="143">
        <f>(+D115-E115)/E115</f>
        <v>0.11634589981179366</v>
      </c>
      <c r="G115" s="217">
        <f>D115/C115</f>
        <v>0.22858060519141765</v>
      </c>
      <c r="H115" s="123"/>
    </row>
    <row r="116" spans="1:8" ht="16.5" thickTop="1" x14ac:dyDescent="0.25">
      <c r="A116" s="256"/>
      <c r="B116" s="258"/>
      <c r="C116" s="259"/>
      <c r="D116" s="259"/>
      <c r="E116" s="259"/>
      <c r="F116" s="260"/>
      <c r="G116" s="257"/>
      <c r="H116" s="257"/>
    </row>
    <row r="117" spans="1:8" ht="18.75" x14ac:dyDescent="0.3">
      <c r="A117" s="263" t="s">
        <v>43</v>
      </c>
      <c r="B117" s="117"/>
      <c r="C117" s="208"/>
      <c r="D117" s="208"/>
      <c r="E117" s="208"/>
      <c r="F117" s="148"/>
      <c r="G117" s="220"/>
    </row>
    <row r="118" spans="1:8" ht="15.75" x14ac:dyDescent="0.25">
      <c r="A118" s="7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2" manualBreakCount="2">
    <brk id="55" max="7" man="1"/>
    <brk id="10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20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38</v>
      </c>
      <c r="B10" s="165">
        <f>DATE(18,7,1)</f>
        <v>6757</v>
      </c>
      <c r="C10" s="226">
        <v>116623713.70999999</v>
      </c>
      <c r="D10" s="226">
        <v>11548721.09</v>
      </c>
      <c r="E10" s="226">
        <v>12399454.65</v>
      </c>
      <c r="F10" s="166">
        <f>(+D10-E10)/E10</f>
        <v>-6.8610562642769171E-2</v>
      </c>
      <c r="G10" s="241">
        <f>D10/C10</f>
        <v>9.9025495952884804E-2</v>
      </c>
      <c r="H10" s="242">
        <f>1-G10</f>
        <v>0.90097450404711521</v>
      </c>
      <c r="I10" s="157"/>
    </row>
    <row r="11" spans="1:9" ht="15.75" x14ac:dyDescent="0.25">
      <c r="A11" s="164"/>
      <c r="B11" s="165">
        <f>DATE(18,8,1)</f>
        <v>6788</v>
      </c>
      <c r="C11" s="226">
        <v>117765018.3</v>
      </c>
      <c r="D11" s="226">
        <v>12278666.34</v>
      </c>
      <c r="E11" s="226">
        <v>11441719.539999999</v>
      </c>
      <c r="F11" s="166">
        <f>(+D11-E11)/E11</f>
        <v>7.3148690375957323E-2</v>
      </c>
      <c r="G11" s="241">
        <f>D11/C11</f>
        <v>0.10426412288851994</v>
      </c>
      <c r="H11" s="242">
        <f>1-G11</f>
        <v>0.89573587711148006</v>
      </c>
      <c r="I11" s="157"/>
    </row>
    <row r="12" spans="1:9" ht="15.75" x14ac:dyDescent="0.25">
      <c r="A12" s="164"/>
      <c r="B12" s="165">
        <f>DATE(18,9,1)</f>
        <v>6819</v>
      </c>
      <c r="C12" s="226">
        <v>114244738.3</v>
      </c>
      <c r="D12" s="226">
        <v>11479851.300000001</v>
      </c>
      <c r="E12" s="226">
        <v>11813160.59</v>
      </c>
      <c r="F12" s="166">
        <f>(+D12-E12)/E12</f>
        <v>-2.8215081599936086E-2</v>
      </c>
      <c r="G12" s="241">
        <f>D12/C12</f>
        <v>0.10048472665633477</v>
      </c>
      <c r="H12" s="242">
        <f>1-G12</f>
        <v>0.89951527334366521</v>
      </c>
      <c r="I12" s="157"/>
    </row>
    <row r="13" spans="1:9" ht="15.75" x14ac:dyDescent="0.25">
      <c r="A13" s="164"/>
      <c r="B13" s="165">
        <f>DATE(18,10,1)</f>
        <v>6849</v>
      </c>
      <c r="C13" s="226">
        <v>118499471.81999999</v>
      </c>
      <c r="D13" s="226">
        <v>11766741.380000001</v>
      </c>
      <c r="E13" s="226">
        <v>11558139.689999999</v>
      </c>
      <c r="F13" s="166">
        <f>(+D13-E13)/E13</f>
        <v>1.8048033299033553E-2</v>
      </c>
      <c r="G13" s="241">
        <f>D13/C13</f>
        <v>9.9297838203647126E-2</v>
      </c>
      <c r="H13" s="242">
        <f>1-G13</f>
        <v>0.90070216179635287</v>
      </c>
      <c r="I13" s="157"/>
    </row>
    <row r="14" spans="1:9" ht="15.75" x14ac:dyDescent="0.25">
      <c r="A14" s="164"/>
      <c r="B14" s="165">
        <f>DATE(18,11,1)</f>
        <v>6880</v>
      </c>
      <c r="C14" s="226">
        <v>109285129.77</v>
      </c>
      <c r="D14" s="226">
        <v>11316404.939999999</v>
      </c>
      <c r="E14" s="226">
        <v>11896579.67</v>
      </c>
      <c r="F14" s="166">
        <f>(+D14-E14)/E14</f>
        <v>-4.8768196077654681E-2</v>
      </c>
      <c r="G14" s="241">
        <f>D14/C14</f>
        <v>0.10354935720730123</v>
      </c>
      <c r="H14" s="242">
        <f>1-G14</f>
        <v>0.89645064279269882</v>
      </c>
      <c r="I14" s="157"/>
    </row>
    <row r="15" spans="1:9" ht="15.75" thickBot="1" x14ac:dyDescent="0.25">
      <c r="A15" s="167"/>
      <c r="B15" s="168"/>
      <c r="C15" s="226"/>
      <c r="D15" s="226"/>
      <c r="E15" s="226"/>
      <c r="F15" s="166"/>
      <c r="G15" s="241"/>
      <c r="H15" s="242"/>
      <c r="I15" s="157"/>
    </row>
    <row r="16" spans="1:9" ht="17.25" thickTop="1" thickBot="1" x14ac:dyDescent="0.3">
      <c r="A16" s="169" t="s">
        <v>14</v>
      </c>
      <c r="B16" s="155"/>
      <c r="C16" s="223">
        <f>SUM(C10:C15)</f>
        <v>576418071.89999998</v>
      </c>
      <c r="D16" s="223">
        <f>SUM(D10:D15)</f>
        <v>58390385.050000004</v>
      </c>
      <c r="E16" s="223">
        <f>SUM(E10:E15)</f>
        <v>59109054.140000001</v>
      </c>
      <c r="F16" s="170">
        <f>(+D16-E16)/E16</f>
        <v>-1.2158358824315237E-2</v>
      </c>
      <c r="G16" s="236">
        <f>D16/C16</f>
        <v>0.10129867173930292</v>
      </c>
      <c r="H16" s="237">
        <f>1-G16</f>
        <v>0.89870132826069704</v>
      </c>
      <c r="I16" s="157"/>
    </row>
    <row r="17" spans="1:9" ht="15.75" thickTop="1" x14ac:dyDescent="0.2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.75" x14ac:dyDescent="0.25">
      <c r="A18" s="19" t="s">
        <v>51</v>
      </c>
      <c r="B18" s="165">
        <f>DATE(18,7,1)</f>
        <v>6757</v>
      </c>
      <c r="C18" s="226">
        <v>65541726.200000003</v>
      </c>
      <c r="D18" s="226">
        <v>6830347.7599999998</v>
      </c>
      <c r="E18" s="226">
        <v>6811001.46</v>
      </c>
      <c r="F18" s="166">
        <f>(+D18-E18)/E18</f>
        <v>2.8404486643583563E-3</v>
      </c>
      <c r="G18" s="241">
        <f>D18/C18</f>
        <v>0.10421373003141927</v>
      </c>
      <c r="H18" s="242">
        <f>1-G18</f>
        <v>0.89578626996858068</v>
      </c>
      <c r="I18" s="157"/>
    </row>
    <row r="19" spans="1:9" ht="15.75" x14ac:dyDescent="0.25">
      <c r="A19" s="19"/>
      <c r="B19" s="165">
        <f>DATE(18,8,1)</f>
        <v>6788</v>
      </c>
      <c r="C19" s="226">
        <v>63796111.600000001</v>
      </c>
      <c r="D19" s="226">
        <v>6442436.2599999998</v>
      </c>
      <c r="E19" s="226">
        <v>6396602.3099999996</v>
      </c>
      <c r="F19" s="166">
        <f>(+D19-E19)/E19</f>
        <v>7.1653586980617197E-3</v>
      </c>
      <c r="G19" s="241">
        <f>D19/C19</f>
        <v>0.100984779454803</v>
      </c>
      <c r="H19" s="242">
        <f>1-G19</f>
        <v>0.899015220545197</v>
      </c>
      <c r="I19" s="157"/>
    </row>
    <row r="20" spans="1:9" ht="15.75" x14ac:dyDescent="0.25">
      <c r="A20" s="19"/>
      <c r="B20" s="165">
        <f>DATE(18,9,1)</f>
        <v>6819</v>
      </c>
      <c r="C20" s="226">
        <v>63301750.789999999</v>
      </c>
      <c r="D20" s="226">
        <v>6263459.5800000001</v>
      </c>
      <c r="E20" s="226">
        <v>6148408.0899999999</v>
      </c>
      <c r="F20" s="166">
        <f>(+D20-E20)/E20</f>
        <v>1.871240300186389E-2</v>
      </c>
      <c r="G20" s="241">
        <f>D20/C20</f>
        <v>9.8946071820014511E-2</v>
      </c>
      <c r="H20" s="242">
        <f>1-G20</f>
        <v>0.90105392817998553</v>
      </c>
      <c r="I20" s="157"/>
    </row>
    <row r="21" spans="1:9" ht="15.75" x14ac:dyDescent="0.25">
      <c r="A21" s="19"/>
      <c r="B21" s="165">
        <f>DATE(18,10,1)</f>
        <v>6849</v>
      </c>
      <c r="C21" s="226">
        <v>57076488.579999998</v>
      </c>
      <c r="D21" s="226">
        <v>5583864.3700000001</v>
      </c>
      <c r="E21" s="226">
        <v>5734526.3600000003</v>
      </c>
      <c r="F21" s="166">
        <f>(+D21-E21)/E21</f>
        <v>-2.6272787069375372E-2</v>
      </c>
      <c r="G21" s="241">
        <f>D21/C21</f>
        <v>9.7831252568621144E-2</v>
      </c>
      <c r="H21" s="242">
        <f>1-G21</f>
        <v>0.90216874743137887</v>
      </c>
      <c r="I21" s="157"/>
    </row>
    <row r="22" spans="1:9" ht="15.75" x14ac:dyDescent="0.25">
      <c r="A22" s="19"/>
      <c r="B22" s="165">
        <f>DATE(18,11,1)</f>
        <v>6880</v>
      </c>
      <c r="C22" s="226">
        <v>54722880.229999997</v>
      </c>
      <c r="D22" s="226">
        <v>5280741.6900000004</v>
      </c>
      <c r="E22" s="226">
        <v>5714351.8499999996</v>
      </c>
      <c r="F22" s="166">
        <f>(+D22-E22)/E22</f>
        <v>-7.5880899773436108E-2</v>
      </c>
      <c r="G22" s="241">
        <f>D22/C22</f>
        <v>9.6499703009144788E-2</v>
      </c>
      <c r="H22" s="242">
        <f>1-G22</f>
        <v>0.90350029699085521</v>
      </c>
      <c r="I22" s="157"/>
    </row>
    <row r="23" spans="1:9" ht="15.75" thickBot="1" x14ac:dyDescent="0.25">
      <c r="A23" s="167"/>
      <c r="B23" s="165"/>
      <c r="C23" s="226"/>
      <c r="D23" s="226"/>
      <c r="E23" s="226"/>
      <c r="F23" s="166"/>
      <c r="G23" s="241"/>
      <c r="H23" s="242"/>
      <c r="I23" s="157"/>
    </row>
    <row r="24" spans="1:9" ht="17.25" thickTop="1" thickBot="1" x14ac:dyDescent="0.3">
      <c r="A24" s="169" t="s">
        <v>14</v>
      </c>
      <c r="B24" s="155"/>
      <c r="C24" s="223">
        <f>SUM(C18:C23)</f>
        <v>304438957.40000004</v>
      </c>
      <c r="D24" s="223">
        <f>SUM(D18:D23)</f>
        <v>30400849.660000004</v>
      </c>
      <c r="E24" s="223">
        <f>SUM(E18:E23)</f>
        <v>30804890.07</v>
      </c>
      <c r="F24" s="170">
        <f>(+D24-E24)/E24</f>
        <v>-1.311611270424496E-2</v>
      </c>
      <c r="G24" s="236">
        <f>D24/C24</f>
        <v>9.9858605218045599E-2</v>
      </c>
      <c r="H24" s="237">
        <f>1-G24</f>
        <v>0.90014139478195443</v>
      </c>
      <c r="I24" s="157"/>
    </row>
    <row r="25" spans="1:9" ht="15.75" thickTop="1" x14ac:dyDescent="0.2">
      <c r="A25" s="171"/>
      <c r="B25" s="172"/>
      <c r="C25" s="227"/>
      <c r="D25" s="227"/>
      <c r="E25" s="227"/>
      <c r="F25" s="173"/>
      <c r="G25" s="243"/>
      <c r="H25" s="244"/>
      <c r="I25" s="157"/>
    </row>
    <row r="26" spans="1:9" ht="15.75" x14ac:dyDescent="0.25">
      <c r="A26" s="19" t="s">
        <v>60</v>
      </c>
      <c r="B26" s="165">
        <f>DATE(18,7,1)</f>
        <v>6757</v>
      </c>
      <c r="C26" s="226">
        <v>27451989.68</v>
      </c>
      <c r="D26" s="226">
        <v>2891699.85</v>
      </c>
      <c r="E26" s="226">
        <v>2951015.74</v>
      </c>
      <c r="F26" s="166">
        <f>(+D26-E26)/E26</f>
        <v>-2.0100160495924745E-2</v>
      </c>
      <c r="G26" s="241">
        <f>D26/C26</f>
        <v>0.10533662163317556</v>
      </c>
      <c r="H26" s="242">
        <f>1-G26</f>
        <v>0.89466337836682441</v>
      </c>
      <c r="I26" s="157"/>
    </row>
    <row r="27" spans="1:9" ht="15.75" x14ac:dyDescent="0.25">
      <c r="A27" s="19"/>
      <c r="B27" s="165">
        <f>DATE(18,8,1)</f>
        <v>6788</v>
      </c>
      <c r="C27" s="226">
        <v>25957318.239999998</v>
      </c>
      <c r="D27" s="226">
        <v>2785511.76</v>
      </c>
      <c r="E27" s="226">
        <v>2587760.59</v>
      </c>
      <c r="F27" s="166">
        <f>(+D27-E27)/E27</f>
        <v>7.6417876817576835E-2</v>
      </c>
      <c r="G27" s="241">
        <f>D27/C27</f>
        <v>0.10731123046862179</v>
      </c>
      <c r="H27" s="242">
        <f>1-G27</f>
        <v>0.89268876953137821</v>
      </c>
      <c r="I27" s="157"/>
    </row>
    <row r="28" spans="1:9" ht="15.75" x14ac:dyDescent="0.25">
      <c r="A28" s="19"/>
      <c r="B28" s="165">
        <f>DATE(18,9,1)</f>
        <v>6819</v>
      </c>
      <c r="C28" s="226">
        <v>26244468.760000002</v>
      </c>
      <c r="D28" s="226">
        <v>2777720.64</v>
      </c>
      <c r="E28" s="226">
        <v>2789987.56</v>
      </c>
      <c r="F28" s="166">
        <f>(+D28-E28)/E28</f>
        <v>-4.3967651239276229E-3</v>
      </c>
      <c r="G28" s="241">
        <f>D28/C28</f>
        <v>0.10584023115124393</v>
      </c>
      <c r="H28" s="242">
        <f>1-G28</f>
        <v>0.89415976884875603</v>
      </c>
      <c r="I28" s="157"/>
    </row>
    <row r="29" spans="1:9" ht="15.75" x14ac:dyDescent="0.25">
      <c r="A29" s="19"/>
      <c r="B29" s="165">
        <f>DATE(18,10,1)</f>
        <v>6849</v>
      </c>
      <c r="C29" s="226">
        <v>24694763.75</v>
      </c>
      <c r="D29" s="226">
        <v>2633608.2799999998</v>
      </c>
      <c r="E29" s="226">
        <v>2567921.2599999998</v>
      </c>
      <c r="F29" s="166">
        <f>(+D29-E29)/E29</f>
        <v>2.5579841961353607E-2</v>
      </c>
      <c r="G29" s="241">
        <f>D29/C29</f>
        <v>0.10664642539858271</v>
      </c>
      <c r="H29" s="242">
        <f>1-G29</f>
        <v>0.89335357460141729</v>
      </c>
      <c r="I29" s="157"/>
    </row>
    <row r="30" spans="1:9" ht="15.75" x14ac:dyDescent="0.25">
      <c r="A30" s="19"/>
      <c r="B30" s="165">
        <f>DATE(18,11,1)</f>
        <v>6880</v>
      </c>
      <c r="C30" s="226">
        <v>23994134.84</v>
      </c>
      <c r="D30" s="226">
        <v>2551021.5099999998</v>
      </c>
      <c r="E30" s="226">
        <v>2542392.6800000002</v>
      </c>
      <c r="F30" s="166">
        <f>(+D30-E30)/E30</f>
        <v>3.3939800361601135E-3</v>
      </c>
      <c r="G30" s="241">
        <f>D30/C30</f>
        <v>0.10631854521994509</v>
      </c>
      <c r="H30" s="242">
        <f>1-G30</f>
        <v>0.8936814547800549</v>
      </c>
      <c r="I30" s="157"/>
    </row>
    <row r="31" spans="1:9" ht="15.75" thickBot="1" x14ac:dyDescent="0.25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74" t="s">
        <v>14</v>
      </c>
      <c r="B32" s="175"/>
      <c r="C32" s="228">
        <f>SUM(C26:C31)</f>
        <v>128342675.27000001</v>
      </c>
      <c r="D32" s="228">
        <f>SUM(D26:D31)</f>
        <v>13639562.039999999</v>
      </c>
      <c r="E32" s="228">
        <f>SUM(E26:E31)</f>
        <v>13439077.83</v>
      </c>
      <c r="F32" s="176">
        <f>(+D32-E32)/E32</f>
        <v>1.4918003492208292E-2</v>
      </c>
      <c r="G32" s="245">
        <f>D32/C32</f>
        <v>0.10627456542654939</v>
      </c>
      <c r="H32" s="246">
        <f>1-G32</f>
        <v>0.89372543457345066</v>
      </c>
      <c r="I32" s="157"/>
    </row>
    <row r="33" spans="1:9" ht="15.75" thickTop="1" x14ac:dyDescent="0.2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 x14ac:dyDescent="0.25">
      <c r="A34" s="177" t="s">
        <v>65</v>
      </c>
      <c r="B34" s="165">
        <f>DATE(18,7,1)</f>
        <v>6757</v>
      </c>
      <c r="C34" s="226">
        <v>184818671</v>
      </c>
      <c r="D34" s="226">
        <v>17539246.18</v>
      </c>
      <c r="E34" s="226">
        <v>17796071.329999998</v>
      </c>
      <c r="F34" s="166">
        <f>(+D34-E34)/E34</f>
        <v>-1.4431564430012797E-2</v>
      </c>
      <c r="G34" s="241">
        <f>D34/C34</f>
        <v>9.4899752741972696E-2</v>
      </c>
      <c r="H34" s="242">
        <f>1-G34</f>
        <v>0.90510024725802729</v>
      </c>
      <c r="I34" s="157"/>
    </row>
    <row r="35" spans="1:9" ht="15.75" x14ac:dyDescent="0.25">
      <c r="A35" s="177"/>
      <c r="B35" s="165">
        <f>DATE(18,8,1)</f>
        <v>6788</v>
      </c>
      <c r="C35" s="226">
        <v>185402170.61000001</v>
      </c>
      <c r="D35" s="226">
        <v>17390823.879999999</v>
      </c>
      <c r="E35" s="226">
        <v>17013833.449999999</v>
      </c>
      <c r="F35" s="166">
        <f>(+D35-E35)/E35</f>
        <v>2.2157877065618021E-2</v>
      </c>
      <c r="G35" s="241">
        <f>D35/C35</f>
        <v>9.3800540860884574E-2</v>
      </c>
      <c r="H35" s="242">
        <f>1-G35</f>
        <v>0.90619945913911537</v>
      </c>
      <c r="I35" s="157"/>
    </row>
    <row r="36" spans="1:9" ht="15.75" x14ac:dyDescent="0.25">
      <c r="A36" s="177"/>
      <c r="B36" s="165">
        <f>DATE(18,9,1)</f>
        <v>6819</v>
      </c>
      <c r="C36" s="226">
        <v>169616120.72999999</v>
      </c>
      <c r="D36" s="226">
        <v>16350217.75</v>
      </c>
      <c r="E36" s="226">
        <v>16916276.07</v>
      </c>
      <c r="F36" s="166">
        <f>(+D36-E36)/E36</f>
        <v>-3.3462348193989973E-2</v>
      </c>
      <c r="G36" s="241">
        <f>D36/C36</f>
        <v>9.6395423263020891E-2</v>
      </c>
      <c r="H36" s="242">
        <f>1-G36</f>
        <v>0.90360457673697914</v>
      </c>
      <c r="I36" s="157"/>
    </row>
    <row r="37" spans="1:9" ht="15.75" x14ac:dyDescent="0.25">
      <c r="A37" s="177"/>
      <c r="B37" s="165">
        <f>DATE(18,10,1)</f>
        <v>6849</v>
      </c>
      <c r="C37" s="226">
        <v>166482334.12</v>
      </c>
      <c r="D37" s="226">
        <v>15575678.630000001</v>
      </c>
      <c r="E37" s="226">
        <v>15553875.560000001</v>
      </c>
      <c r="F37" s="166">
        <f>(+D37-E37)/E37</f>
        <v>1.4017773201215129E-3</v>
      </c>
      <c r="G37" s="241">
        <f>D37/C37</f>
        <v>9.3557545984266979E-2</v>
      </c>
      <c r="H37" s="242">
        <f>1-G37</f>
        <v>0.90644245401573298</v>
      </c>
      <c r="I37" s="157"/>
    </row>
    <row r="38" spans="1:9" ht="15.75" x14ac:dyDescent="0.25">
      <c r="A38" s="177"/>
      <c r="B38" s="165">
        <f>DATE(18,11,1)</f>
        <v>6880</v>
      </c>
      <c r="C38" s="226">
        <v>162436599.84999999</v>
      </c>
      <c r="D38" s="226">
        <v>14866628.689999999</v>
      </c>
      <c r="E38" s="226">
        <v>15514479.140000001</v>
      </c>
      <c r="F38" s="166">
        <f>(+D38-E38)/E38</f>
        <v>-4.1757795679372135E-2</v>
      </c>
      <c r="G38" s="241">
        <f>D38/C38</f>
        <v>9.1522653784482058E-2</v>
      </c>
      <c r="H38" s="242">
        <f>1-G38</f>
        <v>0.9084773462155179</v>
      </c>
      <c r="I38" s="157"/>
    </row>
    <row r="39" spans="1:9" ht="15.75" thickBot="1" x14ac:dyDescent="0.25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7.25" thickTop="1" thickBot="1" x14ac:dyDescent="0.3">
      <c r="A40" s="174" t="s">
        <v>14</v>
      </c>
      <c r="B40" s="178"/>
      <c r="C40" s="228">
        <f>SUM(C34:C39)</f>
        <v>868755896.31000006</v>
      </c>
      <c r="D40" s="228">
        <f>SUM(D34:D39)</f>
        <v>81722595.13000001</v>
      </c>
      <c r="E40" s="228">
        <f>SUM(E34:E39)</f>
        <v>82794535.549999997</v>
      </c>
      <c r="F40" s="176">
        <f>(+D40-E40)/E40</f>
        <v>-1.2946994785092274E-2</v>
      </c>
      <c r="G40" s="245">
        <f>D40/C40</f>
        <v>9.4068535795973185E-2</v>
      </c>
      <c r="H40" s="246">
        <f>1-G40</f>
        <v>0.90593146420402682</v>
      </c>
      <c r="I40" s="157"/>
    </row>
    <row r="41" spans="1:9" ht="15.75" thickTop="1" x14ac:dyDescent="0.2">
      <c r="A41" s="167"/>
      <c r="B41" s="168"/>
      <c r="C41" s="226"/>
      <c r="D41" s="226"/>
      <c r="E41" s="226"/>
      <c r="F41" s="166"/>
      <c r="G41" s="241"/>
      <c r="H41" s="242"/>
      <c r="I41" s="157"/>
    </row>
    <row r="42" spans="1:9" ht="15.75" x14ac:dyDescent="0.25">
      <c r="A42" s="164" t="s">
        <v>16</v>
      </c>
      <c r="B42" s="165">
        <f>DATE(18,7,1)</f>
        <v>6757</v>
      </c>
      <c r="C42" s="226">
        <v>111478358.27</v>
      </c>
      <c r="D42" s="226">
        <v>11381105.73</v>
      </c>
      <c r="E42" s="226">
        <v>12386204.68</v>
      </c>
      <c r="F42" s="166">
        <f>(+D42-E42)/E42</f>
        <v>-8.1146644671788143E-2</v>
      </c>
      <c r="G42" s="241">
        <f>D42/C42</f>
        <v>0.10209251290223545</v>
      </c>
      <c r="H42" s="242">
        <f>1-G42</f>
        <v>0.89790748709776458</v>
      </c>
      <c r="I42" s="157"/>
    </row>
    <row r="43" spans="1:9" ht="15.75" x14ac:dyDescent="0.25">
      <c r="A43" s="164"/>
      <c r="B43" s="165">
        <f>DATE(18,8,1)</f>
        <v>6788</v>
      </c>
      <c r="C43" s="226">
        <v>118354764.09</v>
      </c>
      <c r="D43" s="226">
        <v>11018606.25</v>
      </c>
      <c r="E43" s="226">
        <v>11735802.960000001</v>
      </c>
      <c r="F43" s="166">
        <f>(+D43-E43)/E43</f>
        <v>-6.1111856806430297E-2</v>
      </c>
      <c r="G43" s="241">
        <f>D43/C43</f>
        <v>9.309812186031792E-2</v>
      </c>
      <c r="H43" s="242">
        <f>1-G43</f>
        <v>0.90690187813968204</v>
      </c>
      <c r="I43" s="157"/>
    </row>
    <row r="44" spans="1:9" ht="15.75" x14ac:dyDescent="0.25">
      <c r="A44" s="164"/>
      <c r="B44" s="165">
        <f>DATE(18,9,1)</f>
        <v>6819</v>
      </c>
      <c r="C44" s="226">
        <v>117946300.34</v>
      </c>
      <c r="D44" s="226">
        <v>11865007.26</v>
      </c>
      <c r="E44" s="226">
        <v>11892155.970000001</v>
      </c>
      <c r="F44" s="166">
        <f>(+D44-E44)/E44</f>
        <v>-2.282909008970969E-3</v>
      </c>
      <c r="G44" s="241">
        <f>D44/C44</f>
        <v>0.10059668871170291</v>
      </c>
      <c r="H44" s="242">
        <f>1-G44</f>
        <v>0.89940331128829709</v>
      </c>
      <c r="I44" s="157"/>
    </row>
    <row r="45" spans="1:9" ht="15.75" x14ac:dyDescent="0.25">
      <c r="A45" s="164"/>
      <c r="B45" s="165">
        <f>DATE(18,10,1)</f>
        <v>6849</v>
      </c>
      <c r="C45" s="226">
        <v>111145625.37</v>
      </c>
      <c r="D45" s="226">
        <v>11049162.109999999</v>
      </c>
      <c r="E45" s="226">
        <v>11365393.67</v>
      </c>
      <c r="F45" s="166">
        <f>(+D45-E45)/E45</f>
        <v>-2.7824074482762771E-2</v>
      </c>
      <c r="G45" s="241">
        <f>D45/C45</f>
        <v>9.9411578937252054E-2</v>
      </c>
      <c r="H45" s="242">
        <f>1-G45</f>
        <v>0.90058842106274795</v>
      </c>
      <c r="I45" s="157"/>
    </row>
    <row r="46" spans="1:9" ht="15.75" x14ac:dyDescent="0.25">
      <c r="A46" s="164"/>
      <c r="B46" s="165">
        <f>DATE(18,11,1)</f>
        <v>6880</v>
      </c>
      <c r="C46" s="226">
        <v>103133163.15000001</v>
      </c>
      <c r="D46" s="226">
        <v>10320344.720000001</v>
      </c>
      <c r="E46" s="226">
        <v>10423173.18</v>
      </c>
      <c r="F46" s="166">
        <f>(+D46-E46)/E46</f>
        <v>-9.8653700005010402E-3</v>
      </c>
      <c r="G46" s="241">
        <f>D46/C46</f>
        <v>0.10006814883578988</v>
      </c>
      <c r="H46" s="242">
        <f>1-G46</f>
        <v>0.89993185116421015</v>
      </c>
      <c r="I46" s="157"/>
    </row>
    <row r="47" spans="1:9" ht="15.75" thickBot="1" x14ac:dyDescent="0.25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Top="1" thickBot="1" x14ac:dyDescent="0.3">
      <c r="A48" s="174" t="s">
        <v>14</v>
      </c>
      <c r="B48" s="175"/>
      <c r="C48" s="228">
        <f>SUM(C42:C47)</f>
        <v>562058211.22000003</v>
      </c>
      <c r="D48" s="230">
        <f>SUM(D42:D47)</f>
        <v>55634226.07</v>
      </c>
      <c r="E48" s="271">
        <f>SUM(E42:E47)</f>
        <v>57802730.460000001</v>
      </c>
      <c r="F48" s="272">
        <f>(+D48-E48)/E48</f>
        <v>-3.751560476023922E-2</v>
      </c>
      <c r="G48" s="249">
        <f>D48/C48</f>
        <v>9.8983032289912995E-2</v>
      </c>
      <c r="H48" s="270">
        <f>1-G48</f>
        <v>0.90101696771008699</v>
      </c>
      <c r="I48" s="157"/>
    </row>
    <row r="49" spans="1:9" ht="15.75" thickTop="1" x14ac:dyDescent="0.2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 x14ac:dyDescent="0.25">
      <c r="A50" s="164" t="s">
        <v>66</v>
      </c>
      <c r="B50" s="165">
        <f>DATE(18,7,1)</f>
        <v>6757</v>
      </c>
      <c r="C50" s="226">
        <v>43839500.539999999</v>
      </c>
      <c r="D50" s="226">
        <v>4536017.05</v>
      </c>
      <c r="E50" s="226">
        <v>4991725.4800000004</v>
      </c>
      <c r="F50" s="166">
        <f>(+D50-E50)/E50</f>
        <v>-9.1292766764890398E-2</v>
      </c>
      <c r="G50" s="241">
        <f>D50/C50</f>
        <v>0.10346872099651891</v>
      </c>
      <c r="H50" s="242">
        <f>1-G50</f>
        <v>0.89653127900348106</v>
      </c>
      <c r="I50" s="157"/>
    </row>
    <row r="51" spans="1:9" ht="15.75" x14ac:dyDescent="0.25">
      <c r="A51" s="164"/>
      <c r="B51" s="165">
        <f>DATE(18,8,1)</f>
        <v>6788</v>
      </c>
      <c r="C51" s="226">
        <v>43029880.969999999</v>
      </c>
      <c r="D51" s="226">
        <v>4611969.17</v>
      </c>
      <c r="E51" s="226">
        <v>4592418.47</v>
      </c>
      <c r="F51" s="166">
        <f>(+D51-E51)/E51</f>
        <v>4.2571686634646317E-3</v>
      </c>
      <c r="G51" s="241">
        <f>D51/C51</f>
        <v>0.1071806164933484</v>
      </c>
      <c r="H51" s="242">
        <f>1-G51</f>
        <v>0.89281938350665158</v>
      </c>
      <c r="I51" s="157"/>
    </row>
    <row r="52" spans="1:9" ht="15.75" x14ac:dyDescent="0.25">
      <c r="A52" s="164"/>
      <c r="B52" s="165">
        <f>DATE(18,9,1)</f>
        <v>6819</v>
      </c>
      <c r="C52" s="226">
        <v>42955268.140000001</v>
      </c>
      <c r="D52" s="226">
        <v>4472303.22</v>
      </c>
      <c r="E52" s="226">
        <v>5151289.25</v>
      </c>
      <c r="F52" s="166">
        <f>(+D52-E52)/E52</f>
        <v>-0.13180895054572994</v>
      </c>
      <c r="G52" s="241">
        <f>D52/C52</f>
        <v>0.10411536031910799</v>
      </c>
      <c r="H52" s="242">
        <f>1-G52</f>
        <v>0.89588463968089205</v>
      </c>
      <c r="I52" s="157"/>
    </row>
    <row r="53" spans="1:9" ht="15.75" x14ac:dyDescent="0.25">
      <c r="A53" s="164"/>
      <c r="B53" s="165">
        <f>DATE(18,10,1)</f>
        <v>6849</v>
      </c>
      <c r="C53" s="226">
        <v>40582774.369999997</v>
      </c>
      <c r="D53" s="226">
        <v>4257625.9400000004</v>
      </c>
      <c r="E53" s="226">
        <v>4567525</v>
      </c>
      <c r="F53" s="166">
        <f>(+D53-E53)/E53</f>
        <v>-6.7848355509821975E-2</v>
      </c>
      <c r="G53" s="241">
        <f>D53/C53</f>
        <v>0.10491214575875239</v>
      </c>
      <c r="H53" s="242">
        <f>1-G53</f>
        <v>0.89508785424124759</v>
      </c>
      <c r="I53" s="157"/>
    </row>
    <row r="54" spans="1:9" ht="15.75" x14ac:dyDescent="0.25">
      <c r="A54" s="164"/>
      <c r="B54" s="165">
        <f>DATE(18,11,1)</f>
        <v>6880</v>
      </c>
      <c r="C54" s="226">
        <v>42458948.880000003</v>
      </c>
      <c r="D54" s="226">
        <v>4366684.07</v>
      </c>
      <c r="E54" s="226">
        <v>4348004.21</v>
      </c>
      <c r="F54" s="166">
        <f>(+D54-E54)/E54</f>
        <v>4.296191792325872E-3</v>
      </c>
      <c r="G54" s="241">
        <f>D54/C54</f>
        <v>0.10284484626177114</v>
      </c>
      <c r="H54" s="242">
        <f>1-G54</f>
        <v>0.89715515373822885</v>
      </c>
      <c r="I54" s="157"/>
    </row>
    <row r="55" spans="1:9" ht="15.75" thickBot="1" x14ac:dyDescent="0.25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5"/>
      <c r="C56" s="228">
        <f>SUM(C50:C55)</f>
        <v>212866372.89999998</v>
      </c>
      <c r="D56" s="230">
        <f>SUM(D50:D55)</f>
        <v>22244599.449999999</v>
      </c>
      <c r="E56" s="271">
        <f>SUM(E50:E55)</f>
        <v>23650962.41</v>
      </c>
      <c r="F56" s="272">
        <f>(+D56-E56)/E56</f>
        <v>-5.9463244481136567E-2</v>
      </c>
      <c r="G56" s="249">
        <f>D56/C56</f>
        <v>0.10450029822441721</v>
      </c>
      <c r="H56" s="270">
        <f>1-G56</f>
        <v>0.8954997017755828</v>
      </c>
      <c r="I56" s="157"/>
    </row>
    <row r="57" spans="1:9" ht="15.75" thickTop="1" x14ac:dyDescent="0.2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 x14ac:dyDescent="0.25">
      <c r="A58" s="164" t="s">
        <v>17</v>
      </c>
      <c r="B58" s="165">
        <f>DATE(18,7,1)</f>
        <v>6757</v>
      </c>
      <c r="C58" s="226">
        <v>49505917.039999999</v>
      </c>
      <c r="D58" s="226">
        <v>5381167.3099999996</v>
      </c>
      <c r="E58" s="226">
        <v>5822170.9199999999</v>
      </c>
      <c r="F58" s="166">
        <f>(+D58-E58)/E58</f>
        <v>-7.5745562275591927E-2</v>
      </c>
      <c r="G58" s="241">
        <f>D58/C58</f>
        <v>0.10869745743023206</v>
      </c>
      <c r="H58" s="242">
        <f>1-G58</f>
        <v>0.89130254256976793</v>
      </c>
      <c r="I58" s="157"/>
    </row>
    <row r="59" spans="1:9" ht="15.75" x14ac:dyDescent="0.25">
      <c r="A59" s="164"/>
      <c r="B59" s="165">
        <f>DATE(18,8,1)</f>
        <v>6788</v>
      </c>
      <c r="C59" s="226">
        <v>49219766.57</v>
      </c>
      <c r="D59" s="226">
        <v>5291596.82</v>
      </c>
      <c r="E59" s="226">
        <v>5584923.3300000001</v>
      </c>
      <c r="F59" s="166">
        <f>(+D59-E59)/E59</f>
        <v>-5.2521134609738639E-2</v>
      </c>
      <c r="G59" s="241">
        <f>D59/C59</f>
        <v>0.10750958789035152</v>
      </c>
      <c r="H59" s="242">
        <f>1-G59</f>
        <v>0.89249041210964852</v>
      </c>
      <c r="I59" s="157"/>
    </row>
    <row r="60" spans="1:9" ht="15.75" x14ac:dyDescent="0.25">
      <c r="A60" s="164"/>
      <c r="B60" s="165">
        <f>DATE(18,9,1)</f>
        <v>6819</v>
      </c>
      <c r="C60" s="226">
        <v>46813151.350000001</v>
      </c>
      <c r="D60" s="226">
        <v>5027629.3</v>
      </c>
      <c r="E60" s="226">
        <v>5571414.2400000002</v>
      </c>
      <c r="F60" s="166">
        <f>(+D60-E60)/E60</f>
        <v>-9.7602676192319951E-2</v>
      </c>
      <c r="G60" s="241">
        <f>D60/C60</f>
        <v>0.10739779645276967</v>
      </c>
      <c r="H60" s="242">
        <f>1-G60</f>
        <v>0.8926022035472303</v>
      </c>
      <c r="I60" s="157"/>
    </row>
    <row r="61" spans="1:9" ht="15.75" x14ac:dyDescent="0.25">
      <c r="A61" s="164"/>
      <c r="B61" s="165">
        <f>DATE(18,10,1)</f>
        <v>6849</v>
      </c>
      <c r="C61" s="226">
        <v>46725704.259999998</v>
      </c>
      <c r="D61" s="226">
        <v>5016135.3</v>
      </c>
      <c r="E61" s="226">
        <v>5441119.0599999996</v>
      </c>
      <c r="F61" s="166">
        <f>(+D61-E61)/E61</f>
        <v>-7.8105947565867043E-2</v>
      </c>
      <c r="G61" s="241">
        <f>D61/C61</f>
        <v>0.10735280247651852</v>
      </c>
      <c r="H61" s="242">
        <f>1-G61</f>
        <v>0.89264719752348154</v>
      </c>
      <c r="I61" s="157"/>
    </row>
    <row r="62" spans="1:9" ht="15.75" x14ac:dyDescent="0.25">
      <c r="A62" s="164"/>
      <c r="B62" s="165">
        <f>DATE(18,11,1)</f>
        <v>6880</v>
      </c>
      <c r="C62" s="226">
        <v>42300709.460000001</v>
      </c>
      <c r="D62" s="226">
        <v>4899996.9800000004</v>
      </c>
      <c r="E62" s="226">
        <v>5393254.4000000004</v>
      </c>
      <c r="F62" s="166">
        <f>(+D62-E62)/E62</f>
        <v>-9.1458214913800448E-2</v>
      </c>
      <c r="G62" s="241">
        <f>D62/C62</f>
        <v>0.11583722926996035</v>
      </c>
      <c r="H62" s="242">
        <f>1-G62</f>
        <v>0.88416277073003968</v>
      </c>
      <c r="I62" s="157"/>
    </row>
    <row r="63" spans="1:9" ht="15.75" thickBot="1" x14ac:dyDescent="0.25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Top="1" thickBot="1" x14ac:dyDescent="0.3">
      <c r="A64" s="174" t="s">
        <v>14</v>
      </c>
      <c r="B64" s="175"/>
      <c r="C64" s="228">
        <f>SUM(C58:C63)</f>
        <v>234565248.68000001</v>
      </c>
      <c r="D64" s="230">
        <f>SUM(D58:D63)</f>
        <v>25616525.710000001</v>
      </c>
      <c r="E64" s="271">
        <f>SUM(E58:E63)</f>
        <v>27812881.950000003</v>
      </c>
      <c r="F64" s="272">
        <f>(+D64-E64)/E64</f>
        <v>-7.8969027515683313E-2</v>
      </c>
      <c r="G64" s="249">
        <f>D64/C64</f>
        <v>0.10920852877463844</v>
      </c>
      <c r="H64" s="270">
        <f>1-G64</f>
        <v>0.89079147122536151</v>
      </c>
      <c r="I64" s="157"/>
    </row>
    <row r="65" spans="1:9" ht="15.75" thickTop="1" x14ac:dyDescent="0.2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 x14ac:dyDescent="0.25">
      <c r="A66" s="164" t="s">
        <v>67</v>
      </c>
      <c r="B66" s="165">
        <f>DATE(18,7,1)</f>
        <v>6757</v>
      </c>
      <c r="C66" s="226">
        <v>116042592.23</v>
      </c>
      <c r="D66" s="226">
        <v>11368416.640000001</v>
      </c>
      <c r="E66" s="226">
        <v>10117966.68</v>
      </c>
      <c r="F66" s="166">
        <f>(+D66-E66)/E66</f>
        <v>0.12358708024525743</v>
      </c>
      <c r="G66" s="241">
        <f>D66/C66</f>
        <v>9.7967620522191087E-2</v>
      </c>
      <c r="H66" s="242">
        <f>1-G66</f>
        <v>0.9020323794778089</v>
      </c>
      <c r="I66" s="157"/>
    </row>
    <row r="67" spans="1:9" ht="15.75" x14ac:dyDescent="0.25">
      <c r="A67" s="164"/>
      <c r="B67" s="165">
        <f>DATE(18,8,1)</f>
        <v>6788</v>
      </c>
      <c r="C67" s="226">
        <v>116465353.84</v>
      </c>
      <c r="D67" s="226">
        <v>11900739.720000001</v>
      </c>
      <c r="E67" s="226">
        <v>10081520.41</v>
      </c>
      <c r="F67" s="166">
        <f>(+D67-E67)/E67</f>
        <v>0.18045088796284056</v>
      </c>
      <c r="G67" s="241">
        <f>D67/C67</f>
        <v>0.10218266057345454</v>
      </c>
      <c r="H67" s="242">
        <f>1-G67</f>
        <v>0.8978173394265454</v>
      </c>
      <c r="I67" s="157"/>
    </row>
    <row r="68" spans="1:9" ht="15.75" x14ac:dyDescent="0.25">
      <c r="A68" s="164"/>
      <c r="B68" s="165">
        <f>DATE(18,9,1)</f>
        <v>6819</v>
      </c>
      <c r="C68" s="226">
        <v>111448034.52</v>
      </c>
      <c r="D68" s="226">
        <v>10737435.65</v>
      </c>
      <c r="E68" s="226">
        <v>9642813.3599999994</v>
      </c>
      <c r="F68" s="166">
        <f>(+D68-E68)/E68</f>
        <v>0.11351690104681245</v>
      </c>
      <c r="G68" s="241">
        <f>D68/C68</f>
        <v>9.6344773564159228E-2</v>
      </c>
      <c r="H68" s="242">
        <f>1-G68</f>
        <v>0.90365522643584073</v>
      </c>
      <c r="I68" s="157"/>
    </row>
    <row r="69" spans="1:9" ht="15.75" x14ac:dyDescent="0.25">
      <c r="A69" s="164"/>
      <c r="B69" s="165">
        <f>DATE(18,10,1)</f>
        <v>6849</v>
      </c>
      <c r="C69" s="226">
        <v>108094900.66</v>
      </c>
      <c r="D69" s="226">
        <v>10634805.060000001</v>
      </c>
      <c r="E69" s="226">
        <v>9440836.5399999991</v>
      </c>
      <c r="F69" s="166">
        <f>(+D69-E69)/E69</f>
        <v>0.12646850890186068</v>
      </c>
      <c r="G69" s="241">
        <f>D69/C69</f>
        <v>9.8383966265444378E-2</v>
      </c>
      <c r="H69" s="242">
        <f>1-G69</f>
        <v>0.90161603373455557</v>
      </c>
      <c r="I69" s="157"/>
    </row>
    <row r="70" spans="1:9" ht="15.75" x14ac:dyDescent="0.25">
      <c r="A70" s="164"/>
      <c r="B70" s="165">
        <f>DATE(18,11,1)</f>
        <v>6880</v>
      </c>
      <c r="C70" s="226">
        <v>109404617.43000001</v>
      </c>
      <c r="D70" s="226">
        <v>10364939.92</v>
      </c>
      <c r="E70" s="226">
        <v>9748688.0700000003</v>
      </c>
      <c r="F70" s="166">
        <f>(+D70-E70)/E70</f>
        <v>6.3213823806345215E-2</v>
      </c>
      <c r="G70" s="241">
        <f>D70/C70</f>
        <v>9.4739510666739135E-2</v>
      </c>
      <c r="H70" s="242">
        <f>1-G70</f>
        <v>0.90526048933326086</v>
      </c>
      <c r="I70" s="157"/>
    </row>
    <row r="71" spans="1:9" ht="15.75" thickBot="1" x14ac:dyDescent="0.25">
      <c r="A71" s="167"/>
      <c r="B71" s="165"/>
      <c r="C71" s="226"/>
      <c r="D71" s="226"/>
      <c r="E71" s="226"/>
      <c r="F71" s="166"/>
      <c r="G71" s="241"/>
      <c r="H71" s="242"/>
      <c r="I71" s="157"/>
    </row>
    <row r="72" spans="1:9" ht="17.25" thickTop="1" thickBot="1" x14ac:dyDescent="0.3">
      <c r="A72" s="174" t="s">
        <v>14</v>
      </c>
      <c r="B72" s="175"/>
      <c r="C72" s="228">
        <f>SUM(C66:C71)</f>
        <v>561455498.68000007</v>
      </c>
      <c r="D72" s="230">
        <f>SUM(D66:D71)</f>
        <v>55006336.990000002</v>
      </c>
      <c r="E72" s="271">
        <f>SUM(E66:E71)</f>
        <v>49031825.059999995</v>
      </c>
      <c r="F72" s="176">
        <f>(+D72-E72)/E72</f>
        <v>0.12184967462844851</v>
      </c>
      <c r="G72" s="249">
        <f>D72/C72</f>
        <v>9.7970964963958268E-2</v>
      </c>
      <c r="H72" s="270">
        <f>1-G72</f>
        <v>0.9020290350360417</v>
      </c>
      <c r="I72" s="157"/>
    </row>
    <row r="73" spans="1:9" ht="15.75" thickTop="1" x14ac:dyDescent="0.2">
      <c r="A73" s="167"/>
      <c r="B73" s="179"/>
      <c r="C73" s="229"/>
      <c r="D73" s="229"/>
      <c r="E73" s="229"/>
      <c r="F73" s="180"/>
      <c r="G73" s="247"/>
      <c r="H73" s="248"/>
      <c r="I73" s="157"/>
    </row>
    <row r="74" spans="1:9" ht="15.75" x14ac:dyDescent="0.25">
      <c r="A74" s="164" t="s">
        <v>18</v>
      </c>
      <c r="B74" s="165">
        <f>DATE(18,7,1)</f>
        <v>6757</v>
      </c>
      <c r="C74" s="226">
        <v>150620962.91</v>
      </c>
      <c r="D74" s="226">
        <v>14900304.439999999</v>
      </c>
      <c r="E74" s="226">
        <v>13990899.67</v>
      </c>
      <c r="F74" s="166">
        <f>(+D74-E74)/E74</f>
        <v>6.4999734931270481E-2</v>
      </c>
      <c r="G74" s="241">
        <f>D74/C74</f>
        <v>9.8925834439813828E-2</v>
      </c>
      <c r="H74" s="242">
        <f>1-G74</f>
        <v>0.90107416556018616</v>
      </c>
      <c r="I74" s="157"/>
    </row>
    <row r="75" spans="1:9" ht="15.75" x14ac:dyDescent="0.25">
      <c r="A75" s="164"/>
      <c r="B75" s="165">
        <f>DATE(18,8,1)</f>
        <v>6788</v>
      </c>
      <c r="C75" s="226">
        <v>151491190.93000001</v>
      </c>
      <c r="D75" s="226">
        <v>14829811.220000001</v>
      </c>
      <c r="E75" s="226">
        <v>13373041.550000001</v>
      </c>
      <c r="F75" s="166">
        <f>(+D75-E75)/E75</f>
        <v>0.10893330919172982</v>
      </c>
      <c r="G75" s="241">
        <f>D75/C75</f>
        <v>9.7892234716488932E-2</v>
      </c>
      <c r="H75" s="242">
        <f>1-G75</f>
        <v>0.90210776528351111</v>
      </c>
      <c r="I75" s="157"/>
    </row>
    <row r="76" spans="1:9" ht="15.75" x14ac:dyDescent="0.25">
      <c r="A76" s="164"/>
      <c r="B76" s="165">
        <f>DATE(18,9,1)</f>
        <v>6819</v>
      </c>
      <c r="C76" s="226">
        <v>146030772.52000001</v>
      </c>
      <c r="D76" s="226">
        <v>13962676.199999999</v>
      </c>
      <c r="E76" s="226">
        <v>13392030.43</v>
      </c>
      <c r="F76" s="166">
        <f>(+D76-E76)/E76</f>
        <v>4.2610847771199362E-2</v>
      </c>
      <c r="G76" s="241">
        <f>D76/C76</f>
        <v>9.5614615735102729E-2</v>
      </c>
      <c r="H76" s="242">
        <f>1-G76</f>
        <v>0.90438538426489723</v>
      </c>
      <c r="I76" s="157"/>
    </row>
    <row r="77" spans="1:9" ht="15.75" x14ac:dyDescent="0.25">
      <c r="A77" s="164"/>
      <c r="B77" s="165">
        <f>DATE(18,10,1)</f>
        <v>6849</v>
      </c>
      <c r="C77" s="226">
        <v>136339674.75</v>
      </c>
      <c r="D77" s="226">
        <v>13179828.550000001</v>
      </c>
      <c r="E77" s="226">
        <v>12769108.560000001</v>
      </c>
      <c r="F77" s="166">
        <f>(+D77-E77)/E77</f>
        <v>3.2165126333611516E-2</v>
      </c>
      <c r="G77" s="241">
        <f>D77/C77</f>
        <v>9.6669062576005604E-2</v>
      </c>
      <c r="H77" s="242">
        <f>1-G77</f>
        <v>0.9033309374239944</v>
      </c>
      <c r="I77" s="157"/>
    </row>
    <row r="78" spans="1:9" ht="15.75" x14ac:dyDescent="0.25">
      <c r="A78" s="164"/>
      <c r="B78" s="165">
        <f>DATE(18,11,1)</f>
        <v>6880</v>
      </c>
      <c r="C78" s="226">
        <v>130209291.22</v>
      </c>
      <c r="D78" s="226">
        <v>12404366.57</v>
      </c>
      <c r="E78" s="226">
        <v>12739975.57</v>
      </c>
      <c r="F78" s="166">
        <f>(+D78-E78)/E78</f>
        <v>-2.6342986150639847E-2</v>
      </c>
      <c r="G78" s="241">
        <f>D78/C78</f>
        <v>9.5264834435215051E-2</v>
      </c>
      <c r="H78" s="242">
        <f>1-G78</f>
        <v>0.90473516556478495</v>
      </c>
      <c r="I78" s="157"/>
    </row>
    <row r="79" spans="1:9" ht="15.75" customHeight="1" thickBot="1" x14ac:dyDescent="0.3">
      <c r="A79" s="164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81"/>
      <c r="C80" s="228">
        <f>SUM(C74:C79)</f>
        <v>714691892.33000004</v>
      </c>
      <c r="D80" s="228">
        <f>SUM(D74:D79)</f>
        <v>69276986.979999989</v>
      </c>
      <c r="E80" s="228">
        <f>SUM(E74:E79)</f>
        <v>66265055.780000001</v>
      </c>
      <c r="F80" s="176">
        <f>(+D80-E80)/E80</f>
        <v>4.5452782987153897E-2</v>
      </c>
      <c r="G80" s="245">
        <f>D80/C80</f>
        <v>9.6932661085809835E-2</v>
      </c>
      <c r="H80" s="246">
        <f>1-G80</f>
        <v>0.90306733891419011</v>
      </c>
      <c r="I80" s="157"/>
    </row>
    <row r="81" spans="1:9" ht="15.75" thickTop="1" x14ac:dyDescent="0.2">
      <c r="A81" s="171"/>
      <c r="B81" s="172"/>
      <c r="C81" s="227"/>
      <c r="D81" s="227"/>
      <c r="E81" s="227"/>
      <c r="F81" s="173"/>
      <c r="G81" s="243"/>
      <c r="H81" s="244"/>
      <c r="I81" s="157"/>
    </row>
    <row r="82" spans="1:9" ht="15.75" x14ac:dyDescent="0.25">
      <c r="A82" s="164" t="s">
        <v>58</v>
      </c>
      <c r="B82" s="165">
        <f>DATE(18,7,1)</f>
        <v>6757</v>
      </c>
      <c r="C82" s="226">
        <v>178050719.09</v>
      </c>
      <c r="D82" s="226">
        <v>16699225.800000001</v>
      </c>
      <c r="E82" s="226">
        <v>17449857.02</v>
      </c>
      <c r="F82" s="166">
        <f>(+D82-E82)/E82</f>
        <v>-4.30164682231877E-2</v>
      </c>
      <c r="G82" s="241">
        <f>D82/C82</f>
        <v>9.3789151121366585E-2</v>
      </c>
      <c r="H82" s="242">
        <f>1-G82</f>
        <v>0.90621084887863346</v>
      </c>
      <c r="I82" s="157"/>
    </row>
    <row r="83" spans="1:9" ht="15.75" x14ac:dyDescent="0.25">
      <c r="A83" s="164"/>
      <c r="B83" s="165">
        <f>DATE(18,8,1)</f>
        <v>6788</v>
      </c>
      <c r="C83" s="226">
        <v>177417877.38</v>
      </c>
      <c r="D83" s="226">
        <v>16622760.619999999</v>
      </c>
      <c r="E83" s="226">
        <v>16610228.17</v>
      </c>
      <c r="F83" s="166">
        <f>(+D83-E83)/E83</f>
        <v>7.5450197744028071E-4</v>
      </c>
      <c r="G83" s="241">
        <f>D83/C83</f>
        <v>9.3692703720024625E-2</v>
      </c>
      <c r="H83" s="242">
        <f>1-G83</f>
        <v>0.90630729627997542</v>
      </c>
      <c r="I83" s="157"/>
    </row>
    <row r="84" spans="1:9" ht="15.75" x14ac:dyDescent="0.25">
      <c r="A84" s="164"/>
      <c r="B84" s="165">
        <f>DATE(18,9,1)</f>
        <v>6819</v>
      </c>
      <c r="C84" s="226">
        <v>176309993.38</v>
      </c>
      <c r="D84" s="226">
        <v>16260476.050000001</v>
      </c>
      <c r="E84" s="226">
        <v>16301470.130000001</v>
      </c>
      <c r="F84" s="166">
        <f>(+D84-E84)/E84</f>
        <v>-2.514747422967555E-3</v>
      </c>
      <c r="G84" s="241">
        <f>D84/C84</f>
        <v>9.2226627307244471E-2</v>
      </c>
      <c r="H84" s="242">
        <f>1-G84</f>
        <v>0.90777337269275549</v>
      </c>
      <c r="I84" s="157"/>
    </row>
    <row r="85" spans="1:9" ht="15.75" x14ac:dyDescent="0.25">
      <c r="A85" s="164"/>
      <c r="B85" s="165">
        <f>DATE(18,10,1)</f>
        <v>6849</v>
      </c>
      <c r="C85" s="226">
        <v>165733376.61000001</v>
      </c>
      <c r="D85" s="226">
        <v>15649969.25</v>
      </c>
      <c r="E85" s="226">
        <v>15646297.039999999</v>
      </c>
      <c r="F85" s="166">
        <f>(+D85-E85)/E85</f>
        <v>2.3470153932351104E-4</v>
      </c>
      <c r="G85" s="241">
        <f>D85/C85</f>
        <v>9.4428591090780403E-2</v>
      </c>
      <c r="H85" s="242">
        <f>1-G85</f>
        <v>0.90557140890921961</v>
      </c>
      <c r="I85" s="157"/>
    </row>
    <row r="86" spans="1:9" ht="15.75" x14ac:dyDescent="0.25">
      <c r="A86" s="164"/>
      <c r="B86" s="165">
        <f>DATE(18,11,1)</f>
        <v>6880</v>
      </c>
      <c r="C86" s="226">
        <v>164845336.97999999</v>
      </c>
      <c r="D86" s="226">
        <v>15252914.51</v>
      </c>
      <c r="E86" s="226">
        <v>15321390.57</v>
      </c>
      <c r="F86" s="166">
        <f>(+D86-E86)/E86</f>
        <v>-4.4693110385215194E-3</v>
      </c>
      <c r="G86" s="241">
        <f>D86/C86</f>
        <v>9.252863799144391E-2</v>
      </c>
      <c r="H86" s="242">
        <f>1-G86</f>
        <v>0.90747136200855605</v>
      </c>
      <c r="I86" s="157"/>
    </row>
    <row r="87" spans="1:9" ht="15.75" thickBot="1" x14ac:dyDescent="0.25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7.25" thickTop="1" thickBot="1" x14ac:dyDescent="0.3">
      <c r="A88" s="174" t="s">
        <v>14</v>
      </c>
      <c r="B88" s="175"/>
      <c r="C88" s="228">
        <f>SUM(C82:C87)</f>
        <v>862357303.44000006</v>
      </c>
      <c r="D88" s="228">
        <f>SUM(D82:D87)</f>
        <v>80485346.230000004</v>
      </c>
      <c r="E88" s="228">
        <f>SUM(E82:E87)</f>
        <v>81329242.930000007</v>
      </c>
      <c r="F88" s="176">
        <f>(+D88-E88)/E88</f>
        <v>-1.0376300941671669E-2</v>
      </c>
      <c r="G88" s="249">
        <f>D88/C88</f>
        <v>9.3331784758984071E-2</v>
      </c>
      <c r="H88" s="270">
        <f>1-G88</f>
        <v>0.90666821524101593</v>
      </c>
      <c r="I88" s="157"/>
    </row>
    <row r="89" spans="1:9" ht="15.75" thickTop="1" x14ac:dyDescent="0.2">
      <c r="A89" s="167"/>
      <c r="B89" s="168"/>
      <c r="C89" s="226"/>
      <c r="D89" s="226"/>
      <c r="E89" s="226"/>
      <c r="F89" s="166"/>
      <c r="G89" s="241"/>
      <c r="H89" s="242"/>
      <c r="I89" s="157"/>
    </row>
    <row r="90" spans="1:9" ht="15.75" x14ac:dyDescent="0.25">
      <c r="A90" s="164" t="s">
        <v>59</v>
      </c>
      <c r="B90" s="165">
        <f>DATE(18,7,1)</f>
        <v>6757</v>
      </c>
      <c r="C90" s="226">
        <v>24024603.440000001</v>
      </c>
      <c r="D90" s="226">
        <v>2665233.29</v>
      </c>
      <c r="E90" s="226">
        <v>2744349.13</v>
      </c>
      <c r="F90" s="166">
        <f>(+D90-E90)/E90</f>
        <v>-2.8828635225431342E-2</v>
      </c>
      <c r="G90" s="241">
        <f>D90/C90</f>
        <v>0.11093766008068602</v>
      </c>
      <c r="H90" s="242">
        <f>1-G90</f>
        <v>0.88906233991931394</v>
      </c>
      <c r="I90" s="157"/>
    </row>
    <row r="91" spans="1:9" ht="15.75" x14ac:dyDescent="0.25">
      <c r="A91" s="164"/>
      <c r="B91" s="165">
        <f>DATE(18,8,1)</f>
        <v>6788</v>
      </c>
      <c r="C91" s="226">
        <v>22943875.77</v>
      </c>
      <c r="D91" s="226">
        <v>2551392.61</v>
      </c>
      <c r="E91" s="226">
        <v>2540959.2599999998</v>
      </c>
      <c r="F91" s="166">
        <f>(+D91-E91)/E91</f>
        <v>4.1060674069997071E-3</v>
      </c>
      <c r="G91" s="241">
        <f>D91/C91</f>
        <v>0.11120146550549423</v>
      </c>
      <c r="H91" s="242">
        <f>1-G91</f>
        <v>0.88879853449450574</v>
      </c>
      <c r="I91" s="157"/>
    </row>
    <row r="92" spans="1:9" ht="15.75" x14ac:dyDescent="0.25">
      <c r="A92" s="164"/>
      <c r="B92" s="165">
        <f>DATE(18,9,1)</f>
        <v>6819</v>
      </c>
      <c r="C92" s="226">
        <v>21572518.82</v>
      </c>
      <c r="D92" s="226">
        <v>2483855.77</v>
      </c>
      <c r="E92" s="226">
        <v>2634253.17</v>
      </c>
      <c r="F92" s="166">
        <f>(+D92-E92)/E92</f>
        <v>-5.7092993837034998E-2</v>
      </c>
      <c r="G92" s="241">
        <f>D92/C92</f>
        <v>0.11513981240323239</v>
      </c>
      <c r="H92" s="242">
        <f>1-G92</f>
        <v>0.88486018759676766</v>
      </c>
      <c r="I92" s="157"/>
    </row>
    <row r="93" spans="1:9" ht="15.75" x14ac:dyDescent="0.25">
      <c r="A93" s="164"/>
      <c r="B93" s="165">
        <f>DATE(18,10,1)</f>
        <v>6849</v>
      </c>
      <c r="C93" s="226">
        <v>20179012.579999998</v>
      </c>
      <c r="D93" s="226">
        <v>2351894.38</v>
      </c>
      <c r="E93" s="226">
        <v>2351008.96</v>
      </c>
      <c r="F93" s="166">
        <f>(+D93-E93)/E93</f>
        <v>3.7661277139493569E-4</v>
      </c>
      <c r="G93" s="241">
        <f>D93/C93</f>
        <v>0.11655150967748691</v>
      </c>
      <c r="H93" s="242">
        <f>1-G93</f>
        <v>0.88344849032251305</v>
      </c>
      <c r="I93" s="157"/>
    </row>
    <row r="94" spans="1:9" ht="15.75" x14ac:dyDescent="0.25">
      <c r="A94" s="164"/>
      <c r="B94" s="165">
        <f>DATE(18,11,1)</f>
        <v>6880</v>
      </c>
      <c r="C94" s="226">
        <v>19644269.84</v>
      </c>
      <c r="D94" s="226">
        <v>2270138.19</v>
      </c>
      <c r="E94" s="226">
        <v>2370134.9900000002</v>
      </c>
      <c r="F94" s="166">
        <f>(+D94-E94)/E94</f>
        <v>-4.2190339546862798E-2</v>
      </c>
      <c r="G94" s="241">
        <f>D94/C94</f>
        <v>0.11556236034680736</v>
      </c>
      <c r="H94" s="242">
        <f>1-G94</f>
        <v>0.88443763965319266</v>
      </c>
      <c r="I94" s="157"/>
    </row>
    <row r="95" spans="1:9" ht="15.75" thickBot="1" x14ac:dyDescent="0.25">
      <c r="A95" s="167"/>
      <c r="B95" s="168"/>
      <c r="C95" s="226"/>
      <c r="D95" s="226"/>
      <c r="E95" s="226"/>
      <c r="F95" s="166"/>
      <c r="G95" s="241"/>
      <c r="H95" s="242"/>
      <c r="I95" s="157"/>
    </row>
    <row r="96" spans="1:9" ht="17.25" thickTop="1" thickBot="1" x14ac:dyDescent="0.3">
      <c r="A96" s="182" t="s">
        <v>14</v>
      </c>
      <c r="B96" s="183"/>
      <c r="C96" s="230">
        <f>SUM(C90:C95)</f>
        <v>108364280.45</v>
      </c>
      <c r="D96" s="230">
        <f>SUM(D90:D95)</f>
        <v>12322514.24</v>
      </c>
      <c r="E96" s="230">
        <f>SUM(E90:E95)</f>
        <v>12640705.51</v>
      </c>
      <c r="F96" s="176">
        <f>(+D96-E96)/E96</f>
        <v>-2.5171954978959046E-2</v>
      </c>
      <c r="G96" s="249">
        <f>D96/C96</f>
        <v>0.11371380116057421</v>
      </c>
      <c r="H96" s="246">
        <f>1-G96</f>
        <v>0.88628619883942583</v>
      </c>
      <c r="I96" s="157"/>
    </row>
    <row r="97" spans="1:9" ht="15.75" thickTop="1" x14ac:dyDescent="0.2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5.75" x14ac:dyDescent="0.25">
      <c r="A98" s="164" t="s">
        <v>40</v>
      </c>
      <c r="B98" s="165">
        <f>DATE(18,7,1)</f>
        <v>6757</v>
      </c>
      <c r="C98" s="226">
        <v>216736742.84</v>
      </c>
      <c r="D98" s="226">
        <v>19406302.420000002</v>
      </c>
      <c r="E98" s="226">
        <v>20250233.59</v>
      </c>
      <c r="F98" s="166">
        <f>(+D98-E98)/E98</f>
        <v>-4.1675132597816029E-2</v>
      </c>
      <c r="G98" s="241">
        <f>D98/C98</f>
        <v>8.9538590299505311E-2</v>
      </c>
      <c r="H98" s="242">
        <f>1-G98</f>
        <v>0.91046140970049472</v>
      </c>
      <c r="I98" s="157"/>
    </row>
    <row r="99" spans="1:9" ht="15.75" x14ac:dyDescent="0.25">
      <c r="A99" s="164"/>
      <c r="B99" s="165">
        <f>DATE(18,8,1)</f>
        <v>6788</v>
      </c>
      <c r="C99" s="226">
        <v>217223700.97999999</v>
      </c>
      <c r="D99" s="226">
        <v>19632454.710000001</v>
      </c>
      <c r="E99" s="226">
        <v>18649872.98</v>
      </c>
      <c r="F99" s="166">
        <f>(+D99-E99)/E99</f>
        <v>5.2685706280880013E-2</v>
      </c>
      <c r="G99" s="241">
        <f>D99/C99</f>
        <v>9.0378971638125166E-2</v>
      </c>
      <c r="H99" s="242">
        <f>1-G99</f>
        <v>0.90962102836187486</v>
      </c>
      <c r="I99" s="157"/>
    </row>
    <row r="100" spans="1:9" ht="15.75" x14ac:dyDescent="0.25">
      <c r="A100" s="164"/>
      <c r="B100" s="165">
        <f>DATE(18,9,1)</f>
        <v>6819</v>
      </c>
      <c r="C100" s="226">
        <v>205256989.50999999</v>
      </c>
      <c r="D100" s="226">
        <v>18357005.34</v>
      </c>
      <c r="E100" s="226">
        <v>18449653.52</v>
      </c>
      <c r="F100" s="166">
        <f>(+D100-E100)/E100</f>
        <v>-5.0216758758946985E-3</v>
      </c>
      <c r="G100" s="241">
        <f>D100/C100</f>
        <v>8.9434252075034248E-2</v>
      </c>
      <c r="H100" s="242">
        <f>1-G100</f>
        <v>0.91056574792496581</v>
      </c>
      <c r="I100" s="157"/>
    </row>
    <row r="101" spans="1:9" ht="15.75" x14ac:dyDescent="0.25">
      <c r="A101" s="164"/>
      <c r="B101" s="165">
        <f>DATE(18,10,1)</f>
        <v>6849</v>
      </c>
      <c r="C101" s="226">
        <v>197988846.69999999</v>
      </c>
      <c r="D101" s="226">
        <v>17743741.07</v>
      </c>
      <c r="E101" s="226">
        <v>17943427.350000001</v>
      </c>
      <c r="F101" s="166">
        <f>(+D101-E101)/E101</f>
        <v>-1.1128658762062042E-2</v>
      </c>
      <c r="G101" s="241">
        <f>D101/C101</f>
        <v>8.9619902159872533E-2</v>
      </c>
      <c r="H101" s="242">
        <f>1-G101</f>
        <v>0.91038009784012752</v>
      </c>
      <c r="I101" s="157"/>
    </row>
    <row r="102" spans="1:9" ht="15.75" x14ac:dyDescent="0.25">
      <c r="A102" s="164"/>
      <c r="B102" s="165">
        <f>DATE(18,11,1)</f>
        <v>6880</v>
      </c>
      <c r="C102" s="226">
        <v>200122811.33000001</v>
      </c>
      <c r="D102" s="226">
        <v>17751037.91</v>
      </c>
      <c r="E102" s="226">
        <v>17723437.109999999</v>
      </c>
      <c r="F102" s="166">
        <f>(+D102-E102)/E102</f>
        <v>1.5573051563699061E-3</v>
      </c>
      <c r="G102" s="241">
        <f>D102/C102</f>
        <v>8.8700722281623165E-2</v>
      </c>
      <c r="H102" s="242">
        <f>1-G102</f>
        <v>0.91129927771837682</v>
      </c>
      <c r="I102" s="157"/>
    </row>
    <row r="103" spans="1:9" ht="15.75" thickBot="1" x14ac:dyDescent="0.25">
      <c r="A103" s="167"/>
      <c r="B103" s="168"/>
      <c r="C103" s="226"/>
      <c r="D103" s="226"/>
      <c r="E103" s="226"/>
      <c r="F103" s="166"/>
      <c r="G103" s="241"/>
      <c r="H103" s="242"/>
      <c r="I103" s="157"/>
    </row>
    <row r="104" spans="1:9" ht="17.25" thickTop="1" thickBot="1" x14ac:dyDescent="0.3">
      <c r="A104" s="174" t="s">
        <v>14</v>
      </c>
      <c r="B104" s="175"/>
      <c r="C104" s="228">
        <f>SUM(C98:C103)</f>
        <v>1037329091.36</v>
      </c>
      <c r="D104" s="228">
        <f>SUM(D98:D103)</f>
        <v>92890541.449999988</v>
      </c>
      <c r="E104" s="228">
        <f>SUM(E98:E103)</f>
        <v>93016624.549999997</v>
      </c>
      <c r="F104" s="176">
        <f>(+D104-E104)/E104</f>
        <v>-1.3554899525754609E-3</v>
      </c>
      <c r="G104" s="245">
        <f>D104/C104</f>
        <v>8.9547803318824282E-2</v>
      </c>
      <c r="H104" s="246">
        <f>1-G104</f>
        <v>0.91045219668117572</v>
      </c>
      <c r="I104" s="157"/>
    </row>
    <row r="105" spans="1:9" ht="15.75" thickTop="1" x14ac:dyDescent="0.2">
      <c r="A105" s="167"/>
      <c r="B105" s="168"/>
      <c r="C105" s="226"/>
      <c r="D105" s="226"/>
      <c r="E105" s="226"/>
      <c r="F105" s="166"/>
      <c r="G105" s="241"/>
      <c r="H105" s="242"/>
      <c r="I105" s="157"/>
    </row>
    <row r="106" spans="1:9" ht="15.75" x14ac:dyDescent="0.25">
      <c r="A106" s="164" t="s">
        <v>64</v>
      </c>
      <c r="B106" s="165">
        <f>DATE(18,7,1)</f>
        <v>6757</v>
      </c>
      <c r="C106" s="226">
        <v>30178966.07</v>
      </c>
      <c r="D106" s="226">
        <v>3425449</v>
      </c>
      <c r="E106" s="226">
        <v>3031134.15</v>
      </c>
      <c r="F106" s="166">
        <f>(+D106-E106)/E106</f>
        <v>0.13008822126859682</v>
      </c>
      <c r="G106" s="241">
        <f>D106/C106</f>
        <v>0.11350451808238506</v>
      </c>
      <c r="H106" s="242">
        <f>1-G106</f>
        <v>0.88649548191761496</v>
      </c>
      <c r="I106" s="157"/>
    </row>
    <row r="107" spans="1:9" ht="15.75" x14ac:dyDescent="0.25">
      <c r="A107" s="164"/>
      <c r="B107" s="165">
        <f>DATE(18,8,1)</f>
        <v>6788</v>
      </c>
      <c r="C107" s="226">
        <v>31687944.140000001</v>
      </c>
      <c r="D107" s="226">
        <v>3421840.59</v>
      </c>
      <c r="E107" s="226">
        <v>3021204.93</v>
      </c>
      <c r="F107" s="166">
        <f>(+D107-E107)/E107</f>
        <v>0.13260790621045349</v>
      </c>
      <c r="G107" s="241">
        <f>D107/C107</f>
        <v>0.10798556621035497</v>
      </c>
      <c r="H107" s="242">
        <f>1-G107</f>
        <v>0.89201443378964507</v>
      </c>
      <c r="I107" s="157"/>
    </row>
    <row r="108" spans="1:9" ht="15.75" x14ac:dyDescent="0.25">
      <c r="A108" s="164"/>
      <c r="B108" s="165">
        <f>DATE(18,9,1)</f>
        <v>6819</v>
      </c>
      <c r="C108" s="226">
        <v>28817033.199999999</v>
      </c>
      <c r="D108" s="226">
        <v>3252949</v>
      </c>
      <c r="E108" s="226">
        <v>3254625.5</v>
      </c>
      <c r="F108" s="166">
        <f>(+D108-E108)/E108</f>
        <v>-5.1511302913345941E-4</v>
      </c>
      <c r="G108" s="241">
        <f>D108/C108</f>
        <v>0.11288285568550478</v>
      </c>
      <c r="H108" s="242">
        <f>1-G108</f>
        <v>0.88711714431449518</v>
      </c>
      <c r="I108" s="157"/>
    </row>
    <row r="109" spans="1:9" ht="15.75" x14ac:dyDescent="0.25">
      <c r="A109" s="164"/>
      <c r="B109" s="165">
        <f>DATE(18,10,1)</f>
        <v>6849</v>
      </c>
      <c r="C109" s="226">
        <v>29906173.859999999</v>
      </c>
      <c r="D109" s="226">
        <v>3250399.43</v>
      </c>
      <c r="E109" s="226">
        <v>3125463.3</v>
      </c>
      <c r="F109" s="166">
        <f>(+D109-E109)/E109</f>
        <v>3.9973635268729713E-2</v>
      </c>
      <c r="G109" s="241">
        <f>D109/C109</f>
        <v>0.10868656904143338</v>
      </c>
      <c r="H109" s="242">
        <f>1-G109</f>
        <v>0.89131343095856663</v>
      </c>
      <c r="I109" s="157"/>
    </row>
    <row r="110" spans="1:9" ht="15.75" x14ac:dyDescent="0.25">
      <c r="A110" s="164"/>
      <c r="B110" s="165">
        <f>DATE(18,11,1)</f>
        <v>6880</v>
      </c>
      <c r="C110" s="226">
        <v>28831016.57</v>
      </c>
      <c r="D110" s="226">
        <v>3195617.35</v>
      </c>
      <c r="E110" s="226">
        <v>3210022.57</v>
      </c>
      <c r="F110" s="166">
        <f>(+D110-E110)/E110</f>
        <v>-4.4875759238040937E-3</v>
      </c>
      <c r="G110" s="241">
        <f>D110/C110</f>
        <v>0.11083956551588219</v>
      </c>
      <c r="H110" s="242">
        <f>1-G110</f>
        <v>0.88916043448411786</v>
      </c>
      <c r="I110" s="157"/>
    </row>
    <row r="111" spans="1:9" ht="15.75" thickBot="1" x14ac:dyDescent="0.25">
      <c r="A111" s="167"/>
      <c r="B111" s="168"/>
      <c r="C111" s="226"/>
      <c r="D111" s="226"/>
      <c r="E111" s="226"/>
      <c r="F111" s="166"/>
      <c r="G111" s="241"/>
      <c r="H111" s="242"/>
      <c r="I111" s="157"/>
    </row>
    <row r="112" spans="1:9" ht="17.25" thickTop="1" thickBot="1" x14ac:dyDescent="0.3">
      <c r="A112" s="169" t="s">
        <v>14</v>
      </c>
      <c r="B112" s="155"/>
      <c r="C112" s="223">
        <f>SUM(C106:C111)</f>
        <v>149421133.84</v>
      </c>
      <c r="D112" s="223">
        <f>SUM(D106:D111)</f>
        <v>16546255.369999999</v>
      </c>
      <c r="E112" s="223">
        <f>SUM(E106:E111)</f>
        <v>15642450.449999999</v>
      </c>
      <c r="F112" s="176">
        <f>(+D112-E112)/E112</f>
        <v>5.7778985644797103E-2</v>
      </c>
      <c r="G112" s="245">
        <f>D112/C112</f>
        <v>0.1107357101688019</v>
      </c>
      <c r="H112" s="246">
        <f>1-G112</f>
        <v>0.8892642898311981</v>
      </c>
      <c r="I112" s="157"/>
    </row>
    <row r="113" spans="1:9" ht="16.5" thickTop="1" thickBot="1" x14ac:dyDescent="0.25">
      <c r="A113" s="171"/>
      <c r="B113" s="172"/>
      <c r="C113" s="227"/>
      <c r="D113" s="227"/>
      <c r="E113" s="227"/>
      <c r="F113" s="173"/>
      <c r="G113" s="243"/>
      <c r="H113" s="244"/>
      <c r="I113" s="157"/>
    </row>
    <row r="114" spans="1:9" ht="17.25" thickTop="1" thickBot="1" x14ac:dyDescent="0.3">
      <c r="A114" s="184" t="s">
        <v>41</v>
      </c>
      <c r="B114" s="155"/>
      <c r="C114" s="223">
        <f>C112+C104+C80+C64+C48+C32+C16+C40+C96+C24+C72+C88+C56</f>
        <v>6321064633.7800007</v>
      </c>
      <c r="D114" s="223">
        <f>D112+D104+D80+D64+D48+D32+D16+D40+D96+D24+D72+D88+D56</f>
        <v>614176724.37000012</v>
      </c>
      <c r="E114" s="223">
        <f>E112+E104+E80+E64+E48+E32+E16+E40+E96+E24+E72+E88+E56</f>
        <v>613340036.68999994</v>
      </c>
      <c r="F114" s="170">
        <f>(+D114-E114)/E114</f>
        <v>1.3641497863330786E-3</v>
      </c>
      <c r="G114" s="236">
        <f>D114/C114</f>
        <v>9.7163493802581491E-2</v>
      </c>
      <c r="H114" s="237">
        <f>1-G114</f>
        <v>0.90283650619741851</v>
      </c>
      <c r="I114" s="157"/>
    </row>
    <row r="115" spans="1:9" ht="17.25" thickTop="1" thickBot="1" x14ac:dyDescent="0.3">
      <c r="A115" s="184"/>
      <c r="B115" s="155"/>
      <c r="C115" s="223"/>
      <c r="D115" s="223"/>
      <c r="E115" s="223"/>
      <c r="F115" s="170"/>
      <c r="G115" s="236"/>
      <c r="H115" s="237"/>
      <c r="I115" s="157"/>
    </row>
    <row r="116" spans="1:9" ht="17.25" thickTop="1" thickBot="1" x14ac:dyDescent="0.3">
      <c r="A116" s="184" t="s">
        <v>42</v>
      </c>
      <c r="B116" s="155"/>
      <c r="C116" s="223">
        <f>+C14+C22+C30+C38+C46+C54+C62+C70+C78+C86+C94+C102+C110</f>
        <v>1191388909.5500002</v>
      </c>
      <c r="D116" s="223">
        <f>+D14+D22+D30+D38+D46+D54+D62+D70+D78+D86+D94+D102+D110</f>
        <v>114840837.05</v>
      </c>
      <c r="E116" s="223">
        <f>+E14+E22+E30+E38+E46+E54+E62+E70+E78+E86+E94+E102+E110</f>
        <v>116945884.00999999</v>
      </c>
      <c r="F116" s="170">
        <f>(+D116-E116)/E116</f>
        <v>-1.8000179979143105E-2</v>
      </c>
      <c r="G116" s="236">
        <f>D116/C116</f>
        <v>9.6392400608611137E-2</v>
      </c>
      <c r="H116" s="246">
        <f>1-G116</f>
        <v>0.9036075993913889</v>
      </c>
      <c r="I116" s="157"/>
    </row>
    <row r="117" spans="1:9" ht="16.5" thickTop="1" x14ac:dyDescent="0.25">
      <c r="A117" s="185"/>
      <c r="B117" s="186"/>
      <c r="C117" s="231"/>
      <c r="D117" s="231"/>
      <c r="E117" s="231"/>
      <c r="F117" s="187"/>
      <c r="G117" s="250"/>
      <c r="H117" s="250"/>
      <c r="I117" s="151"/>
    </row>
    <row r="118" spans="1:9" ht="16.5" customHeight="1" x14ac:dyDescent="0.3">
      <c r="A118" s="188" t="s">
        <v>52</v>
      </c>
      <c r="B118" s="189"/>
      <c r="C118" s="232"/>
      <c r="D118" s="232"/>
      <c r="E118" s="232"/>
      <c r="F118" s="190"/>
      <c r="G118" s="251"/>
      <c r="H118" s="251"/>
      <c r="I118" s="151"/>
    </row>
    <row r="119" spans="1:9" ht="15.75" x14ac:dyDescent="0.25">
      <c r="A119" s="191"/>
      <c r="B119" s="189"/>
      <c r="C119" s="232"/>
      <c r="D119" s="232"/>
      <c r="E119" s="232"/>
      <c r="F119" s="190"/>
      <c r="G119" s="257"/>
      <c r="H119" s="257"/>
      <c r="I119" s="151"/>
    </row>
    <row r="120" spans="1:9" ht="15.75" x14ac:dyDescent="0.25">
      <c r="A120" s="72"/>
      <c r="I120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2" manualBreakCount="2">
    <brk id="56" max="8" man="1"/>
    <brk id="1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MONTHLY STATS</vt:lpstr>
      <vt:lpstr>YTD TAXES</vt:lpstr>
      <vt:lpstr>TABLE STATS</vt:lpstr>
      <vt:lpstr>SLOT STATS</vt:lpstr>
      <vt:lpstr>'MONTHLY STATS'!Print_Area</vt:lpstr>
      <vt:lpstr>'SLOT STATS'!Print_Area</vt:lpstr>
      <vt:lpstr>'TABLE STATS'!Print_Area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2018-12-06T14:41:50Z</cp:lastPrinted>
  <dcterms:created xsi:type="dcterms:W3CDTF">2003-09-09T14:41:43Z</dcterms:created>
  <dcterms:modified xsi:type="dcterms:W3CDTF">2018-12-07T18:32:56Z</dcterms:modified>
</cp:coreProperties>
</file>