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56" windowWidth="7536" windowHeight="4056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STATS'!$A$1:$M$169</definedName>
    <definedName name="_xlnm.Print_Area" localSheetId="3">'SLOT STATS'!$A$1:$I$170</definedName>
    <definedName name="_xlnm.Print_Area" localSheetId="2">'TABLE STATS'!$A$1:$H$169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<sst xmlns="http://schemas.openxmlformats.org/spreadsheetml/2006/main" count="192" uniqueCount="75">
  <si>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</si>
  <si>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</si>
  <si>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</si>
  <si>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</si>
  <si>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</si>
  <si>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</si>
  <si>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</si>
  <si>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</si>
  <si>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</si>
  <si>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</si>
  <si>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</si>
  <si>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</si>
  <si>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</si>
  <si>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</si>
  <si>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</si>
  <si>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</si>
  <si>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</si>
  <si>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</si>
  <si>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</si>
  <si>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</si>
  <si>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</si>
  <si>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</si>
  <si>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</si>
  <si>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</si>
  <si>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</si>
  <si>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</si>
  <si>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</si>
  <si>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</si>
  <si>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</si>
  <si>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</si>
  <si>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</si>
  <si>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</si>
  <si>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</si>
  <si>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</si>
  <si>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</si>
  <si>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</si>
  <si>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</si>
  <si>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</si>
  <si>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</si>
  <si>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</si>
  <si>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</si>
  <si>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</si>
  <si>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</si>
  <si>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</si>
  <si>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</si>
  <si>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</si>
  <si>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</si>
  <si>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</si>
  <si>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</si>
  <si>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</si>
  <si>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</si>
  <si>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</si>
  <si>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</si>
  <si>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</si>
  <si>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</si>
  <si>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</si>
  <si>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</si>
  <si>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</si>
  <si>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</si>
  <si>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</si>
  <si>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</si>
  <si>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</si>
  <si>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</si>
  <si>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</si>
  <si>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</si>
  <si>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</si>
  <si>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</si>
  <si>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</si>
  <si>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2019 YTD ADMISSIONS, PATRONS AND AGR SUMMARY </t>
  </si>
  <si>
    <t>MONTH ENDED:   MARCH 31, 2019</t>
  </si>
  <si>
    <t>(as reported on the tax remittal database dtd 4/9/19)</t>
  </si>
  <si>
    <t>FOR THE MONTH ENDED:   MARCH 31, 2019</t>
  </si>
  <si>
    <t>THRU MONTH ENDED:   MARCH 31, 2019</t>
  </si>
  <si>
    <t>(as reported on the tax remittal database as of 4/9/19)</t>
  </si>
  <si>
    <t>THRU MONTH ENDED:     MARCH 31,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</si>
</sst>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9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9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7.25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5.7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">
      <c r="A9" s="19" t="s">
        <v>13</v>
      </c>
      <c r="B9" s="20">
        <f>DATE(2018,7,1)</f>
        <v>43282</v>
      </c>
      <c r="C9" s="21">
        <v>261456</v>
      </c>
      <c r="D9" s="22">
        <v>295047</v>
      </c>
      <c r="E9" s="23">
        <f aca="true" t="shared" si="0" ref="E9:E17">(+C9-D9)/D9</f>
        <v>-0.11384965785112203</v>
      </c>
      <c r="F9" s="21">
        <f>+C9-122888</f>
        <v>138568</v>
      </c>
      <c r="G9" s="21">
        <f>+D9-138811</f>
        <v>156236</v>
      </c>
      <c r="H9" s="23">
        <f aca="true" t="shared" si="1" ref="H9:H17">(+F9-G9)/G9</f>
        <v>-0.11308533244578714</v>
      </c>
      <c r="I9" s="24">
        <f aca="true" t="shared" si="2" ref="I9:I17">K9/C9</f>
        <v>51.156026597209475</v>
      </c>
      <c r="J9" s="24">
        <f aca="true" t="shared" si="3" ref="J9:J17">K9/F9</f>
        <v>96.52336823797702</v>
      </c>
      <c r="K9" s="21">
        <v>13375050.09</v>
      </c>
      <c r="L9" s="21">
        <v>14143686.63</v>
      </c>
      <c r="M9" s="25">
        <f aca="true" t="shared" si="4" ref="M9:M17">(+K9-L9)/L9</f>
        <v>-0.05434485082338118</v>
      </c>
      <c r="N9" s="10"/>
      <c r="R9" s="2"/>
    </row>
    <row r="10" spans="1:18" ht="15">
      <c r="A10" s="19"/>
      <c r="B10" s="20">
        <f>DATE(2018,8,1)</f>
        <v>43313</v>
      </c>
      <c r="C10" s="21">
        <v>266367</v>
      </c>
      <c r="D10" s="22">
        <v>268688</v>
      </c>
      <c r="E10" s="23">
        <f t="shared" si="0"/>
        <v>-0.008638271899005538</v>
      </c>
      <c r="F10" s="21">
        <f>+C10-122166</f>
        <v>144201</v>
      </c>
      <c r="G10" s="21">
        <f>+D10-125473</f>
        <v>143215</v>
      </c>
      <c r="H10" s="23">
        <f t="shared" si="1"/>
        <v>0.006884753692001536</v>
      </c>
      <c r="I10" s="24">
        <f t="shared" si="2"/>
        <v>52.40101754346447</v>
      </c>
      <c r="J10" s="24">
        <f t="shared" si="3"/>
        <v>96.79476453006568</v>
      </c>
      <c r="K10" s="21">
        <v>13957901.84</v>
      </c>
      <c r="L10" s="21">
        <v>13000027.54</v>
      </c>
      <c r="M10" s="25">
        <f t="shared" si="4"/>
        <v>0.07368248236803357</v>
      </c>
      <c r="N10" s="10"/>
      <c r="R10" s="2"/>
    </row>
    <row r="11" spans="1:18" ht="15">
      <c r="A11" s="19"/>
      <c r="B11" s="20">
        <f>DATE(2018,9,1)</f>
        <v>43344</v>
      </c>
      <c r="C11" s="21">
        <v>263613</v>
      </c>
      <c r="D11" s="22">
        <v>281607</v>
      </c>
      <c r="E11" s="23">
        <f t="shared" si="0"/>
        <v>-0.06389755936464647</v>
      </c>
      <c r="F11" s="21">
        <f>+C11-122145</f>
        <v>141468</v>
      </c>
      <c r="G11" s="21">
        <f>+D11-134639</f>
        <v>146968</v>
      </c>
      <c r="H11" s="23">
        <f t="shared" si="1"/>
        <v>-0.03742311251428883</v>
      </c>
      <c r="I11" s="24">
        <f t="shared" si="2"/>
        <v>51.348386839799254</v>
      </c>
      <c r="J11" s="24">
        <f t="shared" si="3"/>
        <v>95.68313894308254</v>
      </c>
      <c r="K11" s="21">
        <v>13536102.3</v>
      </c>
      <c r="L11" s="21">
        <v>13577167.09</v>
      </c>
      <c r="M11" s="25">
        <f t="shared" si="4"/>
        <v>-0.0030245477372260214</v>
      </c>
      <c r="N11" s="10"/>
      <c r="R11" s="2"/>
    </row>
    <row r="12" spans="1:18" ht="15">
      <c r="A12" s="19"/>
      <c r="B12" s="20">
        <f>DATE(2018,10,1)</f>
        <v>43374</v>
      </c>
      <c r="C12" s="21">
        <v>264243</v>
      </c>
      <c r="D12" s="22">
        <v>266701</v>
      </c>
      <c r="E12" s="23">
        <f t="shared" si="0"/>
        <v>-0.009216313399649794</v>
      </c>
      <c r="F12" s="21">
        <f>+C12-121413</f>
        <v>142830</v>
      </c>
      <c r="G12" s="21">
        <f>+D12-124344</f>
        <v>142357</v>
      </c>
      <c r="H12" s="23">
        <f t="shared" si="1"/>
        <v>0.0033226325365103226</v>
      </c>
      <c r="I12" s="24">
        <f t="shared" si="2"/>
        <v>52.85007504456126</v>
      </c>
      <c r="J12" s="24">
        <f t="shared" si="3"/>
        <v>97.77541398865785</v>
      </c>
      <c r="K12" s="21">
        <v>13965262.38</v>
      </c>
      <c r="L12" s="21">
        <v>13210098.19</v>
      </c>
      <c r="M12" s="25">
        <f t="shared" si="4"/>
        <v>0.05716567576853124</v>
      </c>
      <c r="N12" s="10"/>
      <c r="R12" s="2"/>
    </row>
    <row r="13" spans="1:18" ht="15">
      <c r="A13" s="19"/>
      <c r="B13" s="20">
        <f>DATE(2018,11,1)</f>
        <v>43405</v>
      </c>
      <c r="C13" s="21">
        <v>252868</v>
      </c>
      <c r="D13" s="22">
        <v>271175</v>
      </c>
      <c r="E13" s="23">
        <f t="shared" si="0"/>
        <v>-0.06750991057435235</v>
      </c>
      <c r="F13" s="21">
        <f>+C13-117772</f>
        <v>135096</v>
      </c>
      <c r="G13" s="21">
        <f>+D13-126340</f>
        <v>144835</v>
      </c>
      <c r="H13" s="23">
        <f t="shared" si="1"/>
        <v>-0.06724203403873373</v>
      </c>
      <c r="I13" s="24">
        <f t="shared" si="2"/>
        <v>54.1405038992676</v>
      </c>
      <c r="J13" s="24">
        <f t="shared" si="3"/>
        <v>101.33831453188843</v>
      </c>
      <c r="K13" s="21">
        <v>13690400.94</v>
      </c>
      <c r="L13" s="21">
        <v>14153820.17</v>
      </c>
      <c r="M13" s="25">
        <f t="shared" si="4"/>
        <v>-0.0327416361402026</v>
      </c>
      <c r="N13" s="10"/>
      <c r="R13" s="2"/>
    </row>
    <row r="14" spans="1:18" ht="15">
      <c r="A14" s="19"/>
      <c r="B14" s="20">
        <f>DATE(2018,12,1)</f>
        <v>43435</v>
      </c>
      <c r="C14" s="21">
        <v>287683</v>
      </c>
      <c r="D14" s="22">
        <v>285888</v>
      </c>
      <c r="E14" s="23">
        <f t="shared" si="0"/>
        <v>0.006278682561002911</v>
      </c>
      <c r="F14" s="21">
        <f>+C14-136878</f>
        <v>150805</v>
      </c>
      <c r="G14" s="21">
        <f>+D14-135160</f>
        <v>150728</v>
      </c>
      <c r="H14" s="23">
        <f t="shared" si="1"/>
        <v>0.0005108539886417918</v>
      </c>
      <c r="I14" s="24">
        <f t="shared" si="2"/>
        <v>53.191660577788745</v>
      </c>
      <c r="J14" s="24">
        <f t="shared" si="3"/>
        <v>101.4710154835715</v>
      </c>
      <c r="K14" s="21">
        <v>15302336.49</v>
      </c>
      <c r="L14" s="21">
        <v>14422386.16</v>
      </c>
      <c r="M14" s="25">
        <f t="shared" si="4"/>
        <v>0.06101281162755942</v>
      </c>
      <c r="N14" s="10"/>
      <c r="R14" s="2"/>
    </row>
    <row r="15" spans="1:18" ht="15">
      <c r="A15" s="19"/>
      <c r="B15" s="20">
        <f>DATE(2019,1,1)</f>
        <v>43466</v>
      </c>
      <c r="C15" s="21">
        <v>239286</v>
      </c>
      <c r="D15" s="22">
        <v>251374</v>
      </c>
      <c r="E15" s="23">
        <f t="shared" si="0"/>
        <v>-0.04808770994613604</v>
      </c>
      <c r="F15" s="21">
        <f>+C15-112115</f>
        <v>127171</v>
      </c>
      <c r="G15" s="21">
        <f>+D15-118404</f>
        <v>132970</v>
      </c>
      <c r="H15" s="23">
        <f t="shared" si="1"/>
        <v>-0.0436113409039633</v>
      </c>
      <c r="I15" s="24">
        <f t="shared" si="2"/>
        <v>52.18799286209808</v>
      </c>
      <c r="J15" s="24">
        <f t="shared" si="3"/>
        <v>98.19735678731787</v>
      </c>
      <c r="K15" s="21">
        <v>12487856.06</v>
      </c>
      <c r="L15" s="21">
        <v>12588832.87</v>
      </c>
      <c r="M15" s="25">
        <f t="shared" si="4"/>
        <v>-0.008021141518260435</v>
      </c>
      <c r="N15" s="10"/>
      <c r="R15" s="2"/>
    </row>
    <row r="16" spans="1:18" ht="15">
      <c r="A16" s="19"/>
      <c r="B16" s="20">
        <f>DATE(2019,2,1)</f>
        <v>43497</v>
      </c>
      <c r="C16" s="21">
        <v>236408</v>
      </c>
      <c r="D16" s="22">
        <v>260428</v>
      </c>
      <c r="E16" s="23">
        <f t="shared" si="0"/>
        <v>-0.09223278602915201</v>
      </c>
      <c r="F16" s="21">
        <f>+C16-111522</f>
        <v>124886</v>
      </c>
      <c r="G16" s="21">
        <f>+D16-124324</f>
        <v>136104</v>
      </c>
      <c r="H16" s="23">
        <f t="shared" si="1"/>
        <v>-0.08242226532651502</v>
      </c>
      <c r="I16" s="24">
        <f t="shared" si="2"/>
        <v>52.85440958004805</v>
      </c>
      <c r="J16" s="24">
        <f t="shared" si="3"/>
        <v>100.05289031596816</v>
      </c>
      <c r="K16" s="21">
        <v>12495205.26</v>
      </c>
      <c r="L16" s="21">
        <v>13796430.74</v>
      </c>
      <c r="M16" s="25">
        <f t="shared" si="4"/>
        <v>-0.09431609555559588</v>
      </c>
      <c r="N16" s="10"/>
      <c r="R16" s="2"/>
    </row>
    <row r="17" spans="1:18" ht="15">
      <c r="A17" s="19"/>
      <c r="B17" s="20">
        <f>DATE(2019,3,1)</f>
        <v>43525</v>
      </c>
      <c r="C17" s="21">
        <v>292059</v>
      </c>
      <c r="D17" s="22">
        <v>299040</v>
      </c>
      <c r="E17" s="23">
        <f t="shared" si="0"/>
        <v>-0.02334470304975923</v>
      </c>
      <c r="F17" s="21">
        <f>+C17-138186</f>
        <v>153873</v>
      </c>
      <c r="G17" s="21">
        <f>+D17-144322</f>
        <v>154718</v>
      </c>
      <c r="H17" s="23">
        <f t="shared" si="1"/>
        <v>-0.005461549399552735</v>
      </c>
      <c r="I17" s="24">
        <f t="shared" si="2"/>
        <v>52.949772922594406</v>
      </c>
      <c r="J17" s="24">
        <f t="shared" si="3"/>
        <v>100.50143774411366</v>
      </c>
      <c r="K17" s="21">
        <v>15464457.73</v>
      </c>
      <c r="L17" s="21">
        <v>15461490.29</v>
      </c>
      <c r="M17" s="25">
        <f t="shared" si="4"/>
        <v>0.00019192457805445746</v>
      </c>
      <c r="N17" s="10"/>
      <c r="R17" s="2"/>
    </row>
    <row r="18" spans="1:18" ht="15.75" customHeight="1" thickBot="1">
      <c r="A18" s="19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6.5" thickBot="1" thickTop="1">
      <c r="A19" s="26" t="s">
        <v>14</v>
      </c>
      <c r="B19" s="27"/>
      <c r="C19" s="28">
        <f>SUM(C9:C18)</f>
        <v>2363983</v>
      </c>
      <c r="D19" s="28">
        <f>SUM(D9:D18)</f>
        <v>2479948</v>
      </c>
      <c r="E19" s="279">
        <f>(+C19-D19)/D19</f>
        <v>-0.046761061119023464</v>
      </c>
      <c r="F19" s="28">
        <f>SUM(F9:F18)</f>
        <v>1258898</v>
      </c>
      <c r="G19" s="28">
        <f>SUM(G9:G18)</f>
        <v>1308131</v>
      </c>
      <c r="H19" s="30">
        <f>(+F19-G19)/G19</f>
        <v>-0.037636138888230614</v>
      </c>
      <c r="I19" s="31">
        <f>K19/C19</f>
        <v>52.56999440774321</v>
      </c>
      <c r="J19" s="31">
        <f>K19/F19</f>
        <v>98.71695172285604</v>
      </c>
      <c r="K19" s="28">
        <f>SUM(K9:K18)</f>
        <v>124274573.09000002</v>
      </c>
      <c r="L19" s="28">
        <f>SUM(L9:L18)</f>
        <v>124353939.68</v>
      </c>
      <c r="M19" s="32">
        <f>(+K19-L19)/L19</f>
        <v>-0.0006382314079008893</v>
      </c>
      <c r="N19" s="10"/>
      <c r="R19" s="2"/>
    </row>
    <row r="20" spans="1:18" ht="15.75" customHeight="1" thickTop="1">
      <c r="A20" s="15"/>
      <c r="B20" s="16"/>
      <c r="C20" s="16"/>
      <c r="D20" s="16"/>
      <c r="E20" s="17"/>
      <c r="F20" s="16"/>
      <c r="G20" s="16"/>
      <c r="H20" s="17"/>
      <c r="I20" s="16"/>
      <c r="J20" s="16"/>
      <c r="K20" s="195"/>
      <c r="L20" s="195"/>
      <c r="M20" s="18"/>
      <c r="N20" s="10"/>
      <c r="R20" s="2"/>
    </row>
    <row r="21" spans="1:18" ht="15">
      <c r="A21" s="19" t="s">
        <v>15</v>
      </c>
      <c r="B21" s="20">
        <f>DATE(2018,7,1)</f>
        <v>43282</v>
      </c>
      <c r="C21" s="21">
        <v>142478</v>
      </c>
      <c r="D21" s="21">
        <v>154485</v>
      </c>
      <c r="E21" s="23">
        <f aca="true" t="shared" si="5" ref="E21:E29">(+C21-D21)/D21</f>
        <v>-0.07772275625465255</v>
      </c>
      <c r="F21" s="21">
        <f>+C21-67444</f>
        <v>75034</v>
      </c>
      <c r="G21" s="21">
        <f>+D21-74453</f>
        <v>80032</v>
      </c>
      <c r="H21" s="23">
        <f aca="true" t="shared" si="6" ref="H21:H29">(+F21-G21)/G21</f>
        <v>-0.0624500199920032</v>
      </c>
      <c r="I21" s="24">
        <f aca="true" t="shared" si="7" ref="I21:I29">K21/C21</f>
        <v>51.761326380213085</v>
      </c>
      <c r="J21" s="24">
        <f aca="true" t="shared" si="8" ref="J21:J29">K21/F21</f>
        <v>98.28678012634272</v>
      </c>
      <c r="K21" s="21">
        <v>7374850.26</v>
      </c>
      <c r="L21" s="21">
        <v>7453089.46</v>
      </c>
      <c r="M21" s="25">
        <f aca="true" t="shared" si="9" ref="M21:M29">(+K21-L21)/L21</f>
        <v>-0.010497552782628237</v>
      </c>
      <c r="N21" s="10"/>
      <c r="R21" s="2"/>
    </row>
    <row r="22" spans="1:18" ht="15">
      <c r="A22" s="19"/>
      <c r="B22" s="20">
        <f>DATE(2018,8,1)</f>
        <v>43313</v>
      </c>
      <c r="C22" s="21">
        <v>137794</v>
      </c>
      <c r="D22" s="21">
        <v>146885</v>
      </c>
      <c r="E22" s="23">
        <f t="shared" si="5"/>
        <v>-0.06189195629233754</v>
      </c>
      <c r="F22" s="21">
        <f>+C22-65911</f>
        <v>71883</v>
      </c>
      <c r="G22" s="21">
        <f>+D22-69501</f>
        <v>77384</v>
      </c>
      <c r="H22" s="23">
        <f t="shared" si="6"/>
        <v>-0.07108704641786416</v>
      </c>
      <c r="I22" s="24">
        <f t="shared" si="7"/>
        <v>51.51604032105897</v>
      </c>
      <c r="J22" s="24">
        <f t="shared" si="8"/>
        <v>98.75215642085054</v>
      </c>
      <c r="K22" s="21">
        <v>7098601.26</v>
      </c>
      <c r="L22" s="21">
        <v>6887015.31</v>
      </c>
      <c r="M22" s="25">
        <f t="shared" si="9"/>
        <v>0.030722445134218845</v>
      </c>
      <c r="N22" s="10"/>
      <c r="R22" s="2"/>
    </row>
    <row r="23" spans="1:18" ht="15">
      <c r="A23" s="19"/>
      <c r="B23" s="20">
        <f>DATE(2018,9,1)</f>
        <v>43344</v>
      </c>
      <c r="C23" s="21">
        <v>137262</v>
      </c>
      <c r="D23" s="21">
        <v>147791</v>
      </c>
      <c r="E23" s="23">
        <f t="shared" si="5"/>
        <v>-0.07124249785169598</v>
      </c>
      <c r="F23" s="21">
        <f>+C23-65092</f>
        <v>72170</v>
      </c>
      <c r="G23" s="21">
        <f>+D23-70004</f>
        <v>77787</v>
      </c>
      <c r="H23" s="23">
        <f t="shared" si="6"/>
        <v>-0.07221000938460154</v>
      </c>
      <c r="I23" s="24">
        <f t="shared" si="7"/>
        <v>47.46380804592677</v>
      </c>
      <c r="J23" s="24">
        <f t="shared" si="8"/>
        <v>90.27265096300401</v>
      </c>
      <c r="K23" s="21">
        <v>6514977.22</v>
      </c>
      <c r="L23" s="21">
        <v>6683115.09</v>
      </c>
      <c r="M23" s="25">
        <f t="shared" si="9"/>
        <v>-0.025158607585792768</v>
      </c>
      <c r="N23" s="10"/>
      <c r="R23" s="2"/>
    </row>
    <row r="24" spans="1:18" ht="15">
      <c r="A24" s="19"/>
      <c r="B24" s="20">
        <f>DATE(2018,10,1)</f>
        <v>43374</v>
      </c>
      <c r="C24" s="21">
        <v>119937</v>
      </c>
      <c r="D24" s="21">
        <v>137700</v>
      </c>
      <c r="E24" s="23">
        <f t="shared" si="5"/>
        <v>-0.12899782135076251</v>
      </c>
      <c r="F24" s="21">
        <f>+C24-56627</f>
        <v>63310</v>
      </c>
      <c r="G24" s="21">
        <f>+D24-65646</f>
        <v>72054</v>
      </c>
      <c r="H24" s="23">
        <f t="shared" si="6"/>
        <v>-0.12135342937241514</v>
      </c>
      <c r="I24" s="24">
        <f t="shared" si="7"/>
        <v>52.92046549438455</v>
      </c>
      <c r="J24" s="24">
        <f t="shared" si="8"/>
        <v>100.2546496604012</v>
      </c>
      <c r="K24" s="21">
        <v>6347121.87</v>
      </c>
      <c r="L24" s="21">
        <v>6249987.86</v>
      </c>
      <c r="M24" s="25">
        <f t="shared" si="9"/>
        <v>0.015541471787754764</v>
      </c>
      <c r="N24" s="10"/>
      <c r="R24" s="2"/>
    </row>
    <row r="25" spans="1:18" ht="15">
      <c r="A25" s="19"/>
      <c r="B25" s="20">
        <f>DATE(2018,11,1)</f>
        <v>43405</v>
      </c>
      <c r="C25" s="21">
        <v>113387</v>
      </c>
      <c r="D25" s="21">
        <v>128271</v>
      </c>
      <c r="E25" s="23">
        <f t="shared" si="5"/>
        <v>-0.11603558091852406</v>
      </c>
      <c r="F25" s="21">
        <f>+C25-54700</f>
        <v>58687</v>
      </c>
      <c r="G25" s="21">
        <f>+D25-61249</f>
        <v>67022</v>
      </c>
      <c r="H25" s="23">
        <f t="shared" si="6"/>
        <v>-0.1243621497418758</v>
      </c>
      <c r="I25" s="24">
        <f t="shared" si="7"/>
        <v>50.95719253529946</v>
      </c>
      <c r="J25" s="24">
        <f t="shared" si="8"/>
        <v>98.45252253480328</v>
      </c>
      <c r="K25" s="21">
        <v>5777883.19</v>
      </c>
      <c r="L25" s="21">
        <v>6197481.35</v>
      </c>
      <c r="M25" s="25">
        <f t="shared" si="9"/>
        <v>-0.06770462649314778</v>
      </c>
      <c r="N25" s="10"/>
      <c r="R25" s="2"/>
    </row>
    <row r="26" spans="1:18" ht="15">
      <c r="A26" s="19"/>
      <c r="B26" s="20">
        <f>DATE(2018,12,1)</f>
        <v>43435</v>
      </c>
      <c r="C26" s="21">
        <v>130957</v>
      </c>
      <c r="D26" s="21">
        <v>135202</v>
      </c>
      <c r="E26" s="23">
        <f t="shared" si="5"/>
        <v>-0.03139746453454831</v>
      </c>
      <c r="F26" s="21">
        <f>+C26-63848</f>
        <v>67109</v>
      </c>
      <c r="G26" s="21">
        <f>+D26-65090</f>
        <v>70112</v>
      </c>
      <c r="H26" s="23">
        <f t="shared" si="6"/>
        <v>-0.0428314696485623</v>
      </c>
      <c r="I26" s="24">
        <f t="shared" si="7"/>
        <v>51.43731087303466</v>
      </c>
      <c r="J26" s="24">
        <f t="shared" si="8"/>
        <v>100.37514968186085</v>
      </c>
      <c r="K26" s="21">
        <v>6736075.92</v>
      </c>
      <c r="L26" s="21">
        <v>6560683.46</v>
      </c>
      <c r="M26" s="25">
        <f t="shared" si="9"/>
        <v>0.02673387019345694</v>
      </c>
      <c r="N26" s="10"/>
      <c r="R26" s="2"/>
    </row>
    <row r="27" spans="1:18" ht="15">
      <c r="A27" s="19"/>
      <c r="B27" s="20">
        <f>DATE(2019,1,1)</f>
        <v>43466</v>
      </c>
      <c r="C27" s="21">
        <v>105704</v>
      </c>
      <c r="D27" s="21">
        <v>122998</v>
      </c>
      <c r="E27" s="23">
        <f t="shared" si="5"/>
        <v>-0.14060391225873592</v>
      </c>
      <c r="F27" s="21">
        <f>+C27-51270</f>
        <v>54434</v>
      </c>
      <c r="G27" s="21">
        <f>+D27-59574</f>
        <v>63424</v>
      </c>
      <c r="H27" s="23">
        <f t="shared" si="6"/>
        <v>-0.14174445005045408</v>
      </c>
      <c r="I27" s="24">
        <f t="shared" si="7"/>
        <v>49.2174333043215</v>
      </c>
      <c r="J27" s="24">
        <f t="shared" si="8"/>
        <v>95.5740818238601</v>
      </c>
      <c r="K27" s="21">
        <v>5202479.57</v>
      </c>
      <c r="L27" s="21">
        <v>6036441.31</v>
      </c>
      <c r="M27" s="25">
        <f t="shared" si="9"/>
        <v>-0.13815453462927801</v>
      </c>
      <c r="N27" s="10"/>
      <c r="R27" s="2"/>
    </row>
    <row r="28" spans="1:18" ht="15">
      <c r="A28" s="19"/>
      <c r="B28" s="20">
        <f>DATE(2019,2,1)</f>
        <v>43497</v>
      </c>
      <c r="C28" s="21">
        <v>119333</v>
      </c>
      <c r="D28" s="21">
        <v>129346</v>
      </c>
      <c r="E28" s="23">
        <f t="shared" si="5"/>
        <v>-0.0774125214540844</v>
      </c>
      <c r="F28" s="21">
        <f>+C28-58302</f>
        <v>61031</v>
      </c>
      <c r="G28" s="21">
        <f>+D28-62566</f>
        <v>66780</v>
      </c>
      <c r="H28" s="23">
        <f t="shared" si="6"/>
        <v>-0.08608864929619646</v>
      </c>
      <c r="I28" s="24">
        <f t="shared" si="7"/>
        <v>52.27453822496711</v>
      </c>
      <c r="J28" s="24">
        <f t="shared" si="8"/>
        <v>102.2116214710557</v>
      </c>
      <c r="K28" s="21">
        <v>6238077.47</v>
      </c>
      <c r="L28" s="21">
        <v>6427758.5</v>
      </c>
      <c r="M28" s="25">
        <f t="shared" si="9"/>
        <v>-0.02950966966167137</v>
      </c>
      <c r="N28" s="10"/>
      <c r="R28" s="2"/>
    </row>
    <row r="29" spans="1:18" ht="15">
      <c r="A29" s="19"/>
      <c r="B29" s="20">
        <f>DATE(2019,3,1)</f>
        <v>43525</v>
      </c>
      <c r="C29" s="21">
        <v>147225</v>
      </c>
      <c r="D29" s="21">
        <v>155835</v>
      </c>
      <c r="E29" s="23">
        <f t="shared" si="5"/>
        <v>-0.055250745981326406</v>
      </c>
      <c r="F29" s="21">
        <f>+C29-71732</f>
        <v>75493</v>
      </c>
      <c r="G29" s="21">
        <f>+D29-75203</f>
        <v>80632</v>
      </c>
      <c r="H29" s="23">
        <f t="shared" si="6"/>
        <v>-0.06373400138902668</v>
      </c>
      <c r="I29" s="24">
        <f t="shared" si="7"/>
        <v>53.34691716760061</v>
      </c>
      <c r="J29" s="24">
        <f t="shared" si="8"/>
        <v>104.0361342111189</v>
      </c>
      <c r="K29" s="21">
        <v>7853999.88</v>
      </c>
      <c r="L29" s="21">
        <v>7610529.26</v>
      </c>
      <c r="M29" s="25">
        <f t="shared" si="9"/>
        <v>0.03199128624071542</v>
      </c>
      <c r="N29" s="10"/>
      <c r="R29" s="2"/>
    </row>
    <row r="30" spans="1:18" ht="15.75" customHeight="1" thickBot="1">
      <c r="A30" s="19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Bot="1" thickTop="1">
      <c r="A31" s="26" t="s">
        <v>14</v>
      </c>
      <c r="B31" s="27"/>
      <c r="C31" s="28">
        <f>SUM(C21:C30)</f>
        <v>1154077</v>
      </c>
      <c r="D31" s="28">
        <f>SUM(D21:D30)</f>
        <v>1258513</v>
      </c>
      <c r="E31" s="279">
        <f>(+C31-D31)/D31</f>
        <v>-0.08298364816255374</v>
      </c>
      <c r="F31" s="28">
        <f>SUM(F21:F30)</f>
        <v>599151</v>
      </c>
      <c r="G31" s="28">
        <f>SUM(G21:G30)</f>
        <v>655227</v>
      </c>
      <c r="H31" s="30">
        <f>(+F31-G31)/G31</f>
        <v>-0.08558255383248858</v>
      </c>
      <c r="I31" s="31">
        <f>K31/C31</f>
        <v>51.247938083854024</v>
      </c>
      <c r="J31" s="31">
        <f>K31/F31</f>
        <v>98.71312346970964</v>
      </c>
      <c r="K31" s="28">
        <f>SUM(K21:K30)</f>
        <v>59144066.64</v>
      </c>
      <c r="L31" s="28">
        <f>SUM(L21:L30)</f>
        <v>60106101.6</v>
      </c>
      <c r="M31" s="32">
        <f>(+K31-L31)/L31</f>
        <v>-0.016005612315405943</v>
      </c>
      <c r="N31" s="10"/>
      <c r="R31" s="2"/>
    </row>
    <row r="32" spans="1:18" ht="15.75" customHeight="1" thickTop="1">
      <c r="A32" s="33"/>
      <c r="B32" s="34"/>
      <c r="C32" s="35"/>
      <c r="D32" s="35"/>
      <c r="E32" s="29"/>
      <c r="F32" s="35"/>
      <c r="G32" s="35"/>
      <c r="H32" s="29"/>
      <c r="I32" s="36"/>
      <c r="J32" s="36"/>
      <c r="K32" s="35"/>
      <c r="L32" s="35"/>
      <c r="M32" s="37"/>
      <c r="N32" s="10"/>
      <c r="R32" s="2"/>
    </row>
    <row r="33" spans="1:18" ht="15.75" customHeight="1">
      <c r="A33" s="19" t="s">
        <v>56</v>
      </c>
      <c r="B33" s="20">
        <f>DATE(2018,7,1)</f>
        <v>43282</v>
      </c>
      <c r="C33" s="21">
        <v>72910</v>
      </c>
      <c r="D33" s="21">
        <v>74865</v>
      </c>
      <c r="E33" s="23">
        <f aca="true" t="shared" si="10" ref="E33:E41">(+C33-D33)/D33</f>
        <v>-0.026113671274961597</v>
      </c>
      <c r="F33" s="21">
        <f>+C33-39365</f>
        <v>33545</v>
      </c>
      <c r="G33" s="21">
        <f>+D33-41129</f>
        <v>33736</v>
      </c>
      <c r="H33" s="23">
        <f aca="true" t="shared" si="11" ref="H33:H41">(+F33-G33)/G33</f>
        <v>-0.0056616077780412616</v>
      </c>
      <c r="I33" s="24">
        <f aca="true" t="shared" si="12" ref="I33:I41">K33/C33</f>
        <v>44.78074132492114</v>
      </c>
      <c r="J33" s="24">
        <f aca="true" t="shared" si="13" ref="J33:J41">K33/F33</f>
        <v>97.33086451035922</v>
      </c>
      <c r="K33" s="21">
        <v>3264963.85</v>
      </c>
      <c r="L33" s="21">
        <v>3281831.24</v>
      </c>
      <c r="M33" s="25">
        <f aca="true" t="shared" si="14" ref="M33:M41">(+K33-L33)/L33</f>
        <v>-0.005139627472130507</v>
      </c>
      <c r="N33" s="10"/>
      <c r="R33" s="2"/>
    </row>
    <row r="34" spans="1:18" ht="15.75" customHeight="1">
      <c r="A34" s="19"/>
      <c r="B34" s="20">
        <f>DATE(2018,8,1)</f>
        <v>43313</v>
      </c>
      <c r="C34" s="21">
        <v>70574</v>
      </c>
      <c r="D34" s="21">
        <v>67175</v>
      </c>
      <c r="E34" s="23">
        <f t="shared" si="10"/>
        <v>0.05059918124302196</v>
      </c>
      <c r="F34" s="21">
        <f>+C34-38367</f>
        <v>32207</v>
      </c>
      <c r="G34" s="21">
        <f>+D34-36831</f>
        <v>30344</v>
      </c>
      <c r="H34" s="23">
        <f t="shared" si="11"/>
        <v>0.06139599261798049</v>
      </c>
      <c r="I34" s="24">
        <f t="shared" si="12"/>
        <v>44.27483577521466</v>
      </c>
      <c r="J34" s="24">
        <f t="shared" si="13"/>
        <v>97.01779923619088</v>
      </c>
      <c r="K34" s="21">
        <v>3124652.26</v>
      </c>
      <c r="L34" s="21">
        <v>2914048.09</v>
      </c>
      <c r="M34" s="25">
        <f t="shared" si="14"/>
        <v>0.07227202966303824</v>
      </c>
      <c r="N34" s="10"/>
      <c r="R34" s="2"/>
    </row>
    <row r="35" spans="1:18" ht="15.75" customHeight="1">
      <c r="A35" s="19"/>
      <c r="B35" s="20">
        <f>DATE(2018,9,1)</f>
        <v>43344</v>
      </c>
      <c r="C35" s="21">
        <v>68201</v>
      </c>
      <c r="D35" s="21">
        <v>69904</v>
      </c>
      <c r="E35" s="23">
        <f t="shared" si="10"/>
        <v>-0.02436198214694438</v>
      </c>
      <c r="F35" s="21">
        <f>+C35-36459</f>
        <v>31742</v>
      </c>
      <c r="G35" s="21">
        <f>+D35-38362</f>
        <v>31542</v>
      </c>
      <c r="H35" s="23">
        <f t="shared" si="11"/>
        <v>0.006340752013188764</v>
      </c>
      <c r="I35" s="24">
        <f t="shared" si="12"/>
        <v>45.84726968812774</v>
      </c>
      <c r="J35" s="24">
        <f t="shared" si="13"/>
        <v>98.50764413080462</v>
      </c>
      <c r="K35" s="21">
        <v>3126829.64</v>
      </c>
      <c r="L35" s="21">
        <v>3243425.56</v>
      </c>
      <c r="M35" s="25">
        <f t="shared" si="14"/>
        <v>-0.035948387852009135</v>
      </c>
      <c r="N35" s="10"/>
      <c r="R35" s="2"/>
    </row>
    <row r="36" spans="1:18" ht="15.75" customHeight="1">
      <c r="A36" s="19"/>
      <c r="B36" s="20">
        <f>DATE(2018,10,1)</f>
        <v>43374</v>
      </c>
      <c r="C36" s="21">
        <v>62804</v>
      </c>
      <c r="D36" s="21">
        <v>63657</v>
      </c>
      <c r="E36" s="23">
        <f t="shared" si="10"/>
        <v>-0.013399940305072498</v>
      </c>
      <c r="F36" s="21">
        <f>+C36-33338</f>
        <v>29466</v>
      </c>
      <c r="G36" s="21">
        <f>+D36-34877</f>
        <v>28780</v>
      </c>
      <c r="H36" s="23">
        <f t="shared" si="11"/>
        <v>0.02383599722029187</v>
      </c>
      <c r="I36" s="24">
        <f t="shared" si="12"/>
        <v>45.33038946563913</v>
      </c>
      <c r="J36" s="24">
        <f t="shared" si="13"/>
        <v>96.61744994230638</v>
      </c>
      <c r="K36" s="21">
        <v>2846929.78</v>
      </c>
      <c r="L36" s="21">
        <v>2893425.26</v>
      </c>
      <c r="M36" s="25">
        <f t="shared" si="14"/>
        <v>-0.016069355805651598</v>
      </c>
      <c r="N36" s="10"/>
      <c r="R36" s="2"/>
    </row>
    <row r="37" spans="1:18" ht="15.75" customHeight="1">
      <c r="A37" s="19"/>
      <c r="B37" s="20">
        <f>DATE(2018,11,1)</f>
        <v>43405</v>
      </c>
      <c r="C37" s="21">
        <v>61960</v>
      </c>
      <c r="D37" s="21">
        <v>63113</v>
      </c>
      <c r="E37" s="23">
        <f t="shared" si="10"/>
        <v>-0.018268819419137102</v>
      </c>
      <c r="F37" s="21">
        <f>+C37-34125</f>
        <v>27835</v>
      </c>
      <c r="G37" s="21">
        <f>+D37-34636</f>
        <v>28477</v>
      </c>
      <c r="H37" s="23">
        <f t="shared" si="11"/>
        <v>-0.02254450960424202</v>
      </c>
      <c r="I37" s="24">
        <f t="shared" si="12"/>
        <v>46.03574903163331</v>
      </c>
      <c r="J37" s="24">
        <f t="shared" si="13"/>
        <v>102.47440308963535</v>
      </c>
      <c r="K37" s="21">
        <v>2852375.01</v>
      </c>
      <c r="L37" s="21">
        <v>2842675.68</v>
      </c>
      <c r="M37" s="25">
        <f t="shared" si="14"/>
        <v>0.00341204241772653</v>
      </c>
      <c r="N37" s="10"/>
      <c r="R37" s="2"/>
    </row>
    <row r="38" spans="1:18" ht="15.75" customHeight="1">
      <c r="A38" s="19"/>
      <c r="B38" s="20">
        <f>DATE(2018,12,1)</f>
        <v>43435</v>
      </c>
      <c r="C38" s="21">
        <v>67802</v>
      </c>
      <c r="D38" s="21">
        <v>67232</v>
      </c>
      <c r="E38" s="23">
        <f t="shared" si="10"/>
        <v>0.008478105663969539</v>
      </c>
      <c r="F38" s="21">
        <f>+C38-38252</f>
        <v>29550</v>
      </c>
      <c r="G38" s="21">
        <f>+D38-38046</f>
        <v>29186</v>
      </c>
      <c r="H38" s="23">
        <f t="shared" si="11"/>
        <v>0.012471733022682108</v>
      </c>
      <c r="I38" s="24">
        <f t="shared" si="12"/>
        <v>47.906145098964636</v>
      </c>
      <c r="J38" s="24">
        <f t="shared" si="13"/>
        <v>109.91987986463621</v>
      </c>
      <c r="K38" s="21">
        <v>3248132.45</v>
      </c>
      <c r="L38" s="21">
        <v>3087701.75</v>
      </c>
      <c r="M38" s="25">
        <f t="shared" si="14"/>
        <v>0.05195796517587885</v>
      </c>
      <c r="N38" s="10"/>
      <c r="R38" s="2"/>
    </row>
    <row r="39" spans="1:18" ht="15.75" customHeight="1">
      <c r="A39" s="19"/>
      <c r="B39" s="20">
        <f>DATE(2019,1,1)</f>
        <v>43466</v>
      </c>
      <c r="C39" s="21">
        <v>58743</v>
      </c>
      <c r="D39" s="21">
        <v>54220</v>
      </c>
      <c r="E39" s="23">
        <f t="shared" si="10"/>
        <v>0.083419402434526</v>
      </c>
      <c r="F39" s="21">
        <f>+C39-31774</f>
        <v>26969</v>
      </c>
      <c r="G39" s="21">
        <f>+D39-30564</f>
        <v>23656</v>
      </c>
      <c r="H39" s="23">
        <f t="shared" si="11"/>
        <v>0.14004903618532297</v>
      </c>
      <c r="I39" s="24">
        <f t="shared" si="12"/>
        <v>47.15828013550551</v>
      </c>
      <c r="J39" s="24">
        <f t="shared" si="13"/>
        <v>102.71863435796656</v>
      </c>
      <c r="K39" s="21">
        <v>2770218.85</v>
      </c>
      <c r="L39" s="21">
        <v>2486445.45</v>
      </c>
      <c r="M39" s="25">
        <f t="shared" si="14"/>
        <v>0.1141281422441823</v>
      </c>
      <c r="N39" s="10"/>
      <c r="R39" s="2"/>
    </row>
    <row r="40" spans="1:18" ht="15.75" customHeight="1">
      <c r="A40" s="19"/>
      <c r="B40" s="20">
        <f>DATE(2019,2,1)</f>
        <v>43497</v>
      </c>
      <c r="C40" s="21">
        <v>61568</v>
      </c>
      <c r="D40" s="21">
        <v>65508</v>
      </c>
      <c r="E40" s="23">
        <f t="shared" si="10"/>
        <v>-0.060145325761739026</v>
      </c>
      <c r="F40" s="21">
        <f>+C40-34106</f>
        <v>27462</v>
      </c>
      <c r="G40" s="21">
        <f>+D40-36512</f>
        <v>28996</v>
      </c>
      <c r="H40" s="23">
        <f t="shared" si="11"/>
        <v>-0.05290384880673196</v>
      </c>
      <c r="I40" s="24">
        <f t="shared" si="12"/>
        <v>47.19749935031185</v>
      </c>
      <c r="J40" s="24">
        <f t="shared" si="13"/>
        <v>105.81369310319715</v>
      </c>
      <c r="K40" s="21">
        <v>2905855.64</v>
      </c>
      <c r="L40" s="21">
        <v>3058842.68</v>
      </c>
      <c r="M40" s="25">
        <f t="shared" si="14"/>
        <v>-0.05001468071577975</v>
      </c>
      <c r="N40" s="10"/>
      <c r="R40" s="2"/>
    </row>
    <row r="41" spans="1:18" ht="15.75" customHeight="1">
      <c r="A41" s="19"/>
      <c r="B41" s="20">
        <f>DATE(2019,3,1)</f>
        <v>43525</v>
      </c>
      <c r="C41" s="21">
        <v>74747</v>
      </c>
      <c r="D41" s="21">
        <v>81477</v>
      </c>
      <c r="E41" s="23">
        <f t="shared" si="10"/>
        <v>-0.08259999754531953</v>
      </c>
      <c r="F41" s="21">
        <f>+C41-42036</f>
        <v>32711</v>
      </c>
      <c r="G41" s="21">
        <f>+D41-46044</f>
        <v>35433</v>
      </c>
      <c r="H41" s="23">
        <f t="shared" si="11"/>
        <v>-0.07682104253097395</v>
      </c>
      <c r="I41" s="24">
        <f t="shared" si="12"/>
        <v>51.34301216102318</v>
      </c>
      <c r="J41" s="24">
        <f t="shared" si="13"/>
        <v>117.32249487939836</v>
      </c>
      <c r="K41" s="21">
        <v>3837736.13</v>
      </c>
      <c r="L41" s="21">
        <v>3874172.71</v>
      </c>
      <c r="M41" s="25">
        <f t="shared" si="14"/>
        <v>-0.009404996299197017</v>
      </c>
      <c r="N41" s="10"/>
      <c r="R41" s="2"/>
    </row>
    <row r="42" spans="1:18" ht="15.75" customHeight="1" thickBot="1">
      <c r="A42" s="38"/>
      <c r="B42" s="20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customHeight="1" thickBot="1" thickTop="1">
      <c r="A43" s="39" t="s">
        <v>14</v>
      </c>
      <c r="B43" s="40"/>
      <c r="C43" s="41">
        <f>SUM(C33:C42)</f>
        <v>599309</v>
      </c>
      <c r="D43" s="41">
        <f>SUM(D33:D42)</f>
        <v>607151</v>
      </c>
      <c r="E43" s="280">
        <f>(+C43-D43)/D43</f>
        <v>-0.012916062066932278</v>
      </c>
      <c r="F43" s="41">
        <f>SUM(F33:F42)</f>
        <v>271487</v>
      </c>
      <c r="G43" s="41">
        <f>SUM(G33:G42)</f>
        <v>270150</v>
      </c>
      <c r="H43" s="42">
        <f>(+F43-G43)/G43</f>
        <v>0.004949102350545993</v>
      </c>
      <c r="I43" s="43">
        <f>K43/C43</f>
        <v>46.683252896252185</v>
      </c>
      <c r="J43" s="43">
        <f>K43/F43</f>
        <v>103.05352967177065</v>
      </c>
      <c r="K43" s="41">
        <f>SUM(K33:K42)</f>
        <v>27977693.61</v>
      </c>
      <c r="L43" s="41">
        <f>SUM(L33:L42)</f>
        <v>27682568.419999998</v>
      </c>
      <c r="M43" s="44">
        <f>(+K43-L43)/L43</f>
        <v>0.010661047975114203</v>
      </c>
      <c r="N43" s="10"/>
      <c r="R43" s="2"/>
    </row>
    <row r="44" spans="1:18" ht="15.75" customHeight="1" thickTop="1">
      <c r="A44" s="38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.75" customHeight="1">
      <c r="A45" s="177" t="s">
        <v>65</v>
      </c>
      <c r="B45" s="20">
        <f>DATE(2018,7,1)</f>
        <v>43282</v>
      </c>
      <c r="C45" s="21">
        <v>465892</v>
      </c>
      <c r="D45" s="21">
        <v>502707</v>
      </c>
      <c r="E45" s="23">
        <f aca="true" t="shared" si="15" ref="E45:E53">(+C45-D45)/D45</f>
        <v>-0.07323351375652219</v>
      </c>
      <c r="F45" s="21">
        <f>+C45-233751</f>
        <v>232141</v>
      </c>
      <c r="G45" s="21">
        <f>+D45-258518</f>
        <v>244189</v>
      </c>
      <c r="H45" s="23">
        <f aca="true" t="shared" si="16" ref="H45:H53">(+F45-G45)/G45</f>
        <v>-0.04933883180651053</v>
      </c>
      <c r="I45" s="24">
        <f aca="true" t="shared" si="17" ref="I45:I53">K45/C45</f>
        <v>43.31496016244108</v>
      </c>
      <c r="J45" s="24">
        <f aca="true" t="shared" si="18" ref="J45:J53">K45/F45</f>
        <v>86.93032863647525</v>
      </c>
      <c r="K45" s="21">
        <v>20180093.42</v>
      </c>
      <c r="L45" s="21">
        <v>21241004.79</v>
      </c>
      <c r="M45" s="25">
        <f aca="true" t="shared" si="19" ref="M45:M53">(+K45-L45)/L45</f>
        <v>-0.04994638344507418</v>
      </c>
      <c r="N45" s="10"/>
      <c r="R45" s="2"/>
    </row>
    <row r="46" spans="1:18" ht="15.75" customHeight="1">
      <c r="A46" s="177"/>
      <c r="B46" s="20">
        <f>DATE(2018,8,1)</f>
        <v>43313</v>
      </c>
      <c r="C46" s="21">
        <v>454572</v>
      </c>
      <c r="D46" s="21">
        <v>453491</v>
      </c>
      <c r="E46" s="23">
        <f t="shared" si="15"/>
        <v>0.0023837297763351422</v>
      </c>
      <c r="F46" s="21">
        <f>+C46-227733</f>
        <v>226839</v>
      </c>
      <c r="G46" s="21">
        <f>+D46-231314</f>
        <v>222177</v>
      </c>
      <c r="H46" s="23">
        <f t="shared" si="16"/>
        <v>0.020983270095464426</v>
      </c>
      <c r="I46" s="24">
        <f t="shared" si="17"/>
        <v>44.90025945284795</v>
      </c>
      <c r="J46" s="24">
        <f t="shared" si="18"/>
        <v>89.97747627171694</v>
      </c>
      <c r="K46" s="21">
        <v>20410400.74</v>
      </c>
      <c r="L46" s="21">
        <v>19752724.44</v>
      </c>
      <c r="M46" s="25">
        <f t="shared" si="19"/>
        <v>0.03329547283453102</v>
      </c>
      <c r="N46" s="10"/>
      <c r="R46" s="2"/>
    </row>
    <row r="47" spans="1:18" ht="15.75" customHeight="1">
      <c r="A47" s="177"/>
      <c r="B47" s="20">
        <f>DATE(2018,9,1)</f>
        <v>43344</v>
      </c>
      <c r="C47" s="21">
        <v>400695</v>
      </c>
      <c r="D47" s="21">
        <v>440378</v>
      </c>
      <c r="E47" s="23">
        <f t="shared" si="15"/>
        <v>-0.0901112226314666</v>
      </c>
      <c r="F47" s="21">
        <f>+C47-202275</f>
        <v>198420</v>
      </c>
      <c r="G47" s="21">
        <f>+D47-224768</f>
        <v>215610</v>
      </c>
      <c r="H47" s="23">
        <f t="shared" si="16"/>
        <v>-0.07972728537637401</v>
      </c>
      <c r="I47" s="24">
        <f t="shared" si="17"/>
        <v>48.47667926976877</v>
      </c>
      <c r="J47" s="24">
        <f t="shared" si="18"/>
        <v>97.89518697711924</v>
      </c>
      <c r="K47" s="21">
        <v>19424363</v>
      </c>
      <c r="L47" s="21">
        <v>19993375.76</v>
      </c>
      <c r="M47" s="25">
        <f t="shared" si="19"/>
        <v>-0.02846006431482192</v>
      </c>
      <c r="N47" s="10"/>
      <c r="R47" s="2"/>
    </row>
    <row r="48" spans="1:18" ht="15.75" customHeight="1">
      <c r="A48" s="177"/>
      <c r="B48" s="20">
        <f>DATE(2018,10,1)</f>
        <v>43374</v>
      </c>
      <c r="C48" s="21">
        <v>385385</v>
      </c>
      <c r="D48" s="21">
        <v>419713</v>
      </c>
      <c r="E48" s="23">
        <f t="shared" si="15"/>
        <v>-0.08178922263546758</v>
      </c>
      <c r="F48" s="21">
        <f>+C48-195549</f>
        <v>189836</v>
      </c>
      <c r="G48" s="21">
        <f>+D48-218072</f>
        <v>201641</v>
      </c>
      <c r="H48" s="23">
        <f t="shared" si="16"/>
        <v>-0.05854464121879975</v>
      </c>
      <c r="I48" s="24">
        <f t="shared" si="17"/>
        <v>47.1034713857571</v>
      </c>
      <c r="J48" s="24">
        <f t="shared" si="18"/>
        <v>95.6244933521566</v>
      </c>
      <c r="K48" s="21">
        <v>18152971.32</v>
      </c>
      <c r="L48" s="21">
        <v>18150595.49</v>
      </c>
      <c r="M48" s="25">
        <f t="shared" si="19"/>
        <v>0.00013089542992189383</v>
      </c>
      <c r="N48" s="10"/>
      <c r="R48" s="2"/>
    </row>
    <row r="49" spans="1:18" ht="15.75" customHeight="1">
      <c r="A49" s="177"/>
      <c r="B49" s="20">
        <f>DATE(2018,11,1)</f>
        <v>43405</v>
      </c>
      <c r="C49" s="21">
        <v>374346</v>
      </c>
      <c r="D49" s="21">
        <v>408603</v>
      </c>
      <c r="E49" s="23">
        <f t="shared" si="15"/>
        <v>-0.08383932570245446</v>
      </c>
      <c r="F49" s="21">
        <f>+C49-191013</f>
        <v>183333</v>
      </c>
      <c r="G49" s="21">
        <f>+D49-210845</f>
        <v>197758</v>
      </c>
      <c r="H49" s="23">
        <f t="shared" si="16"/>
        <v>-0.07294268752717968</v>
      </c>
      <c r="I49" s="24">
        <f t="shared" si="17"/>
        <v>47.420801557917</v>
      </c>
      <c r="J49" s="24">
        <f t="shared" si="18"/>
        <v>96.82810721474038</v>
      </c>
      <c r="K49" s="21">
        <v>17751787.38</v>
      </c>
      <c r="L49" s="21">
        <v>18468735.18</v>
      </c>
      <c r="M49" s="25">
        <f t="shared" si="19"/>
        <v>-0.03881953977965917</v>
      </c>
      <c r="N49" s="10"/>
      <c r="R49" s="2"/>
    </row>
    <row r="50" spans="1:18" ht="15.75" customHeight="1">
      <c r="A50" s="177"/>
      <c r="B50" s="20">
        <f>DATE(2018,12,1)</f>
        <v>43435</v>
      </c>
      <c r="C50" s="21">
        <v>412048</v>
      </c>
      <c r="D50" s="21">
        <v>449629</v>
      </c>
      <c r="E50" s="23">
        <f t="shared" si="15"/>
        <v>-0.08358224224860941</v>
      </c>
      <c r="F50" s="21">
        <f>+C50-211961</f>
        <v>200087</v>
      </c>
      <c r="G50" s="21">
        <f>+D50-233187</f>
        <v>216442</v>
      </c>
      <c r="H50" s="23">
        <f t="shared" si="16"/>
        <v>-0.07556296837027933</v>
      </c>
      <c r="I50" s="24">
        <f t="shared" si="17"/>
        <v>46.91464098842853</v>
      </c>
      <c r="J50" s="24">
        <f t="shared" si="18"/>
        <v>96.61339312399106</v>
      </c>
      <c r="K50" s="21">
        <v>19331083.99</v>
      </c>
      <c r="L50" s="21">
        <v>20150034.73</v>
      </c>
      <c r="M50" s="25">
        <f t="shared" si="19"/>
        <v>-0.04064264657473382</v>
      </c>
      <c r="N50" s="10"/>
      <c r="R50" s="2"/>
    </row>
    <row r="51" spans="1:18" ht="15.75" customHeight="1">
      <c r="A51" s="177"/>
      <c r="B51" s="20">
        <f>DATE(2019,1,1)</f>
        <v>43466</v>
      </c>
      <c r="C51" s="21">
        <v>344029</v>
      </c>
      <c r="D51" s="21">
        <v>391423</v>
      </c>
      <c r="E51" s="23">
        <f t="shared" si="15"/>
        <v>-0.12108128546355222</v>
      </c>
      <c r="F51" s="21">
        <f>+C51-177399</f>
        <v>166630</v>
      </c>
      <c r="G51" s="21">
        <f>+D51-204825</f>
        <v>186598</v>
      </c>
      <c r="H51" s="23">
        <f t="shared" si="16"/>
        <v>-0.10701079325609063</v>
      </c>
      <c r="I51" s="24">
        <f t="shared" si="17"/>
        <v>47.706946565551156</v>
      </c>
      <c r="J51" s="24">
        <f t="shared" si="18"/>
        <v>98.49710808377843</v>
      </c>
      <c r="K51" s="21">
        <v>16412573.12</v>
      </c>
      <c r="L51" s="21">
        <v>17738011.18</v>
      </c>
      <c r="M51" s="25">
        <f t="shared" si="19"/>
        <v>-0.07472303667811762</v>
      </c>
      <c r="N51" s="10"/>
      <c r="R51" s="2"/>
    </row>
    <row r="52" spans="1:18" ht="15.75" customHeight="1">
      <c r="A52" s="177"/>
      <c r="B52" s="20">
        <f>DATE(2019,2,1)</f>
        <v>43497</v>
      </c>
      <c r="C52" s="21">
        <v>384321</v>
      </c>
      <c r="D52" s="21">
        <v>413419</v>
      </c>
      <c r="E52" s="23">
        <f t="shared" si="15"/>
        <v>-0.07038379948671929</v>
      </c>
      <c r="F52" s="21">
        <f>+C52-196867</f>
        <v>187454</v>
      </c>
      <c r="G52" s="21">
        <f>+D52-213480</f>
        <v>199939</v>
      </c>
      <c r="H52" s="23">
        <f t="shared" si="16"/>
        <v>-0.06244404543385733</v>
      </c>
      <c r="I52" s="24">
        <f t="shared" si="17"/>
        <v>48.37954376679911</v>
      </c>
      <c r="J52" s="24">
        <f t="shared" si="18"/>
        <v>99.18846565023952</v>
      </c>
      <c r="K52" s="21">
        <v>18593274.64</v>
      </c>
      <c r="L52" s="21">
        <v>18792291.01</v>
      </c>
      <c r="M52" s="25">
        <f t="shared" si="19"/>
        <v>-0.010590319716425094</v>
      </c>
      <c r="N52" s="10"/>
      <c r="R52" s="2"/>
    </row>
    <row r="53" spans="1:18" ht="15.75" customHeight="1">
      <c r="A53" s="177"/>
      <c r="B53" s="20">
        <f>DATE(2019,3,1)</f>
        <v>43525</v>
      </c>
      <c r="C53" s="21">
        <v>466183</v>
      </c>
      <c r="D53" s="21">
        <v>490262</v>
      </c>
      <c r="E53" s="23">
        <f t="shared" si="15"/>
        <v>-0.04911455507463356</v>
      </c>
      <c r="F53" s="21">
        <f>+C53-241983</f>
        <v>224200</v>
      </c>
      <c r="G53" s="21">
        <f>+D53-252614</f>
        <v>237648</v>
      </c>
      <c r="H53" s="23">
        <f t="shared" si="16"/>
        <v>-0.056587894701407127</v>
      </c>
      <c r="I53" s="24">
        <f t="shared" si="17"/>
        <v>49.30069078023008</v>
      </c>
      <c r="J53" s="24">
        <f t="shared" si="18"/>
        <v>102.51179272970562</v>
      </c>
      <c r="K53" s="21">
        <v>22983143.93</v>
      </c>
      <c r="L53" s="21">
        <v>22111387.34</v>
      </c>
      <c r="M53" s="25">
        <f t="shared" si="19"/>
        <v>0.03942568490141604</v>
      </c>
      <c r="N53" s="10"/>
      <c r="R53" s="2"/>
    </row>
    <row r="54" spans="1:18" ht="15" thickBot="1">
      <c r="A54" s="38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6.5" thickBot="1" thickTop="1">
      <c r="A55" s="39" t="s">
        <v>14</v>
      </c>
      <c r="B55" s="40"/>
      <c r="C55" s="41">
        <f>SUM(C45:C54)</f>
        <v>3687471</v>
      </c>
      <c r="D55" s="41">
        <f>SUM(D45:D54)</f>
        <v>3969625</v>
      </c>
      <c r="E55" s="280">
        <f>(+C55-D55)/D55</f>
        <v>-0.07107825046446453</v>
      </c>
      <c r="F55" s="41">
        <f>SUM(F45:F54)</f>
        <v>1808940</v>
      </c>
      <c r="G55" s="41">
        <f>SUM(G45:G54)</f>
        <v>1922002</v>
      </c>
      <c r="H55" s="42">
        <f>(+F55-G55)/G55</f>
        <v>-0.05882512088957244</v>
      </c>
      <c r="I55" s="43">
        <f>K55/C55</f>
        <v>46.9806248076256</v>
      </c>
      <c r="J55" s="43">
        <f>K55/F55</f>
        <v>95.76862225391666</v>
      </c>
      <c r="K55" s="41">
        <f>SUM(K45:K54)</f>
        <v>173239691.54</v>
      </c>
      <c r="L55" s="41">
        <f>SUM(L45:L54)</f>
        <v>176398159.92</v>
      </c>
      <c r="M55" s="44">
        <f>(+K55-L55)/L55</f>
        <v>-0.01790533632228603</v>
      </c>
      <c r="N55" s="10"/>
      <c r="R55" s="2"/>
    </row>
    <row r="56" spans="1:18" ht="15" thickTop="1">
      <c r="A56" s="38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">
      <c r="A57" s="19" t="s">
        <v>16</v>
      </c>
      <c r="B57" s="20">
        <f>DATE(2018,7,1)</f>
        <v>43282</v>
      </c>
      <c r="C57" s="21">
        <v>289167</v>
      </c>
      <c r="D57" s="21">
        <v>332127</v>
      </c>
      <c r="E57" s="23">
        <f aca="true" t="shared" si="20" ref="E57:E65">(+C57-D57)/D57</f>
        <v>-0.12934811081303235</v>
      </c>
      <c r="F57" s="21">
        <f>+C57-134357</f>
        <v>154810</v>
      </c>
      <c r="G57" s="21">
        <f>+D57-153372</f>
        <v>178755</v>
      </c>
      <c r="H57" s="23">
        <f aca="true" t="shared" si="21" ref="H57:H65">(+F57-G57)/G57</f>
        <v>-0.13395429498475567</v>
      </c>
      <c r="I57" s="24">
        <f aca="true" t="shared" si="22" ref="I57:I65">K57/C57</f>
        <v>51.510231907513656</v>
      </c>
      <c r="J57" s="24">
        <f aca="true" t="shared" si="23" ref="J57:J65">K57/F57</f>
        <v>96.21509740972806</v>
      </c>
      <c r="K57" s="21">
        <v>14895059.23</v>
      </c>
      <c r="L57" s="21">
        <v>16977556.68</v>
      </c>
      <c r="M57" s="25">
        <f aca="true" t="shared" si="24" ref="M57:M65">(+K57-L57)/L57</f>
        <v>-0.12266178751464485</v>
      </c>
      <c r="N57" s="10"/>
      <c r="R57" s="2"/>
    </row>
    <row r="58" spans="1:18" ht="15">
      <c r="A58" s="19"/>
      <c r="B58" s="20">
        <f>DATE(2018,8,1)</f>
        <v>43313</v>
      </c>
      <c r="C58" s="21">
        <v>292132</v>
      </c>
      <c r="D58" s="21">
        <v>318460</v>
      </c>
      <c r="E58" s="23">
        <f t="shared" si="20"/>
        <v>-0.08267286315392829</v>
      </c>
      <c r="F58" s="21">
        <f>+C58-136807</f>
        <v>155325</v>
      </c>
      <c r="G58" s="21">
        <f>+D58-146549</f>
        <v>171911</v>
      </c>
      <c r="H58" s="23">
        <f t="shared" si="21"/>
        <v>-0.09648015542926282</v>
      </c>
      <c r="I58" s="24">
        <f t="shared" si="22"/>
        <v>49.94121749756959</v>
      </c>
      <c r="J58" s="24">
        <f t="shared" si="23"/>
        <v>93.92839369064863</v>
      </c>
      <c r="K58" s="21">
        <v>14589427.75</v>
      </c>
      <c r="L58" s="21">
        <v>15578003.46</v>
      </c>
      <c r="M58" s="25">
        <f t="shared" si="24"/>
        <v>-0.06345971821988547</v>
      </c>
      <c r="N58" s="10"/>
      <c r="R58" s="2"/>
    </row>
    <row r="59" spans="1:18" ht="15">
      <c r="A59" s="19"/>
      <c r="B59" s="20">
        <f>DATE(2018,9,1)</f>
        <v>43344</v>
      </c>
      <c r="C59" s="21">
        <v>292955</v>
      </c>
      <c r="D59" s="21">
        <v>319116</v>
      </c>
      <c r="E59" s="23">
        <f t="shared" si="20"/>
        <v>-0.08197959362739568</v>
      </c>
      <c r="F59" s="21">
        <f>+C59-135433</f>
        <v>157522</v>
      </c>
      <c r="G59" s="21">
        <f>+D59-146330</f>
        <v>172786</v>
      </c>
      <c r="H59" s="23">
        <f t="shared" si="21"/>
        <v>-0.08834049054900281</v>
      </c>
      <c r="I59" s="24">
        <f t="shared" si="22"/>
        <v>51.9962153231725</v>
      </c>
      <c r="J59" s="24">
        <f t="shared" si="23"/>
        <v>96.70110371884562</v>
      </c>
      <c r="K59" s="21">
        <v>15232551.26</v>
      </c>
      <c r="L59" s="21">
        <v>15578279.97</v>
      </c>
      <c r="M59" s="25">
        <f t="shared" si="24"/>
        <v>-0.02219299631703826</v>
      </c>
      <c r="N59" s="10"/>
      <c r="R59" s="2"/>
    </row>
    <row r="60" spans="1:18" ht="15">
      <c r="A60" s="19"/>
      <c r="B60" s="20">
        <f>DATE(2018,10,1)</f>
        <v>43374</v>
      </c>
      <c r="C60" s="21">
        <v>283107</v>
      </c>
      <c r="D60" s="21">
        <v>307325</v>
      </c>
      <c r="E60" s="23">
        <f t="shared" si="20"/>
        <v>-0.07880257056861628</v>
      </c>
      <c r="F60" s="21">
        <f>+C60-129714</f>
        <v>153393</v>
      </c>
      <c r="G60" s="21">
        <f>+D60-144149</f>
        <v>163176</v>
      </c>
      <c r="H60" s="23">
        <f t="shared" si="21"/>
        <v>-0.05995366965730255</v>
      </c>
      <c r="I60" s="24">
        <f t="shared" si="22"/>
        <v>51.85689548474605</v>
      </c>
      <c r="J60" s="24">
        <f t="shared" si="23"/>
        <v>95.70873579628797</v>
      </c>
      <c r="K60" s="21">
        <v>14681050.11</v>
      </c>
      <c r="L60" s="21">
        <v>14357615.17</v>
      </c>
      <c r="M60" s="25">
        <f t="shared" si="24"/>
        <v>0.02252706568398709</v>
      </c>
      <c r="N60" s="10"/>
      <c r="R60" s="2"/>
    </row>
    <row r="61" spans="1:18" ht="15">
      <c r="A61" s="19"/>
      <c r="B61" s="20">
        <f>DATE(2018,11,1)</f>
        <v>43405</v>
      </c>
      <c r="C61" s="21">
        <v>270987</v>
      </c>
      <c r="D61" s="21">
        <v>280587</v>
      </c>
      <c r="E61" s="23">
        <f t="shared" si="20"/>
        <v>-0.03421398710560361</v>
      </c>
      <c r="F61" s="21">
        <f>+C61-127087</f>
        <v>143900</v>
      </c>
      <c r="G61" s="21">
        <f>+D61-134796</f>
        <v>145791</v>
      </c>
      <c r="H61" s="23">
        <f t="shared" si="21"/>
        <v>-0.012970622329224713</v>
      </c>
      <c r="I61" s="24">
        <f t="shared" si="22"/>
        <v>50.92236609136232</v>
      </c>
      <c r="J61" s="24">
        <f t="shared" si="23"/>
        <v>95.89506059763725</v>
      </c>
      <c r="K61" s="21">
        <v>13799299.22</v>
      </c>
      <c r="L61" s="21">
        <v>14099625.18</v>
      </c>
      <c r="M61" s="25">
        <f t="shared" si="24"/>
        <v>-0.021300279700059307</v>
      </c>
      <c r="N61" s="10"/>
      <c r="R61" s="2"/>
    </row>
    <row r="62" spans="1:18" ht="15">
      <c r="A62" s="19"/>
      <c r="B62" s="20">
        <f>DATE(2018,12,1)</f>
        <v>43435</v>
      </c>
      <c r="C62" s="21">
        <v>307184</v>
      </c>
      <c r="D62" s="21">
        <v>306888</v>
      </c>
      <c r="E62" s="23">
        <f t="shared" si="20"/>
        <v>0.0009645212585699017</v>
      </c>
      <c r="F62" s="21">
        <f>+C62-142869</f>
        <v>164315</v>
      </c>
      <c r="G62" s="21">
        <f>+D62-144117</f>
        <v>162771</v>
      </c>
      <c r="H62" s="23">
        <f t="shared" si="21"/>
        <v>0.0094857192005947</v>
      </c>
      <c r="I62" s="24">
        <f t="shared" si="22"/>
        <v>50.741745435960205</v>
      </c>
      <c r="J62" s="24">
        <f t="shared" si="23"/>
        <v>94.86079986611082</v>
      </c>
      <c r="K62" s="21">
        <v>15587052.33</v>
      </c>
      <c r="L62" s="21">
        <v>14839139.05</v>
      </c>
      <c r="M62" s="25">
        <f t="shared" si="24"/>
        <v>0.050401393064646784</v>
      </c>
      <c r="N62" s="10"/>
      <c r="R62" s="2"/>
    </row>
    <row r="63" spans="1:18" ht="15">
      <c r="A63" s="19"/>
      <c r="B63" s="20">
        <f>DATE(2019,1,1)</f>
        <v>43466</v>
      </c>
      <c r="C63" s="21">
        <v>270469</v>
      </c>
      <c r="D63" s="21">
        <v>266691</v>
      </c>
      <c r="E63" s="23">
        <f t="shared" si="20"/>
        <v>0.01416620733358081</v>
      </c>
      <c r="F63" s="21">
        <f>+C63-125284</f>
        <v>145185</v>
      </c>
      <c r="G63" s="21">
        <f>+D63-126275</f>
        <v>140416</v>
      </c>
      <c r="H63" s="23">
        <f t="shared" si="21"/>
        <v>0.03396336599817685</v>
      </c>
      <c r="I63" s="24">
        <f t="shared" si="22"/>
        <v>46.27418221681597</v>
      </c>
      <c r="J63" s="24">
        <f t="shared" si="23"/>
        <v>86.20540544822123</v>
      </c>
      <c r="K63" s="21">
        <v>12515731.79</v>
      </c>
      <c r="L63" s="21">
        <v>12467368.92</v>
      </c>
      <c r="M63" s="25">
        <f t="shared" si="24"/>
        <v>0.003879156084201219</v>
      </c>
      <c r="N63" s="10"/>
      <c r="R63" s="2"/>
    </row>
    <row r="64" spans="1:18" ht="15">
      <c r="A64" s="19"/>
      <c r="B64" s="20">
        <f>DATE(2019,2,1)</f>
        <v>43497</v>
      </c>
      <c r="C64" s="21">
        <v>258062</v>
      </c>
      <c r="D64" s="21">
        <v>270857</v>
      </c>
      <c r="E64" s="23">
        <f t="shared" si="20"/>
        <v>-0.047238948965690385</v>
      </c>
      <c r="F64" s="21">
        <f>+C64-117954</f>
        <v>140108</v>
      </c>
      <c r="G64" s="21">
        <f>+D64-128704</f>
        <v>142153</v>
      </c>
      <c r="H64" s="23">
        <f t="shared" si="21"/>
        <v>-0.014385908141228114</v>
      </c>
      <c r="I64" s="24">
        <f t="shared" si="22"/>
        <v>47.38271306895242</v>
      </c>
      <c r="J64" s="24">
        <f t="shared" si="23"/>
        <v>87.2732299369058</v>
      </c>
      <c r="K64" s="21">
        <v>12227677.7</v>
      </c>
      <c r="L64" s="21">
        <v>12877404.86</v>
      </c>
      <c r="M64" s="25">
        <f t="shared" si="24"/>
        <v>-0.05045482122086516</v>
      </c>
      <c r="N64" s="10"/>
      <c r="R64" s="2"/>
    </row>
    <row r="65" spans="1:18" ht="15">
      <c r="A65" s="19"/>
      <c r="B65" s="20">
        <f>DATE(2019,3,1)</f>
        <v>43525</v>
      </c>
      <c r="C65" s="21">
        <v>321088</v>
      </c>
      <c r="D65" s="21">
        <v>316084</v>
      </c>
      <c r="E65" s="23">
        <f t="shared" si="20"/>
        <v>0.015831234735070424</v>
      </c>
      <c r="F65" s="21">
        <f>+C65-149417</f>
        <v>171671</v>
      </c>
      <c r="G65" s="21">
        <f>+D65-148506</f>
        <v>167578</v>
      </c>
      <c r="H65" s="23">
        <f t="shared" si="21"/>
        <v>0.024424447123130723</v>
      </c>
      <c r="I65" s="24">
        <f t="shared" si="22"/>
        <v>55.95262666309547</v>
      </c>
      <c r="J65" s="24">
        <f t="shared" si="23"/>
        <v>104.65202037618467</v>
      </c>
      <c r="K65" s="21">
        <v>17965716.99</v>
      </c>
      <c r="L65" s="21">
        <v>15593527.59</v>
      </c>
      <c r="M65" s="25">
        <f t="shared" si="24"/>
        <v>0.15212654008585355</v>
      </c>
      <c r="N65" s="10"/>
      <c r="R65" s="2"/>
    </row>
    <row r="66" spans="1:18" ht="15" thickBot="1">
      <c r="A66" s="38"/>
      <c r="B66" s="20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6.5" thickBot="1" thickTop="1">
      <c r="A67" s="39" t="s">
        <v>14</v>
      </c>
      <c r="B67" s="40"/>
      <c r="C67" s="41">
        <f>SUM(C57:C66)</f>
        <v>2585151</v>
      </c>
      <c r="D67" s="41">
        <f>SUM(D57:D66)</f>
        <v>2718135</v>
      </c>
      <c r="E67" s="281">
        <f>(+C67-D67)/D67</f>
        <v>-0.04892472228200586</v>
      </c>
      <c r="F67" s="47">
        <f>SUM(F57:F66)</f>
        <v>1386229</v>
      </c>
      <c r="G67" s="48">
        <f>SUM(G57:G66)</f>
        <v>1445337</v>
      </c>
      <c r="H67" s="49">
        <f>(+F67-G67)/G67</f>
        <v>-0.040895652709368124</v>
      </c>
      <c r="I67" s="50">
        <f>K67/C67</f>
        <v>50.864946140476896</v>
      </c>
      <c r="J67" s="51">
        <f>K67/F67</f>
        <v>94.8570303896398</v>
      </c>
      <c r="K67" s="48">
        <f>SUM(K57:K66)</f>
        <v>131493566.38</v>
      </c>
      <c r="L67" s="47">
        <f>SUM(L57:L66)</f>
        <v>132368520.88000001</v>
      </c>
      <c r="M67" s="44">
        <f>(+K67-L67)/L67</f>
        <v>-0.0066099892495830904</v>
      </c>
      <c r="N67" s="10"/>
      <c r="R67" s="2"/>
    </row>
    <row r="68" spans="1:18" ht="15.75" customHeight="1" thickTop="1">
      <c r="A68" s="273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">
      <c r="A69" s="274" t="s">
        <v>66</v>
      </c>
      <c r="B69" s="20">
        <f>DATE(2018,7,1)</f>
        <v>43282</v>
      </c>
      <c r="C69" s="21">
        <v>129160</v>
      </c>
      <c r="D69" s="21">
        <v>155680</v>
      </c>
      <c r="E69" s="23">
        <f aca="true" t="shared" si="25" ref="E69:E77">(+C69-D69)/D69</f>
        <v>-0.17034943473792394</v>
      </c>
      <c r="F69" s="21">
        <f>+C69-62596</f>
        <v>66564</v>
      </c>
      <c r="G69" s="21">
        <f>+D69-76075</f>
        <v>79605</v>
      </c>
      <c r="H69" s="23">
        <f aca="true" t="shared" si="26" ref="H69:H77">(+F69-G69)/G69</f>
        <v>-0.16382136800452232</v>
      </c>
      <c r="I69" s="24">
        <f aca="true" t="shared" si="27" ref="I69:I77">K69/C69</f>
        <v>40.40641491173738</v>
      </c>
      <c r="J69" s="24">
        <f aca="true" t="shared" si="28" ref="J69:J77">K69/F69</f>
        <v>78.40413061114116</v>
      </c>
      <c r="K69" s="21">
        <v>5218892.55</v>
      </c>
      <c r="L69" s="21">
        <v>5695517.98</v>
      </c>
      <c r="M69" s="25">
        <f aca="true" t="shared" si="29" ref="M69:M77">(+K69-L69)/L69</f>
        <v>-0.0836842990705475</v>
      </c>
      <c r="N69" s="10"/>
      <c r="R69" s="2"/>
    </row>
    <row r="70" spans="1:18" ht="15">
      <c r="A70" s="274"/>
      <c r="B70" s="20">
        <f>DATE(2018,8,1)</f>
        <v>43313</v>
      </c>
      <c r="C70" s="21">
        <v>120860</v>
      </c>
      <c r="D70" s="21">
        <v>137297</v>
      </c>
      <c r="E70" s="23">
        <f t="shared" si="25"/>
        <v>-0.11971856631973021</v>
      </c>
      <c r="F70" s="21">
        <f>+C70-58336</f>
        <v>62524</v>
      </c>
      <c r="G70" s="21">
        <f>+D70-65122</f>
        <v>72175</v>
      </c>
      <c r="H70" s="23">
        <f t="shared" si="26"/>
        <v>-0.13371666089366124</v>
      </c>
      <c r="I70" s="24">
        <f t="shared" si="27"/>
        <v>43.54834246235313</v>
      </c>
      <c r="J70" s="24">
        <f t="shared" si="28"/>
        <v>84.17971770839998</v>
      </c>
      <c r="K70" s="21">
        <v>5263252.67</v>
      </c>
      <c r="L70" s="21">
        <v>5143794.97</v>
      </c>
      <c r="M70" s="25">
        <f t="shared" si="29"/>
        <v>0.023223651155753627</v>
      </c>
      <c r="N70" s="10"/>
      <c r="R70" s="2"/>
    </row>
    <row r="71" spans="1:18" ht="15">
      <c r="A71" s="274"/>
      <c r="B71" s="20">
        <f>DATE(2018,9,1)</f>
        <v>43344</v>
      </c>
      <c r="C71" s="21">
        <v>129571</v>
      </c>
      <c r="D71" s="21">
        <v>149373</v>
      </c>
      <c r="E71" s="23">
        <f t="shared" si="25"/>
        <v>-0.13256746533844804</v>
      </c>
      <c r="F71" s="21">
        <f>+C71-62477</f>
        <v>67094</v>
      </c>
      <c r="G71" s="21">
        <f>+D71-70315</f>
        <v>79058</v>
      </c>
      <c r="H71" s="23">
        <f t="shared" si="26"/>
        <v>-0.15133193351716462</v>
      </c>
      <c r="I71" s="24">
        <f t="shared" si="27"/>
        <v>39.03113134883577</v>
      </c>
      <c r="J71" s="24">
        <f t="shared" si="28"/>
        <v>75.37637821563776</v>
      </c>
      <c r="K71" s="21">
        <v>5057302.72</v>
      </c>
      <c r="L71" s="21">
        <v>5888747.75</v>
      </c>
      <c r="M71" s="25">
        <f t="shared" si="29"/>
        <v>-0.14119216262914305</v>
      </c>
      <c r="N71" s="10"/>
      <c r="R71" s="2"/>
    </row>
    <row r="72" spans="1:18" ht="15">
      <c r="A72" s="274"/>
      <c r="B72" s="20">
        <f>DATE(2018,10,1)</f>
        <v>43374</v>
      </c>
      <c r="C72" s="21">
        <v>116235</v>
      </c>
      <c r="D72" s="21">
        <v>144440</v>
      </c>
      <c r="E72" s="23">
        <f t="shared" si="25"/>
        <v>-0.1952713929659374</v>
      </c>
      <c r="F72" s="21">
        <f>+C72-55536</f>
        <v>60699</v>
      </c>
      <c r="G72" s="21">
        <f>+D72-68619</f>
        <v>75821</v>
      </c>
      <c r="H72" s="23">
        <f t="shared" si="26"/>
        <v>-0.19944342596378312</v>
      </c>
      <c r="I72" s="24">
        <f t="shared" si="27"/>
        <v>42.49657538607133</v>
      </c>
      <c r="J72" s="24">
        <f t="shared" si="28"/>
        <v>81.37843193462825</v>
      </c>
      <c r="K72" s="21">
        <v>4939589.44</v>
      </c>
      <c r="L72" s="21">
        <v>5166610</v>
      </c>
      <c r="M72" s="25">
        <f t="shared" si="29"/>
        <v>-0.04393994514778541</v>
      </c>
      <c r="N72" s="10"/>
      <c r="R72" s="2"/>
    </row>
    <row r="73" spans="1:18" ht="15">
      <c r="A73" s="274"/>
      <c r="B73" s="20">
        <f>DATE(2018,11,1)</f>
        <v>43405</v>
      </c>
      <c r="C73" s="21">
        <v>117294</v>
      </c>
      <c r="D73" s="21">
        <v>136794</v>
      </c>
      <c r="E73" s="23">
        <f t="shared" si="25"/>
        <v>-0.14255011184701083</v>
      </c>
      <c r="F73" s="21">
        <f>+C73-56187</f>
        <v>61107</v>
      </c>
      <c r="G73" s="21">
        <f>+D73-66771</f>
        <v>70023</v>
      </c>
      <c r="H73" s="23">
        <f t="shared" si="26"/>
        <v>-0.12732959170558245</v>
      </c>
      <c r="I73" s="24">
        <f t="shared" si="27"/>
        <v>41.788361467764766</v>
      </c>
      <c r="J73" s="24">
        <f t="shared" si="28"/>
        <v>80.21215359942397</v>
      </c>
      <c r="K73" s="21">
        <v>4901524.07</v>
      </c>
      <c r="L73" s="21">
        <v>5061067.71</v>
      </c>
      <c r="M73" s="25">
        <f t="shared" si="29"/>
        <v>-0.03152371182167007</v>
      </c>
      <c r="N73" s="10"/>
      <c r="R73" s="2"/>
    </row>
    <row r="74" spans="1:18" ht="15">
      <c r="A74" s="274"/>
      <c r="B74" s="20">
        <f>DATE(2018,12,1)</f>
        <v>43435</v>
      </c>
      <c r="C74" s="21">
        <v>141406</v>
      </c>
      <c r="D74" s="21">
        <v>153482</v>
      </c>
      <c r="E74" s="23">
        <f t="shared" si="25"/>
        <v>-0.07868023611889342</v>
      </c>
      <c r="F74" s="21">
        <f>+C74-68500</f>
        <v>72906</v>
      </c>
      <c r="G74" s="21">
        <f>+D74-73779</f>
        <v>79703</v>
      </c>
      <c r="H74" s="23">
        <f t="shared" si="26"/>
        <v>-0.08527909865375205</v>
      </c>
      <c r="I74" s="24">
        <f t="shared" si="27"/>
        <v>38.96113099868464</v>
      </c>
      <c r="J74" s="24">
        <f t="shared" si="28"/>
        <v>75.5676856500151</v>
      </c>
      <c r="K74" s="21">
        <v>5509337.69</v>
      </c>
      <c r="L74" s="21">
        <v>5630075.22</v>
      </c>
      <c r="M74" s="25">
        <f t="shared" si="29"/>
        <v>-0.021445100692633258</v>
      </c>
      <c r="N74" s="10"/>
      <c r="R74" s="2"/>
    </row>
    <row r="75" spans="1:18" ht="15">
      <c r="A75" s="274"/>
      <c r="B75" s="20">
        <f>DATE(2019,1,1)</f>
        <v>43466</v>
      </c>
      <c r="C75" s="21">
        <v>109334</v>
      </c>
      <c r="D75" s="21">
        <v>133357</v>
      </c>
      <c r="E75" s="23">
        <f t="shared" si="25"/>
        <v>-0.18014052505680242</v>
      </c>
      <c r="F75" s="21">
        <f>+C75-54908</f>
        <v>54426</v>
      </c>
      <c r="G75" s="21">
        <f>+D75-65017</f>
        <v>68340</v>
      </c>
      <c r="H75" s="23">
        <f t="shared" si="26"/>
        <v>-0.2035996488147498</v>
      </c>
      <c r="I75" s="24">
        <f t="shared" si="27"/>
        <v>43.65992170779446</v>
      </c>
      <c r="J75" s="24">
        <f t="shared" si="28"/>
        <v>87.70649836475214</v>
      </c>
      <c r="K75" s="21">
        <v>4773513.88</v>
      </c>
      <c r="L75" s="21">
        <v>4560342.97</v>
      </c>
      <c r="M75" s="25">
        <f t="shared" si="29"/>
        <v>0.046744490798682224</v>
      </c>
      <c r="N75" s="10"/>
      <c r="R75" s="2"/>
    </row>
    <row r="76" spans="1:18" ht="15">
      <c r="A76" s="274"/>
      <c r="B76" s="20">
        <f>DATE(2019,2,1)</f>
        <v>43497</v>
      </c>
      <c r="C76" s="21">
        <v>121868</v>
      </c>
      <c r="D76" s="21">
        <v>147114</v>
      </c>
      <c r="E76" s="23">
        <f t="shared" si="25"/>
        <v>-0.17160841252362113</v>
      </c>
      <c r="F76" s="21">
        <f>+C76-59002</f>
        <v>62866</v>
      </c>
      <c r="G76" s="21">
        <f>+D76-72403</f>
        <v>74711</v>
      </c>
      <c r="H76" s="23">
        <f t="shared" si="26"/>
        <v>-0.15854425720442772</v>
      </c>
      <c r="I76" s="24">
        <f t="shared" si="27"/>
        <v>41.75563281583352</v>
      </c>
      <c r="J76" s="24">
        <f t="shared" si="28"/>
        <v>80.94479464257309</v>
      </c>
      <c r="K76" s="21">
        <v>5088675.46</v>
      </c>
      <c r="L76" s="21">
        <v>5360198.19</v>
      </c>
      <c r="M76" s="25">
        <f t="shared" si="29"/>
        <v>-0.05065535272679916</v>
      </c>
      <c r="N76" s="10"/>
      <c r="R76" s="2"/>
    </row>
    <row r="77" spans="1:18" ht="15">
      <c r="A77" s="274"/>
      <c r="B77" s="20">
        <f>DATE(2019,3,1)</f>
        <v>43525</v>
      </c>
      <c r="C77" s="21">
        <v>142745</v>
      </c>
      <c r="D77" s="21">
        <v>167073</v>
      </c>
      <c r="E77" s="23">
        <f t="shared" si="25"/>
        <v>-0.14561299551692972</v>
      </c>
      <c r="F77" s="21">
        <f>+C77-71745</f>
        <v>71000</v>
      </c>
      <c r="G77" s="21">
        <f>+D77-81355</f>
        <v>85718</v>
      </c>
      <c r="H77" s="23">
        <f t="shared" si="26"/>
        <v>-0.1717025595557526</v>
      </c>
      <c r="I77" s="24">
        <f t="shared" si="27"/>
        <v>43.30529069319415</v>
      </c>
      <c r="J77" s="24">
        <f t="shared" si="28"/>
        <v>87.06498197183099</v>
      </c>
      <c r="K77" s="21">
        <v>6181613.72</v>
      </c>
      <c r="L77" s="21">
        <v>6584654.31</v>
      </c>
      <c r="M77" s="25">
        <f t="shared" si="29"/>
        <v>-0.061209073555753585</v>
      </c>
      <c r="N77" s="10"/>
      <c r="R77" s="2"/>
    </row>
    <row r="78" spans="1:18" ht="15.75" customHeight="1" thickBot="1">
      <c r="A78" s="19"/>
      <c r="B78" s="20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customHeight="1" thickBot="1" thickTop="1">
      <c r="A79" s="39" t="s">
        <v>14</v>
      </c>
      <c r="B79" s="52"/>
      <c r="C79" s="47">
        <f>SUM(C69:C78)</f>
        <v>1128473</v>
      </c>
      <c r="D79" s="48">
        <f>SUM(D69:D78)</f>
        <v>1324610</v>
      </c>
      <c r="E79" s="281">
        <f>(+C79-D79)/D79</f>
        <v>-0.1480715078400435</v>
      </c>
      <c r="F79" s="48">
        <f>SUM(F69:F78)</f>
        <v>579186</v>
      </c>
      <c r="G79" s="47">
        <f>SUM(G69:G78)</f>
        <v>685154</v>
      </c>
      <c r="H79" s="46">
        <f>(+F79-G79)/G79</f>
        <v>-0.15466303925832733</v>
      </c>
      <c r="I79" s="51">
        <f>K79/C79</f>
        <v>41.59045205334997</v>
      </c>
      <c r="J79" s="50">
        <f>K79/F79</f>
        <v>81.0339030984865</v>
      </c>
      <c r="K79" s="47">
        <f>SUM(K69:K78)</f>
        <v>46933702.2</v>
      </c>
      <c r="L79" s="48">
        <f>SUM(L69:L78)</f>
        <v>49091009.1</v>
      </c>
      <c r="M79" s="44">
        <f>(+K79-L79)/L79</f>
        <v>-0.04394505102972101</v>
      </c>
      <c r="N79" s="10"/>
      <c r="R79" s="2"/>
    </row>
    <row r="80" spans="1:18" ht="15.75" customHeight="1" thickTop="1">
      <c r="A80" s="19"/>
      <c r="B80" s="45"/>
      <c r="C80" s="21"/>
      <c r="D80" s="21"/>
      <c r="E80" s="23"/>
      <c r="F80" s="21"/>
      <c r="G80" s="21"/>
      <c r="H80" s="23"/>
      <c r="I80" s="24"/>
      <c r="J80" s="24"/>
      <c r="K80" s="21"/>
      <c r="L80" s="21"/>
      <c r="M80" s="25"/>
      <c r="N80" s="10"/>
      <c r="R80" s="2"/>
    </row>
    <row r="81" spans="1:18" ht="15">
      <c r="A81" s="19" t="s">
        <v>17</v>
      </c>
      <c r="B81" s="20">
        <f>DATE(2018,7,1)</f>
        <v>43282</v>
      </c>
      <c r="C81" s="21">
        <v>164240</v>
      </c>
      <c r="D81" s="21">
        <v>176619</v>
      </c>
      <c r="E81" s="23">
        <f aca="true" t="shared" si="30" ref="E81:E89">(+C81-D81)/D81</f>
        <v>-0.07008872205142141</v>
      </c>
      <c r="F81" s="21">
        <f>+C81-78084</f>
        <v>86156</v>
      </c>
      <c r="G81" s="21">
        <f>+D81-82680</f>
        <v>93939</v>
      </c>
      <c r="H81" s="23">
        <f aca="true" t="shared" si="31" ref="H81:H89">(+F81-G81)/G81</f>
        <v>-0.08285163776493257</v>
      </c>
      <c r="I81" s="24">
        <f aca="true" t="shared" si="32" ref="I81:I89">K81/C81</f>
        <v>35.1700548587433</v>
      </c>
      <c r="J81" s="24">
        <f aca="true" t="shared" si="33" ref="J81:J89">K81/F81</f>
        <v>67.04500916941362</v>
      </c>
      <c r="K81" s="21">
        <v>5776329.81</v>
      </c>
      <c r="L81" s="21">
        <v>6184772.92</v>
      </c>
      <c r="M81" s="25">
        <f aca="true" t="shared" si="34" ref="M81:M89">(+K81-L81)/L81</f>
        <v>-0.0660401142100461</v>
      </c>
      <c r="N81" s="10"/>
      <c r="R81" s="2"/>
    </row>
    <row r="82" spans="1:18" ht="15">
      <c r="A82" s="19"/>
      <c r="B82" s="20">
        <f>DATE(2018,8,1)</f>
        <v>43313</v>
      </c>
      <c r="C82" s="21">
        <v>161125</v>
      </c>
      <c r="D82" s="21">
        <v>166602</v>
      </c>
      <c r="E82" s="23">
        <f t="shared" si="30"/>
        <v>-0.03287475540509718</v>
      </c>
      <c r="F82" s="21">
        <f>+C82-76425</f>
        <v>84700</v>
      </c>
      <c r="G82" s="21">
        <f>+D82-77233</f>
        <v>89369</v>
      </c>
      <c r="H82" s="23">
        <f t="shared" si="31"/>
        <v>-0.05224406673455001</v>
      </c>
      <c r="I82" s="24">
        <f t="shared" si="32"/>
        <v>34.524392986811485</v>
      </c>
      <c r="J82" s="24">
        <f t="shared" si="33"/>
        <v>65.67583022432113</v>
      </c>
      <c r="K82" s="21">
        <v>5562742.82</v>
      </c>
      <c r="L82" s="21">
        <v>5912368.33</v>
      </c>
      <c r="M82" s="25">
        <f t="shared" si="34"/>
        <v>-0.05913459556062533</v>
      </c>
      <c r="N82" s="10"/>
      <c r="R82" s="2"/>
    </row>
    <row r="83" spans="1:18" ht="15">
      <c r="A83" s="19"/>
      <c r="B83" s="20">
        <f>DATE(2018,9,1)</f>
        <v>43344</v>
      </c>
      <c r="C83" s="21">
        <v>154193</v>
      </c>
      <c r="D83" s="21">
        <v>169194</v>
      </c>
      <c r="E83" s="23">
        <f t="shared" si="30"/>
        <v>-0.08866153646110382</v>
      </c>
      <c r="F83" s="21">
        <f>+C83-72768</f>
        <v>81425</v>
      </c>
      <c r="G83" s="21">
        <f>+D83-79368</f>
        <v>89826</v>
      </c>
      <c r="H83" s="23">
        <f t="shared" si="31"/>
        <v>-0.09352525994700867</v>
      </c>
      <c r="I83" s="24">
        <f t="shared" si="32"/>
        <v>34.86135103409364</v>
      </c>
      <c r="J83" s="24">
        <f t="shared" si="33"/>
        <v>66.01628860914953</v>
      </c>
      <c r="K83" s="21">
        <v>5375376.3</v>
      </c>
      <c r="L83" s="21">
        <v>5903665.74</v>
      </c>
      <c r="M83" s="25">
        <f t="shared" si="34"/>
        <v>-0.08948498496800064</v>
      </c>
      <c r="N83" s="10"/>
      <c r="R83" s="2"/>
    </row>
    <row r="84" spans="1:18" ht="15">
      <c r="A84" s="19"/>
      <c r="B84" s="20">
        <f>DATE(2018,10,1)</f>
        <v>43374</v>
      </c>
      <c r="C84" s="21">
        <v>153175</v>
      </c>
      <c r="D84" s="21">
        <v>167767</v>
      </c>
      <c r="E84" s="23">
        <f t="shared" si="30"/>
        <v>-0.08697777274434186</v>
      </c>
      <c r="F84" s="21">
        <f>+C84-73639</f>
        <v>79536</v>
      </c>
      <c r="G84" s="21">
        <f>+D84-77884</f>
        <v>89883</v>
      </c>
      <c r="H84" s="23">
        <f t="shared" si="31"/>
        <v>-0.11511631787991056</v>
      </c>
      <c r="I84" s="24">
        <f t="shared" si="32"/>
        <v>34.3159053370328</v>
      </c>
      <c r="J84" s="24">
        <f t="shared" si="33"/>
        <v>66.08754274793804</v>
      </c>
      <c r="K84" s="21">
        <v>5256338.8</v>
      </c>
      <c r="L84" s="21">
        <v>5780372.56</v>
      </c>
      <c r="M84" s="25">
        <f t="shared" si="34"/>
        <v>-0.09065743679331283</v>
      </c>
      <c r="N84" s="10"/>
      <c r="R84" s="2"/>
    </row>
    <row r="85" spans="1:18" ht="15">
      <c r="A85" s="19"/>
      <c r="B85" s="20">
        <f>DATE(2018,11,1)</f>
        <v>43405</v>
      </c>
      <c r="C85" s="21">
        <v>139109</v>
      </c>
      <c r="D85" s="21">
        <v>158513</v>
      </c>
      <c r="E85" s="23">
        <f t="shared" si="30"/>
        <v>-0.12241267277762707</v>
      </c>
      <c r="F85" s="21">
        <f>+C85-66707</f>
        <v>72402</v>
      </c>
      <c r="G85" s="21">
        <f>+D85-75019</f>
        <v>83494</v>
      </c>
      <c r="H85" s="23">
        <f t="shared" si="31"/>
        <v>-0.13284786930797424</v>
      </c>
      <c r="I85" s="24">
        <f t="shared" si="32"/>
        <v>36.45847127073015</v>
      </c>
      <c r="J85" s="24">
        <f t="shared" si="33"/>
        <v>70.04919035385764</v>
      </c>
      <c r="K85" s="21">
        <v>5071701.48</v>
      </c>
      <c r="L85" s="21">
        <v>5726979.4</v>
      </c>
      <c r="M85" s="25">
        <f t="shared" si="34"/>
        <v>-0.11441946517216386</v>
      </c>
      <c r="N85" s="10"/>
      <c r="R85" s="2"/>
    </row>
    <row r="86" spans="1:18" ht="15">
      <c r="A86" s="19"/>
      <c r="B86" s="20">
        <f>DATE(2018,12,1)</f>
        <v>43435</v>
      </c>
      <c r="C86" s="21">
        <v>159746</v>
      </c>
      <c r="D86" s="21">
        <v>166668</v>
      </c>
      <c r="E86" s="23">
        <f t="shared" si="30"/>
        <v>-0.04153166774665803</v>
      </c>
      <c r="F86" s="21">
        <f>+C86-79467</f>
        <v>80279</v>
      </c>
      <c r="G86" s="21">
        <f>+D86-80383</f>
        <v>86285</v>
      </c>
      <c r="H86" s="23">
        <f t="shared" si="31"/>
        <v>-0.06960653647795098</v>
      </c>
      <c r="I86" s="24">
        <f t="shared" si="32"/>
        <v>34.94580847094763</v>
      </c>
      <c r="J86" s="24">
        <f t="shared" si="33"/>
        <v>69.5381497029111</v>
      </c>
      <c r="K86" s="21">
        <v>5582453.12</v>
      </c>
      <c r="L86" s="21">
        <v>5903265.18</v>
      </c>
      <c r="M86" s="25">
        <f t="shared" si="34"/>
        <v>-0.05434484987848701</v>
      </c>
      <c r="N86" s="10"/>
      <c r="R86" s="2"/>
    </row>
    <row r="87" spans="1:18" ht="15">
      <c r="A87" s="19"/>
      <c r="B87" s="20">
        <f>DATE(2019,1,1)</f>
        <v>43466</v>
      </c>
      <c r="C87" s="21">
        <v>139301</v>
      </c>
      <c r="D87" s="21">
        <v>147576</v>
      </c>
      <c r="E87" s="23">
        <f t="shared" si="30"/>
        <v>-0.05607280316582642</v>
      </c>
      <c r="F87" s="21">
        <f>+C87-68038</f>
        <v>71263</v>
      </c>
      <c r="G87" s="21">
        <f>+D87-71568</f>
        <v>76008</v>
      </c>
      <c r="H87" s="23">
        <f t="shared" si="31"/>
        <v>-0.062427639195874116</v>
      </c>
      <c r="I87" s="24">
        <f t="shared" si="32"/>
        <v>34.37478417240364</v>
      </c>
      <c r="J87" s="24">
        <f t="shared" si="33"/>
        <v>67.1939408949946</v>
      </c>
      <c r="K87" s="21">
        <v>4788441.81</v>
      </c>
      <c r="L87" s="21">
        <v>5289226.37</v>
      </c>
      <c r="M87" s="25">
        <f t="shared" si="34"/>
        <v>-0.09468011481611072</v>
      </c>
      <c r="N87" s="10"/>
      <c r="R87" s="2"/>
    </row>
    <row r="88" spans="1:18" ht="15">
      <c r="A88" s="19"/>
      <c r="B88" s="20">
        <f>DATE(2019,2,1)</f>
        <v>43497</v>
      </c>
      <c r="C88" s="21">
        <v>142213</v>
      </c>
      <c r="D88" s="21">
        <v>152976</v>
      </c>
      <c r="E88" s="23">
        <f t="shared" si="30"/>
        <v>-0.07035744169019977</v>
      </c>
      <c r="F88" s="21">
        <f>+C88-71744</f>
        <v>70469</v>
      </c>
      <c r="G88" s="21">
        <f>+D88-75431</f>
        <v>77545</v>
      </c>
      <c r="H88" s="23">
        <f t="shared" si="31"/>
        <v>-0.09125024179508673</v>
      </c>
      <c r="I88" s="24">
        <f t="shared" si="32"/>
        <v>36.557830648393605</v>
      </c>
      <c r="J88" s="24">
        <f t="shared" si="33"/>
        <v>73.77710440051654</v>
      </c>
      <c r="K88" s="21">
        <v>5198998.77</v>
      </c>
      <c r="L88" s="21">
        <v>5480060.05</v>
      </c>
      <c r="M88" s="25">
        <f t="shared" si="34"/>
        <v>-0.05128799272920381</v>
      </c>
      <c r="N88" s="10"/>
      <c r="R88" s="2"/>
    </row>
    <row r="89" spans="1:18" ht="15">
      <c r="A89" s="19"/>
      <c r="B89" s="20">
        <f>DATE(2019,3,1)</f>
        <v>43525</v>
      </c>
      <c r="C89" s="21">
        <v>174861</v>
      </c>
      <c r="D89" s="21">
        <v>186939</v>
      </c>
      <c r="E89" s="23">
        <f t="shared" si="30"/>
        <v>-0.0646093110586876</v>
      </c>
      <c r="F89" s="21">
        <f>+C89-87444</f>
        <v>87417</v>
      </c>
      <c r="G89" s="21">
        <f>+D89-91616</f>
        <v>95323</v>
      </c>
      <c r="H89" s="23">
        <f t="shared" si="31"/>
        <v>-0.08293905982816319</v>
      </c>
      <c r="I89" s="24">
        <f t="shared" si="32"/>
        <v>37.648605749709766</v>
      </c>
      <c r="J89" s="24">
        <f t="shared" si="33"/>
        <v>75.3088398137662</v>
      </c>
      <c r="K89" s="21">
        <v>6583272.85</v>
      </c>
      <c r="L89" s="21">
        <v>6811826.56</v>
      </c>
      <c r="M89" s="25">
        <f t="shared" si="34"/>
        <v>-0.033552485223581494</v>
      </c>
      <c r="N89" s="10"/>
      <c r="R89" s="2"/>
    </row>
    <row r="90" spans="1:18" ht="15.75" customHeight="1" thickBot="1">
      <c r="A90" s="19"/>
      <c r="B90" s="45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25" customHeight="1" thickBot="1" thickTop="1">
      <c r="A91" s="39" t="s">
        <v>14</v>
      </c>
      <c r="B91" s="52"/>
      <c r="C91" s="47">
        <f>SUM(C81:C90)</f>
        <v>1387963</v>
      </c>
      <c r="D91" s="48">
        <f>SUM(D81:D90)</f>
        <v>1492854</v>
      </c>
      <c r="E91" s="281">
        <f>(+C91-D91)/D91</f>
        <v>-0.07026206179572818</v>
      </c>
      <c r="F91" s="48">
        <f>SUM(F81:F90)</f>
        <v>713647</v>
      </c>
      <c r="G91" s="47">
        <f>SUM(G81:G90)</f>
        <v>781672</v>
      </c>
      <c r="H91" s="53">
        <f>(+F91-G91)/G91</f>
        <v>-0.08702499258000798</v>
      </c>
      <c r="I91" s="51">
        <f>K91/C91</f>
        <v>35.44450086925948</v>
      </c>
      <c r="J91" s="50">
        <f>K91/F91</f>
        <v>68.93556024196836</v>
      </c>
      <c r="K91" s="47">
        <f>SUM(K81:K90)</f>
        <v>49195655.76</v>
      </c>
      <c r="L91" s="48">
        <f>SUM(L81:L90)</f>
        <v>52992537.11</v>
      </c>
      <c r="M91" s="44">
        <f>(+K91-L91)/L91</f>
        <v>-0.07164935964697391</v>
      </c>
      <c r="N91" s="10"/>
      <c r="R91" s="2"/>
    </row>
    <row r="92" spans="1:18" ht="15.75" customHeight="1" thickTop="1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 customHeight="1">
      <c r="A93" s="19" t="s">
        <v>67</v>
      </c>
      <c r="B93" s="20">
        <f>DATE(2018,7,1)</f>
        <v>43282</v>
      </c>
      <c r="C93" s="21">
        <v>388346</v>
      </c>
      <c r="D93" s="21">
        <v>366754</v>
      </c>
      <c r="E93" s="23">
        <f aca="true" t="shared" si="35" ref="E93:E101">(+C93-D93)/D93</f>
        <v>0.05887325018950032</v>
      </c>
      <c r="F93" s="21">
        <f>+C93-165497</f>
        <v>222849</v>
      </c>
      <c r="G93" s="21">
        <f>+D93-155073</f>
        <v>211681</v>
      </c>
      <c r="H93" s="23">
        <f aca="true" t="shared" si="36" ref="H93:H101">(+F93-G93)/G93</f>
        <v>0.052758632092629945</v>
      </c>
      <c r="I93" s="24">
        <f aca="true" t="shared" si="37" ref="I93:I101">K93/C93</f>
        <v>34.57302699139427</v>
      </c>
      <c r="J93" s="24">
        <f aca="true" t="shared" si="38" ref="J93:J101">K93/F93</f>
        <v>60.24840470453087</v>
      </c>
      <c r="K93" s="21">
        <v>13426296.74</v>
      </c>
      <c r="L93" s="21">
        <v>12532234.06</v>
      </c>
      <c r="M93" s="25">
        <f aca="true" t="shared" si="39" ref="M93:M101">(+K93-L93)/L93</f>
        <v>0.0713410454767711</v>
      </c>
      <c r="N93" s="10"/>
      <c r="R93" s="2"/>
    </row>
    <row r="94" spans="1:18" ht="15.75" customHeight="1">
      <c r="A94" s="19"/>
      <c r="B94" s="20">
        <f>DATE(2018,8,1)</f>
        <v>43313</v>
      </c>
      <c r="C94" s="21">
        <v>374981</v>
      </c>
      <c r="D94" s="21">
        <v>331896</v>
      </c>
      <c r="E94" s="23">
        <f t="shared" si="35"/>
        <v>0.1298147612505122</v>
      </c>
      <c r="F94" s="21">
        <f>+C94-161656</f>
        <v>213325</v>
      </c>
      <c r="G94" s="21">
        <f>+D94-142759</f>
        <v>189137</v>
      </c>
      <c r="H94" s="23">
        <f t="shared" si="36"/>
        <v>0.12788613544679253</v>
      </c>
      <c r="I94" s="24">
        <f t="shared" si="37"/>
        <v>37.35286337174417</v>
      </c>
      <c r="J94" s="24">
        <f t="shared" si="38"/>
        <v>65.65856819407009</v>
      </c>
      <c r="K94" s="21">
        <v>14006614.06</v>
      </c>
      <c r="L94" s="21">
        <v>12428268.71</v>
      </c>
      <c r="M94" s="25">
        <f t="shared" si="39"/>
        <v>0.1269963972319037</v>
      </c>
      <c r="N94" s="10"/>
      <c r="R94" s="2"/>
    </row>
    <row r="95" spans="1:18" ht="15.75" customHeight="1">
      <c r="A95" s="19"/>
      <c r="B95" s="20">
        <f>DATE(2018,9,1)</f>
        <v>43344</v>
      </c>
      <c r="C95" s="21">
        <v>360336</v>
      </c>
      <c r="D95" s="21">
        <v>334242</v>
      </c>
      <c r="E95" s="23">
        <f t="shared" si="35"/>
        <v>0.07806918340603515</v>
      </c>
      <c r="F95" s="21">
        <f>+C95-155587</f>
        <v>204749</v>
      </c>
      <c r="G95" s="21">
        <f>+D95-144631</f>
        <v>189611</v>
      </c>
      <c r="H95" s="23">
        <f t="shared" si="36"/>
        <v>0.07983714025030193</v>
      </c>
      <c r="I95" s="24">
        <f t="shared" si="37"/>
        <v>36.889373501398694</v>
      </c>
      <c r="J95" s="24">
        <f t="shared" si="38"/>
        <v>64.92129040923277</v>
      </c>
      <c r="K95" s="21">
        <v>13292569.29</v>
      </c>
      <c r="L95" s="21">
        <v>11826002.08</v>
      </c>
      <c r="M95" s="25">
        <f t="shared" si="39"/>
        <v>0.12401208794646171</v>
      </c>
      <c r="N95" s="10"/>
      <c r="R95" s="2"/>
    </row>
    <row r="96" spans="1:18" ht="15.75" customHeight="1">
      <c r="A96" s="19"/>
      <c r="B96" s="20">
        <f>DATE(2018,10,1)</f>
        <v>43374</v>
      </c>
      <c r="C96" s="21">
        <v>333769</v>
      </c>
      <c r="D96" s="21">
        <v>316771</v>
      </c>
      <c r="E96" s="23">
        <f t="shared" si="35"/>
        <v>0.05366021510807492</v>
      </c>
      <c r="F96" s="21">
        <f>+C96-146853</f>
        <v>186916</v>
      </c>
      <c r="G96" s="21">
        <f>+D96-139949</f>
        <v>176822</v>
      </c>
      <c r="H96" s="23">
        <f t="shared" si="36"/>
        <v>0.057085656762167605</v>
      </c>
      <c r="I96" s="24">
        <f t="shared" si="37"/>
        <v>39.840406568614824</v>
      </c>
      <c r="J96" s="24">
        <f t="shared" si="38"/>
        <v>71.14154304607418</v>
      </c>
      <c r="K96" s="21">
        <v>13297492.66</v>
      </c>
      <c r="L96" s="21">
        <v>11196087.95</v>
      </c>
      <c r="M96" s="25">
        <f t="shared" si="39"/>
        <v>0.1876909791513384</v>
      </c>
      <c r="N96" s="10"/>
      <c r="R96" s="2"/>
    </row>
    <row r="97" spans="1:18" ht="15.75" customHeight="1">
      <c r="A97" s="19"/>
      <c r="B97" s="20">
        <f>DATE(2018,11,1)</f>
        <v>43405</v>
      </c>
      <c r="C97" s="21">
        <v>328159</v>
      </c>
      <c r="D97" s="21">
        <v>320184</v>
      </c>
      <c r="E97" s="23">
        <f t="shared" si="35"/>
        <v>0.024907553156934763</v>
      </c>
      <c r="F97" s="21">
        <f>+C97-147401</f>
        <v>180758</v>
      </c>
      <c r="G97" s="21">
        <f>+D97-141719</f>
        <v>178465</v>
      </c>
      <c r="H97" s="23">
        <f t="shared" si="36"/>
        <v>0.012848457680777744</v>
      </c>
      <c r="I97" s="24">
        <f t="shared" si="37"/>
        <v>39.06034190742902</v>
      </c>
      <c r="J97" s="24">
        <f t="shared" si="38"/>
        <v>70.9125058918554</v>
      </c>
      <c r="K97" s="21">
        <v>12818002.74</v>
      </c>
      <c r="L97" s="21">
        <v>12032537.07</v>
      </c>
      <c r="M97" s="25">
        <f t="shared" si="39"/>
        <v>0.06527847497418929</v>
      </c>
      <c r="N97" s="10"/>
      <c r="R97" s="2"/>
    </row>
    <row r="98" spans="1:18" ht="15.75" customHeight="1">
      <c r="A98" s="19"/>
      <c r="B98" s="20">
        <f>DATE(2018,12,1)</f>
        <v>43435</v>
      </c>
      <c r="C98" s="21">
        <v>359304</v>
      </c>
      <c r="D98" s="21">
        <v>365944</v>
      </c>
      <c r="E98" s="23">
        <f t="shared" si="35"/>
        <v>-0.01814485276435739</v>
      </c>
      <c r="F98" s="21">
        <f>+C98-161568</f>
        <v>197736</v>
      </c>
      <c r="G98" s="21">
        <f>+D98-164571</f>
        <v>201373</v>
      </c>
      <c r="H98" s="23">
        <f t="shared" si="36"/>
        <v>-0.0180610111583976</v>
      </c>
      <c r="I98" s="24">
        <f t="shared" si="37"/>
        <v>38.84625751452809</v>
      </c>
      <c r="J98" s="24">
        <f t="shared" si="38"/>
        <v>70.58712480276733</v>
      </c>
      <c r="K98" s="21">
        <v>13957615.71</v>
      </c>
      <c r="L98" s="21">
        <v>13116522.43</v>
      </c>
      <c r="M98" s="25">
        <f t="shared" si="39"/>
        <v>0.0641247163254385</v>
      </c>
      <c r="N98" s="10"/>
      <c r="R98" s="2"/>
    </row>
    <row r="99" spans="1:18" ht="15.75" customHeight="1">
      <c r="A99" s="19"/>
      <c r="B99" s="20">
        <f>DATE(2019,1,1)</f>
        <v>43466</v>
      </c>
      <c r="C99" s="21">
        <v>296058</v>
      </c>
      <c r="D99" s="21">
        <v>343002</v>
      </c>
      <c r="E99" s="23">
        <f t="shared" si="35"/>
        <v>-0.13686217573075377</v>
      </c>
      <c r="F99" s="21">
        <f>+C99-129500</f>
        <v>166558</v>
      </c>
      <c r="G99" s="21">
        <f>+D99-149849</f>
        <v>193153</v>
      </c>
      <c r="H99" s="23">
        <f t="shared" si="36"/>
        <v>-0.13768877521964454</v>
      </c>
      <c r="I99" s="24">
        <f t="shared" si="37"/>
        <v>42.20076795762993</v>
      </c>
      <c r="J99" s="24">
        <f t="shared" si="38"/>
        <v>75.0121576868118</v>
      </c>
      <c r="K99" s="21">
        <v>12493874.96</v>
      </c>
      <c r="L99" s="21">
        <v>12259136</v>
      </c>
      <c r="M99" s="25">
        <f t="shared" si="39"/>
        <v>0.019148083519099624</v>
      </c>
      <c r="N99" s="10"/>
      <c r="R99" s="2"/>
    </row>
    <row r="100" spans="1:18" ht="15.75" customHeight="1">
      <c r="A100" s="19"/>
      <c r="B100" s="20">
        <f>DATE(2019,2,1)</f>
        <v>43497</v>
      </c>
      <c r="C100" s="21">
        <v>298265</v>
      </c>
      <c r="D100" s="21">
        <v>374858</v>
      </c>
      <c r="E100" s="23">
        <f t="shared" si="35"/>
        <v>-0.20432537120723046</v>
      </c>
      <c r="F100" s="21">
        <f>+C100-132712</f>
        <v>165553</v>
      </c>
      <c r="G100" s="21">
        <f>+D100-169639</f>
        <v>205219</v>
      </c>
      <c r="H100" s="23">
        <f t="shared" si="36"/>
        <v>-0.1932861966971869</v>
      </c>
      <c r="I100" s="24">
        <f t="shared" si="37"/>
        <v>41.07205686218631</v>
      </c>
      <c r="J100" s="24">
        <f t="shared" si="38"/>
        <v>73.99658743725574</v>
      </c>
      <c r="K100" s="21">
        <v>12250357.04</v>
      </c>
      <c r="L100" s="21">
        <v>13920480.31</v>
      </c>
      <c r="M100" s="25">
        <f t="shared" si="39"/>
        <v>-0.11997598019662019</v>
      </c>
      <c r="N100" s="10"/>
      <c r="R100" s="2"/>
    </row>
    <row r="101" spans="1:18" ht="15.75" customHeight="1">
      <c r="A101" s="19"/>
      <c r="B101" s="20">
        <f>DATE(2019,3,1)</f>
        <v>43525</v>
      </c>
      <c r="C101" s="21">
        <v>375438</v>
      </c>
      <c r="D101" s="21">
        <v>445851</v>
      </c>
      <c r="E101" s="23">
        <f t="shared" si="35"/>
        <v>-0.15792944279591165</v>
      </c>
      <c r="F101" s="21">
        <f>+C101-165623</f>
        <v>209815</v>
      </c>
      <c r="G101" s="21">
        <f>+D101-199421</f>
        <v>246430</v>
      </c>
      <c r="H101" s="23">
        <f t="shared" si="36"/>
        <v>-0.14858174735218926</v>
      </c>
      <c r="I101" s="24">
        <f t="shared" si="37"/>
        <v>42.20904245174969</v>
      </c>
      <c r="J101" s="24">
        <f t="shared" si="38"/>
        <v>75.52786254557587</v>
      </c>
      <c r="K101" s="21">
        <v>15846878.48</v>
      </c>
      <c r="L101" s="21">
        <v>16450979.14</v>
      </c>
      <c r="M101" s="25">
        <f t="shared" si="39"/>
        <v>-0.036721258647222386</v>
      </c>
      <c r="N101" s="10"/>
      <c r="R101" s="2"/>
    </row>
    <row r="102" spans="1:18" ht="15.75" customHeight="1" thickBot="1">
      <c r="A102" s="19"/>
      <c r="B102" s="45"/>
      <c r="C102" s="21"/>
      <c r="D102" s="21"/>
      <c r="E102" s="23"/>
      <c r="F102" s="21"/>
      <c r="G102" s="21"/>
      <c r="H102" s="23"/>
      <c r="I102" s="24"/>
      <c r="J102" s="24"/>
      <c r="K102" s="21"/>
      <c r="L102" s="21"/>
      <c r="M102" s="25"/>
      <c r="N102" s="10"/>
      <c r="R102" s="2"/>
    </row>
    <row r="103" spans="1:18" ht="16.5" thickBot="1" thickTop="1">
      <c r="A103" s="39" t="s">
        <v>14</v>
      </c>
      <c r="B103" s="40"/>
      <c r="C103" s="41">
        <f>SUM(C93:C102)</f>
        <v>3114656</v>
      </c>
      <c r="D103" s="41">
        <f>SUM(D93:D102)</f>
        <v>3199502</v>
      </c>
      <c r="E103" s="280">
        <f>(+C103-D103)/D103</f>
        <v>-0.026518501941864704</v>
      </c>
      <c r="F103" s="41">
        <f>SUM(F93:F102)</f>
        <v>1748259</v>
      </c>
      <c r="G103" s="41">
        <f>SUM(G93:G102)</f>
        <v>1791891</v>
      </c>
      <c r="H103" s="42">
        <f>(+F103-G103)/G103</f>
        <v>-0.024349695377676433</v>
      </c>
      <c r="I103" s="43">
        <f>K103/C103</f>
        <v>38.97371063770766</v>
      </c>
      <c r="J103" s="43">
        <f>K103/F103</f>
        <v>69.43462134615065</v>
      </c>
      <c r="K103" s="41">
        <f>SUM(K93:K102)</f>
        <v>121389701.67999999</v>
      </c>
      <c r="L103" s="41">
        <f>SUM(L93:L102)</f>
        <v>115762247.75</v>
      </c>
      <c r="M103" s="44">
        <f>(+K103-L103)/L103</f>
        <v>0.04861216881476796</v>
      </c>
      <c r="N103" s="10"/>
      <c r="R103" s="2"/>
    </row>
    <row r="104" spans="1:18" ht="15.75" customHeight="1" thickTop="1">
      <c r="A104" s="54"/>
      <c r="B104" s="55"/>
      <c r="C104" s="55"/>
      <c r="D104" s="55"/>
      <c r="E104" s="56"/>
      <c r="F104" s="55"/>
      <c r="G104" s="55"/>
      <c r="H104" s="56"/>
      <c r="I104" s="55"/>
      <c r="J104" s="55"/>
      <c r="K104" s="196"/>
      <c r="L104" s="196"/>
      <c r="M104" s="57"/>
      <c r="N104" s="10"/>
      <c r="R104" s="2"/>
    </row>
    <row r="105" spans="1:18" ht="15.75" customHeight="1">
      <c r="A105" s="19" t="s">
        <v>18</v>
      </c>
      <c r="B105" s="20">
        <f>DATE(2018,7,1)</f>
        <v>43282</v>
      </c>
      <c r="C105" s="21">
        <v>413730</v>
      </c>
      <c r="D105" s="21">
        <v>402324</v>
      </c>
      <c r="E105" s="23">
        <f aca="true" t="shared" si="40" ref="E105:E113">(+C105-D105)/D105</f>
        <v>0.02835028484505026</v>
      </c>
      <c r="F105" s="21">
        <f>+C105-202461</f>
        <v>211269</v>
      </c>
      <c r="G105" s="21">
        <f>+D105-196212</f>
        <v>206112</v>
      </c>
      <c r="H105" s="23">
        <f aca="true" t="shared" si="41" ref="H105:H113">(+F105-G105)/G105</f>
        <v>0.025020377270610152</v>
      </c>
      <c r="I105" s="24">
        <f aca="true" t="shared" si="42" ref="I105:I113">K105/C105</f>
        <v>42.60876588596428</v>
      </c>
      <c r="J105" s="24">
        <f aca="true" t="shared" si="43" ref="J105:J113">K105/F105</f>
        <v>83.44113291585609</v>
      </c>
      <c r="K105" s="21">
        <v>17628524.71</v>
      </c>
      <c r="L105" s="21">
        <v>16341217.17</v>
      </c>
      <c r="M105" s="25">
        <f aca="true" t="shared" si="44" ref="M105:M113">(+K105-L105)/L105</f>
        <v>0.07877672309277566</v>
      </c>
      <c r="N105" s="10"/>
      <c r="R105" s="2"/>
    </row>
    <row r="106" spans="1:18" ht="15.75" customHeight="1">
      <c r="A106" s="19"/>
      <c r="B106" s="20">
        <f>DATE(2018,8,1)</f>
        <v>43313</v>
      </c>
      <c r="C106" s="21">
        <v>405657</v>
      </c>
      <c r="D106" s="21">
        <v>379939</v>
      </c>
      <c r="E106" s="23">
        <f t="shared" si="40"/>
        <v>0.06768981336477697</v>
      </c>
      <c r="F106" s="21">
        <f>+C106-195459</f>
        <v>210198</v>
      </c>
      <c r="G106" s="21">
        <f>+D106-185707</f>
        <v>194232</v>
      </c>
      <c r="H106" s="23">
        <f t="shared" si="41"/>
        <v>0.08220066724329668</v>
      </c>
      <c r="I106" s="24">
        <f t="shared" si="42"/>
        <v>43.878100291625685</v>
      </c>
      <c r="J106" s="24">
        <f t="shared" si="43"/>
        <v>84.6794856754108</v>
      </c>
      <c r="K106" s="21">
        <v>17799458.53</v>
      </c>
      <c r="L106" s="21">
        <v>15315276.05</v>
      </c>
      <c r="M106" s="25">
        <f t="shared" si="44"/>
        <v>0.16220291896077188</v>
      </c>
      <c r="N106" s="10"/>
      <c r="R106" s="2"/>
    </row>
    <row r="107" spans="1:18" ht="15.75" customHeight="1">
      <c r="A107" s="19"/>
      <c r="B107" s="20">
        <f>DATE(2018,9,1)</f>
        <v>43344</v>
      </c>
      <c r="C107" s="21">
        <v>386512</v>
      </c>
      <c r="D107" s="21">
        <v>383853</v>
      </c>
      <c r="E107" s="23">
        <f t="shared" si="40"/>
        <v>0.006927130958986904</v>
      </c>
      <c r="F107" s="21">
        <f>+C107-188889</f>
        <v>197623</v>
      </c>
      <c r="G107" s="21">
        <f>+D107-186182</f>
        <v>197671</v>
      </c>
      <c r="H107" s="23">
        <f t="shared" si="41"/>
        <v>-0.00024282772890307634</v>
      </c>
      <c r="I107" s="24">
        <f t="shared" si="42"/>
        <v>42.94741094713747</v>
      </c>
      <c r="J107" s="24">
        <f t="shared" si="43"/>
        <v>83.99674987223146</v>
      </c>
      <c r="K107" s="21">
        <v>16599689.7</v>
      </c>
      <c r="L107" s="21">
        <v>16031264.69</v>
      </c>
      <c r="M107" s="25">
        <f t="shared" si="44"/>
        <v>0.035457278074547204</v>
      </c>
      <c r="N107" s="10"/>
      <c r="R107" s="2"/>
    </row>
    <row r="108" spans="1:18" ht="15.75" customHeight="1">
      <c r="A108" s="19"/>
      <c r="B108" s="20">
        <f>DATE(2018,10,1)</f>
        <v>43374</v>
      </c>
      <c r="C108" s="21">
        <v>353857</v>
      </c>
      <c r="D108" s="21">
        <v>372927</v>
      </c>
      <c r="E108" s="23">
        <f t="shared" si="40"/>
        <v>-0.051136013214382436</v>
      </c>
      <c r="F108" s="21">
        <f>+C108-169336</f>
        <v>184521</v>
      </c>
      <c r="G108" s="21">
        <f>+D108-185932</f>
        <v>186995</v>
      </c>
      <c r="H108" s="23">
        <f t="shared" si="41"/>
        <v>-0.013230300275408433</v>
      </c>
      <c r="I108" s="24">
        <f t="shared" si="42"/>
        <v>42.600034901104124</v>
      </c>
      <c r="J108" s="24">
        <f t="shared" si="43"/>
        <v>81.69433587504946</v>
      </c>
      <c r="K108" s="21">
        <v>15074320.55</v>
      </c>
      <c r="L108" s="21">
        <v>15264818.06</v>
      </c>
      <c r="M108" s="25">
        <f t="shared" si="44"/>
        <v>-0.012479513954979937</v>
      </c>
      <c r="N108" s="10"/>
      <c r="R108" s="2"/>
    </row>
    <row r="109" spans="1:18" ht="15.75" customHeight="1">
      <c r="A109" s="19"/>
      <c r="B109" s="20">
        <f>DATE(2018,11,1)</f>
        <v>43405</v>
      </c>
      <c r="C109" s="21">
        <v>343012</v>
      </c>
      <c r="D109" s="21">
        <v>350531</v>
      </c>
      <c r="E109" s="23">
        <f t="shared" si="40"/>
        <v>-0.021450313952260998</v>
      </c>
      <c r="F109" s="21">
        <f>+C109-162356</f>
        <v>180656</v>
      </c>
      <c r="G109" s="21">
        <f>+D109-173337</f>
        <v>177194</v>
      </c>
      <c r="H109" s="23">
        <f t="shared" si="41"/>
        <v>0.019537907604094948</v>
      </c>
      <c r="I109" s="24">
        <f t="shared" si="42"/>
        <v>43.195962735997576</v>
      </c>
      <c r="J109" s="24">
        <f t="shared" si="43"/>
        <v>82.01628271410858</v>
      </c>
      <c r="K109" s="21">
        <v>14816733.57</v>
      </c>
      <c r="L109" s="21">
        <v>14781579.57</v>
      </c>
      <c r="M109" s="25">
        <f t="shared" si="44"/>
        <v>0.0023782302719086196</v>
      </c>
      <c r="N109" s="10"/>
      <c r="R109" s="2"/>
    </row>
    <row r="110" spans="1:18" ht="15.75" customHeight="1">
      <c r="A110" s="19"/>
      <c r="B110" s="20">
        <f>DATE(2018,12,1)</f>
        <v>43435</v>
      </c>
      <c r="C110" s="21">
        <v>404087</v>
      </c>
      <c r="D110" s="21">
        <v>390264</v>
      </c>
      <c r="E110" s="23">
        <f t="shared" si="40"/>
        <v>0.03541961338991042</v>
      </c>
      <c r="F110" s="21">
        <f>+C110-195394</f>
        <v>208693</v>
      </c>
      <c r="G110" s="21">
        <f>+D110-192232</f>
        <v>198032</v>
      </c>
      <c r="H110" s="23">
        <f t="shared" si="41"/>
        <v>0.05383473378039913</v>
      </c>
      <c r="I110" s="24">
        <f t="shared" si="42"/>
        <v>41.81071665260203</v>
      </c>
      <c r="J110" s="24">
        <f t="shared" si="43"/>
        <v>80.9570376581869</v>
      </c>
      <c r="K110" s="21">
        <v>16895167.06</v>
      </c>
      <c r="L110" s="21">
        <v>16446628.41</v>
      </c>
      <c r="M110" s="25">
        <f t="shared" si="44"/>
        <v>0.0272723769771119</v>
      </c>
      <c r="N110" s="10"/>
      <c r="R110" s="2"/>
    </row>
    <row r="111" spans="1:18" ht="15.75" customHeight="1">
      <c r="A111" s="19"/>
      <c r="B111" s="20">
        <f>DATE(2019,1,1)</f>
        <v>43466</v>
      </c>
      <c r="C111" s="21">
        <v>340841</v>
      </c>
      <c r="D111" s="21">
        <v>343731</v>
      </c>
      <c r="E111" s="23">
        <f t="shared" si="40"/>
        <v>-0.008407737445851552</v>
      </c>
      <c r="F111" s="21">
        <f>+C111-167445</f>
        <v>173396</v>
      </c>
      <c r="G111" s="21">
        <f>+D111-170444</f>
        <v>173287</v>
      </c>
      <c r="H111" s="23">
        <f t="shared" si="41"/>
        <v>0.0006290142942055665</v>
      </c>
      <c r="I111" s="24">
        <f t="shared" si="42"/>
        <v>41.36292541096875</v>
      </c>
      <c r="J111" s="24">
        <f t="shared" si="43"/>
        <v>81.30626346628526</v>
      </c>
      <c r="K111" s="21">
        <v>14098180.86</v>
      </c>
      <c r="L111" s="21">
        <v>15056651.97</v>
      </c>
      <c r="M111" s="25">
        <f t="shared" si="44"/>
        <v>-0.06365765190759079</v>
      </c>
      <c r="N111" s="10"/>
      <c r="R111" s="2"/>
    </row>
    <row r="112" spans="1:18" ht="15.75" customHeight="1">
      <c r="A112" s="19"/>
      <c r="B112" s="20">
        <f>DATE(2019,2,1)</f>
        <v>43497</v>
      </c>
      <c r="C112" s="21">
        <v>343444</v>
      </c>
      <c r="D112" s="21">
        <v>348132</v>
      </c>
      <c r="E112" s="23">
        <f t="shared" si="40"/>
        <v>-0.013466156515344755</v>
      </c>
      <c r="F112" s="21">
        <f>+C112-166468</f>
        <v>176976</v>
      </c>
      <c r="G112" s="21">
        <f>+D112-170486</f>
        <v>177646</v>
      </c>
      <c r="H112" s="23">
        <f t="shared" si="41"/>
        <v>-0.003771545658219155</v>
      </c>
      <c r="I112" s="24">
        <f t="shared" si="42"/>
        <v>43.48426328600878</v>
      </c>
      <c r="J112" s="24">
        <f t="shared" si="43"/>
        <v>84.38663615405478</v>
      </c>
      <c r="K112" s="21">
        <v>14934409.32</v>
      </c>
      <c r="L112" s="21">
        <v>15283647.06</v>
      </c>
      <c r="M112" s="25">
        <f t="shared" si="44"/>
        <v>-0.022850419054364125</v>
      </c>
      <c r="N112" s="10"/>
      <c r="R112" s="2"/>
    </row>
    <row r="113" spans="1:18" ht="15.75" customHeight="1">
      <c r="A113" s="19"/>
      <c r="B113" s="20">
        <f>DATE(2019,3,1)</f>
        <v>43525</v>
      </c>
      <c r="C113" s="21">
        <v>433827</v>
      </c>
      <c r="D113" s="21">
        <v>425327</v>
      </c>
      <c r="E113" s="23">
        <f t="shared" si="40"/>
        <v>0.01998462359549241</v>
      </c>
      <c r="F113" s="21">
        <f>+C113-215065</f>
        <v>218762</v>
      </c>
      <c r="G113" s="21">
        <f>+D113-208257</f>
        <v>217070</v>
      </c>
      <c r="H113" s="23">
        <f t="shared" si="41"/>
        <v>0.007794720597042428</v>
      </c>
      <c r="I113" s="24">
        <f t="shared" si="42"/>
        <v>43.030317845592826</v>
      </c>
      <c r="J113" s="24">
        <f t="shared" si="43"/>
        <v>85.33343862279554</v>
      </c>
      <c r="K113" s="21">
        <v>18667713.7</v>
      </c>
      <c r="L113" s="21">
        <v>18192792.95</v>
      </c>
      <c r="M113" s="25">
        <f t="shared" si="44"/>
        <v>0.02610488402221936</v>
      </c>
      <c r="N113" s="10"/>
      <c r="R113" s="2"/>
    </row>
    <row r="114" spans="1:18" ht="15.75" customHeight="1" thickBot="1">
      <c r="A114" s="19"/>
      <c r="B114" s="45"/>
      <c r="C114" s="21"/>
      <c r="D114" s="21"/>
      <c r="E114" s="23"/>
      <c r="F114" s="21"/>
      <c r="G114" s="21"/>
      <c r="H114" s="23"/>
      <c r="I114" s="24"/>
      <c r="J114" s="24"/>
      <c r="K114" s="21"/>
      <c r="L114" s="21"/>
      <c r="M114" s="25"/>
      <c r="N114" s="10"/>
      <c r="R114" s="2"/>
    </row>
    <row r="115" spans="1:18" ht="16.5" thickBot="1" thickTop="1">
      <c r="A115" s="39" t="s">
        <v>14</v>
      </c>
      <c r="B115" s="40"/>
      <c r="C115" s="41">
        <f>SUM(C105:C114)</f>
        <v>3424967</v>
      </c>
      <c r="D115" s="41">
        <f>SUM(D105:D114)</f>
        <v>3397028</v>
      </c>
      <c r="E115" s="280">
        <f>(+C115-D115)/D115</f>
        <v>0.008224542158616297</v>
      </c>
      <c r="F115" s="41">
        <f>SUM(F105:F114)</f>
        <v>1762094</v>
      </c>
      <c r="G115" s="41">
        <f>SUM(G105:G114)</f>
        <v>1728239</v>
      </c>
      <c r="H115" s="42">
        <f>(+F115-G115)/G115</f>
        <v>0.01958930448855743</v>
      </c>
      <c r="I115" s="43">
        <f>K115/C115</f>
        <v>42.77828019948805</v>
      </c>
      <c r="J115" s="43">
        <f>K115/F115</f>
        <v>83.14777645233455</v>
      </c>
      <c r="K115" s="41">
        <f>SUM(K105:K114)</f>
        <v>146514198</v>
      </c>
      <c r="L115" s="41">
        <f>SUM(L105:L114)</f>
        <v>142713875.92999998</v>
      </c>
      <c r="M115" s="44">
        <f>(+K115-L115)/L115</f>
        <v>0.0266289598347399</v>
      </c>
      <c r="N115" s="10"/>
      <c r="R115" s="2"/>
    </row>
    <row r="116" spans="1:18" ht="15.75" customHeight="1" thickTop="1">
      <c r="A116" s="54"/>
      <c r="B116" s="55"/>
      <c r="C116" s="55"/>
      <c r="D116" s="55"/>
      <c r="E116" s="56"/>
      <c r="F116" s="55"/>
      <c r="G116" s="55"/>
      <c r="H116" s="56"/>
      <c r="I116" s="55"/>
      <c r="J116" s="55"/>
      <c r="K116" s="196"/>
      <c r="L116" s="196"/>
      <c r="M116" s="57"/>
      <c r="N116" s="10"/>
      <c r="R116" s="2"/>
    </row>
    <row r="117" spans="1:18" ht="15.75" customHeight="1">
      <c r="A117" s="19" t="s">
        <v>58</v>
      </c>
      <c r="B117" s="20">
        <f>DATE(2018,7,1)</f>
        <v>43282</v>
      </c>
      <c r="C117" s="21">
        <v>437171</v>
      </c>
      <c r="D117" s="21">
        <v>487621</v>
      </c>
      <c r="E117" s="23">
        <f aca="true" t="shared" si="45" ref="E117:E125">(+C117-D117)/D117</f>
        <v>-0.10346149981235427</v>
      </c>
      <c r="F117" s="21">
        <f>+C117-202695</f>
        <v>234476</v>
      </c>
      <c r="G117" s="21">
        <f>+D117-237847</f>
        <v>249774</v>
      </c>
      <c r="H117" s="23">
        <f aca="true" t="shared" si="46" ref="H117:H125">(+F117-G117)/G117</f>
        <v>-0.06124736762032878</v>
      </c>
      <c r="I117" s="24">
        <f aca="true" t="shared" si="47" ref="I117:I125">K117/C117</f>
        <v>44.80435008269076</v>
      </c>
      <c r="J117" s="24">
        <f aca="true" t="shared" si="48" ref="J117:J125">K117/F117</f>
        <v>83.5358950596223</v>
      </c>
      <c r="K117" s="21">
        <v>19587162.53</v>
      </c>
      <c r="L117" s="21">
        <v>19804673.68</v>
      </c>
      <c r="M117" s="25">
        <f aca="true" t="shared" si="49" ref="M117:M125">(+K117-L117)/L117</f>
        <v>-0.010982819182709125</v>
      </c>
      <c r="N117" s="10"/>
      <c r="R117" s="2"/>
    </row>
    <row r="118" spans="1:18" ht="15.75" customHeight="1">
      <c r="A118" s="19"/>
      <c r="B118" s="20">
        <f>DATE(2018,8,1)</f>
        <v>43313</v>
      </c>
      <c r="C118" s="21">
        <v>428435</v>
      </c>
      <c r="D118" s="21">
        <v>450476</v>
      </c>
      <c r="E118" s="23">
        <f t="shared" si="45"/>
        <v>-0.04892824478995551</v>
      </c>
      <c r="F118" s="21">
        <f>+C118-198491</f>
        <v>229944</v>
      </c>
      <c r="G118" s="21">
        <f>+D118-212152</f>
        <v>238324</v>
      </c>
      <c r="H118" s="23">
        <f t="shared" si="46"/>
        <v>-0.03516221614273007</v>
      </c>
      <c r="I118" s="24">
        <f t="shared" si="47"/>
        <v>44.51780890916942</v>
      </c>
      <c r="J118" s="24">
        <f t="shared" si="48"/>
        <v>82.94622803813103</v>
      </c>
      <c r="K118" s="21">
        <v>19072987.46</v>
      </c>
      <c r="L118" s="21">
        <v>18591700.17</v>
      </c>
      <c r="M118" s="25">
        <f t="shared" si="49"/>
        <v>0.025887212336643393</v>
      </c>
      <c r="N118" s="10"/>
      <c r="R118" s="2"/>
    </row>
    <row r="119" spans="1:18" ht="15.75" customHeight="1">
      <c r="A119" s="19"/>
      <c r="B119" s="20">
        <f>DATE(2018,9,1)</f>
        <v>43344</v>
      </c>
      <c r="C119" s="21">
        <v>430488</v>
      </c>
      <c r="D119" s="21">
        <v>460463</v>
      </c>
      <c r="E119" s="23">
        <f t="shared" si="45"/>
        <v>-0.06509752140780041</v>
      </c>
      <c r="F119" s="21">
        <f>+C119-198602</f>
        <v>231886</v>
      </c>
      <c r="G119" s="21">
        <f>+D119-224219</f>
        <v>236244</v>
      </c>
      <c r="H119" s="23">
        <f t="shared" si="46"/>
        <v>-0.01844702934254415</v>
      </c>
      <c r="I119" s="24">
        <f t="shared" si="47"/>
        <v>42.26188290962814</v>
      </c>
      <c r="J119" s="24">
        <f t="shared" si="48"/>
        <v>78.45766217020432</v>
      </c>
      <c r="K119" s="21">
        <v>18193233.45</v>
      </c>
      <c r="L119" s="21">
        <v>18717604.13</v>
      </c>
      <c r="M119" s="25">
        <f t="shared" si="49"/>
        <v>-0.028014839739000277</v>
      </c>
      <c r="N119" s="10"/>
      <c r="R119" s="2"/>
    </row>
    <row r="120" spans="1:18" ht="15.75" customHeight="1">
      <c r="A120" s="19"/>
      <c r="B120" s="20">
        <f>DATE(2018,10,1)</f>
        <v>43374</v>
      </c>
      <c r="C120" s="21">
        <v>407351</v>
      </c>
      <c r="D120" s="21">
        <v>417011</v>
      </c>
      <c r="E120" s="23">
        <f t="shared" si="45"/>
        <v>-0.02316485656253672</v>
      </c>
      <c r="F120" s="21">
        <f>+C120-184649</f>
        <v>222702</v>
      </c>
      <c r="G120" s="21">
        <f>+D120-199528</f>
        <v>217483</v>
      </c>
      <c r="H120" s="23">
        <f t="shared" si="46"/>
        <v>0.023997277948161467</v>
      </c>
      <c r="I120" s="24">
        <f t="shared" si="47"/>
        <v>41.14079442544636</v>
      </c>
      <c r="J120" s="24">
        <f t="shared" si="48"/>
        <v>75.25187807024633</v>
      </c>
      <c r="K120" s="21">
        <v>16758743.75</v>
      </c>
      <c r="L120" s="21">
        <v>17765294.36</v>
      </c>
      <c r="M120" s="25">
        <f t="shared" si="49"/>
        <v>-0.056658256801324365</v>
      </c>
      <c r="N120" s="10"/>
      <c r="R120" s="2"/>
    </row>
    <row r="121" spans="1:18" ht="15.75" customHeight="1">
      <c r="A121" s="19"/>
      <c r="B121" s="20">
        <f>DATE(2018,11,1)</f>
        <v>43405</v>
      </c>
      <c r="C121" s="21">
        <v>411941</v>
      </c>
      <c r="D121" s="21">
        <v>418322</v>
      </c>
      <c r="E121" s="23">
        <f t="shared" si="45"/>
        <v>-0.015253799704533827</v>
      </c>
      <c r="F121" s="21">
        <f>+C121-188303</f>
        <v>223638</v>
      </c>
      <c r="G121" s="21">
        <f>+D121-203115</f>
        <v>215207</v>
      </c>
      <c r="H121" s="23">
        <f t="shared" si="46"/>
        <v>0.03917623497376944</v>
      </c>
      <c r="I121" s="24">
        <f t="shared" si="47"/>
        <v>47.356731813536406</v>
      </c>
      <c r="J121" s="24">
        <f t="shared" si="48"/>
        <v>87.23105849631995</v>
      </c>
      <c r="K121" s="21">
        <v>19508179.46</v>
      </c>
      <c r="L121" s="21">
        <v>17634313.49</v>
      </c>
      <c r="M121" s="25">
        <f t="shared" si="49"/>
        <v>0.10626248484595828</v>
      </c>
      <c r="N121" s="10"/>
      <c r="R121" s="2"/>
    </row>
    <row r="122" spans="1:18" ht="15.75" customHeight="1">
      <c r="A122" s="19"/>
      <c r="B122" s="20">
        <f>DATE(2018,12,1)</f>
        <v>43435</v>
      </c>
      <c r="C122" s="21">
        <v>472920</v>
      </c>
      <c r="D122" s="21">
        <v>463864</v>
      </c>
      <c r="E122" s="23">
        <f t="shared" si="45"/>
        <v>0.019522963627270063</v>
      </c>
      <c r="F122" s="21">
        <f>+C122-218118</f>
        <v>254802</v>
      </c>
      <c r="G122" s="21">
        <f>+D122-225145</f>
        <v>238719</v>
      </c>
      <c r="H122" s="23">
        <f t="shared" si="46"/>
        <v>0.0673720985761502</v>
      </c>
      <c r="I122" s="24">
        <f t="shared" si="47"/>
        <v>43.472668908060555</v>
      </c>
      <c r="J122" s="24">
        <f t="shared" si="48"/>
        <v>80.68655104748</v>
      </c>
      <c r="K122" s="21">
        <v>20559094.58</v>
      </c>
      <c r="L122" s="21">
        <v>19260849.6</v>
      </c>
      <c r="M122" s="25">
        <f t="shared" si="49"/>
        <v>0.06740330810744696</v>
      </c>
      <c r="N122" s="10"/>
      <c r="R122" s="2"/>
    </row>
    <row r="123" spans="1:18" ht="15.75" customHeight="1">
      <c r="A123" s="19"/>
      <c r="B123" s="20">
        <f>DATE(2019,1,1)</f>
        <v>43466</v>
      </c>
      <c r="C123" s="21">
        <v>350517</v>
      </c>
      <c r="D123" s="21">
        <v>394135</v>
      </c>
      <c r="E123" s="23">
        <f t="shared" si="45"/>
        <v>-0.11066766463267662</v>
      </c>
      <c r="F123" s="21">
        <f>+C123-164493</f>
        <v>186024</v>
      </c>
      <c r="G123" s="21">
        <f>+D123-197319</f>
        <v>196816</v>
      </c>
      <c r="H123" s="23">
        <f t="shared" si="46"/>
        <v>-0.054832940411348674</v>
      </c>
      <c r="I123" s="24">
        <f t="shared" si="47"/>
        <v>45.87559413666099</v>
      </c>
      <c r="J123" s="24">
        <f t="shared" si="48"/>
        <v>86.44140342106395</v>
      </c>
      <c r="K123" s="21">
        <v>16080175.63</v>
      </c>
      <c r="L123" s="21">
        <v>16549428.66</v>
      </c>
      <c r="M123" s="25">
        <f t="shared" si="49"/>
        <v>-0.028354636262107633</v>
      </c>
      <c r="N123" s="10"/>
      <c r="R123" s="2"/>
    </row>
    <row r="124" spans="1:18" ht="15.75" customHeight="1">
      <c r="A124" s="19"/>
      <c r="B124" s="20">
        <f>DATE(2019,2,1)</f>
        <v>43497</v>
      </c>
      <c r="C124" s="21">
        <v>392165</v>
      </c>
      <c r="D124" s="21">
        <v>427928</v>
      </c>
      <c r="E124" s="23">
        <f t="shared" si="45"/>
        <v>-0.08357247013516292</v>
      </c>
      <c r="F124" s="21">
        <f>+C124-179856</f>
        <v>212309</v>
      </c>
      <c r="G124" s="21">
        <f>+D124-211910</f>
        <v>216018</v>
      </c>
      <c r="H124" s="23">
        <f t="shared" si="46"/>
        <v>-0.01716986547417345</v>
      </c>
      <c r="I124" s="24">
        <f t="shared" si="47"/>
        <v>44.50702709318782</v>
      </c>
      <c r="J124" s="24">
        <f t="shared" si="48"/>
        <v>82.2108261072305</v>
      </c>
      <c r="K124" s="21">
        <v>17454098.28</v>
      </c>
      <c r="L124" s="21">
        <v>17946175.88</v>
      </c>
      <c r="M124" s="25">
        <f t="shared" si="49"/>
        <v>-0.0274196354304312</v>
      </c>
      <c r="N124" s="10"/>
      <c r="R124" s="2"/>
    </row>
    <row r="125" spans="1:18" ht="15.75" customHeight="1">
      <c r="A125" s="19"/>
      <c r="B125" s="20">
        <f>DATE(2019,3,1)</f>
        <v>43525</v>
      </c>
      <c r="C125" s="21">
        <v>469490</v>
      </c>
      <c r="D125" s="21">
        <v>524386</v>
      </c>
      <c r="E125" s="23">
        <f t="shared" si="45"/>
        <v>-0.10468624257703295</v>
      </c>
      <c r="F125" s="21">
        <f>+C125-217591</f>
        <v>251899</v>
      </c>
      <c r="G125" s="21">
        <f>+D125-260974</f>
        <v>263412</v>
      </c>
      <c r="H125" s="23">
        <f t="shared" si="46"/>
        <v>-0.043707196331222574</v>
      </c>
      <c r="I125" s="24">
        <f t="shared" si="47"/>
        <v>44.408252316343265</v>
      </c>
      <c r="J125" s="24">
        <f t="shared" si="48"/>
        <v>82.76821416520113</v>
      </c>
      <c r="K125" s="21">
        <v>20849230.38</v>
      </c>
      <c r="L125" s="21">
        <v>22098734.53</v>
      </c>
      <c r="M125" s="25">
        <f t="shared" si="49"/>
        <v>-0.056541886971117984</v>
      </c>
      <c r="N125" s="10"/>
      <c r="R125" s="2"/>
    </row>
    <row r="126" spans="1:18" ht="15.75" customHeight="1" thickBot="1">
      <c r="A126" s="19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6.5" thickBot="1" thickTop="1">
      <c r="A127" s="39" t="s">
        <v>14</v>
      </c>
      <c r="B127" s="40"/>
      <c r="C127" s="41">
        <f>SUM(C117:C126)</f>
        <v>3800478</v>
      </c>
      <c r="D127" s="41">
        <f>SUM(D117:D126)</f>
        <v>4044206</v>
      </c>
      <c r="E127" s="280">
        <f>(+C127-D127)/D127</f>
        <v>-0.06026597062563084</v>
      </c>
      <c r="F127" s="41">
        <f>SUM(F117:F126)</f>
        <v>2047680</v>
      </c>
      <c r="G127" s="41">
        <f>SUM(G117:G126)</f>
        <v>2071997</v>
      </c>
      <c r="H127" s="42">
        <f>(+F127-G127)/G127</f>
        <v>-0.011736020853312046</v>
      </c>
      <c r="I127" s="43">
        <f>K127/C127</f>
        <v>44.2215177985506</v>
      </c>
      <c r="J127" s="43">
        <f>K127/F127</f>
        <v>82.07478977183933</v>
      </c>
      <c r="K127" s="41">
        <f>SUM(K117:K126)</f>
        <v>168062905.51999998</v>
      </c>
      <c r="L127" s="41">
        <f>SUM(L117:L126)</f>
        <v>168368774.5</v>
      </c>
      <c r="M127" s="44">
        <f>(+K127-L127)/L127</f>
        <v>-0.0018166609628676668</v>
      </c>
      <c r="N127" s="10"/>
      <c r="R127" s="2"/>
    </row>
    <row r="128" spans="1:18" ht="15.75" customHeight="1" thickTop="1">
      <c r="A128" s="58"/>
      <c r="B128" s="59"/>
      <c r="C128" s="59"/>
      <c r="D128" s="59"/>
      <c r="E128" s="60"/>
      <c r="F128" s="59"/>
      <c r="G128" s="59"/>
      <c r="H128" s="60"/>
      <c r="I128" s="59"/>
      <c r="J128" s="59"/>
      <c r="K128" s="197"/>
      <c r="L128" s="197"/>
      <c r="M128" s="61"/>
      <c r="N128" s="10"/>
      <c r="R128" s="2"/>
    </row>
    <row r="129" spans="1:18" ht="15" customHeight="1">
      <c r="A129" s="19" t="s">
        <v>59</v>
      </c>
      <c r="B129" s="20">
        <f>DATE(2018,7,1)</f>
        <v>43282</v>
      </c>
      <c r="C129" s="21">
        <v>63934</v>
      </c>
      <c r="D129" s="21">
        <v>62927</v>
      </c>
      <c r="E129" s="23">
        <f aca="true" t="shared" si="50" ref="E129:E137">(+C129-D129)/D129</f>
        <v>0.016002669760198325</v>
      </c>
      <c r="F129" s="21">
        <f>+C129-30110</f>
        <v>33824</v>
      </c>
      <c r="G129" s="21">
        <f>+D129-30201</f>
        <v>32726</v>
      </c>
      <c r="H129" s="23">
        <f aca="true" t="shared" si="51" ref="H129:H137">(+F129-G129)/G129</f>
        <v>0.03355130477296339</v>
      </c>
      <c r="I129" s="24">
        <f aca="true" t="shared" si="52" ref="I129:I137">K129/C129</f>
        <v>44.104667156755404</v>
      </c>
      <c r="J129" s="24">
        <f aca="true" t="shared" si="53" ref="J129:J137">K129/F129</f>
        <v>83.36647912724693</v>
      </c>
      <c r="K129" s="21">
        <v>2819787.79</v>
      </c>
      <c r="L129" s="21">
        <v>2929610.63</v>
      </c>
      <c r="M129" s="25">
        <f aca="true" t="shared" si="54" ref="M129:M137">(+K129-L129)/L129</f>
        <v>-0.03748717965294926</v>
      </c>
      <c r="N129" s="10"/>
      <c r="R129" s="2"/>
    </row>
    <row r="130" spans="1:18" ht="15" customHeight="1">
      <c r="A130" s="19"/>
      <c r="B130" s="20">
        <f>DATE(2018,8,1)</f>
        <v>43313</v>
      </c>
      <c r="C130" s="21">
        <v>61004</v>
      </c>
      <c r="D130" s="21">
        <v>58528</v>
      </c>
      <c r="E130" s="23">
        <f t="shared" si="50"/>
        <v>0.04230453799890651</v>
      </c>
      <c r="F130" s="21">
        <f>+C130-29259</f>
        <v>31745</v>
      </c>
      <c r="G130" s="21">
        <f>+D130-27538</f>
        <v>30990</v>
      </c>
      <c r="H130" s="23">
        <f t="shared" si="51"/>
        <v>0.02436269764440142</v>
      </c>
      <c r="I130" s="24">
        <f t="shared" si="52"/>
        <v>45.56410415710445</v>
      </c>
      <c r="J130" s="24">
        <f t="shared" si="53"/>
        <v>87.56001291541975</v>
      </c>
      <c r="K130" s="21">
        <v>2779592.61</v>
      </c>
      <c r="L130" s="21">
        <v>2672799.76</v>
      </c>
      <c r="M130" s="25">
        <f t="shared" si="54"/>
        <v>0.03995542486879006</v>
      </c>
      <c r="N130" s="10"/>
      <c r="R130" s="2"/>
    </row>
    <row r="131" spans="1:18" ht="15" customHeight="1">
      <c r="A131" s="19"/>
      <c r="B131" s="20">
        <f>DATE(2018,9,1)</f>
        <v>43344</v>
      </c>
      <c r="C131" s="21">
        <v>57391</v>
      </c>
      <c r="D131" s="21">
        <v>59418</v>
      </c>
      <c r="E131" s="23">
        <f t="shared" si="50"/>
        <v>-0.03411424147564711</v>
      </c>
      <c r="F131" s="21">
        <f>+C131-27760</f>
        <v>29631</v>
      </c>
      <c r="G131" s="21">
        <f>+D131-28421</f>
        <v>30997</v>
      </c>
      <c r="H131" s="23">
        <f t="shared" si="51"/>
        <v>-0.04406878084975965</v>
      </c>
      <c r="I131" s="24">
        <f t="shared" si="52"/>
        <v>45.601388196755586</v>
      </c>
      <c r="J131" s="24">
        <f t="shared" si="53"/>
        <v>88.32335290742803</v>
      </c>
      <c r="K131" s="21">
        <v>2617109.27</v>
      </c>
      <c r="L131" s="21">
        <v>2764418.67</v>
      </c>
      <c r="M131" s="25">
        <f t="shared" si="54"/>
        <v>-0.05328765920973899</v>
      </c>
      <c r="N131" s="10"/>
      <c r="R131" s="2"/>
    </row>
    <row r="132" spans="1:18" ht="15" customHeight="1">
      <c r="A132" s="19"/>
      <c r="B132" s="20">
        <f>DATE(2018,10,1)</f>
        <v>43374</v>
      </c>
      <c r="C132" s="21">
        <v>54970</v>
      </c>
      <c r="D132" s="21">
        <v>52864</v>
      </c>
      <c r="E132" s="23">
        <f t="shared" si="50"/>
        <v>0.03983807506053269</v>
      </c>
      <c r="F132" s="21">
        <f>+C132-26236</f>
        <v>28734</v>
      </c>
      <c r="G132" s="21">
        <f>+D132-24998</f>
        <v>27866</v>
      </c>
      <c r="H132" s="23">
        <f t="shared" si="51"/>
        <v>0.031149070551927078</v>
      </c>
      <c r="I132" s="24">
        <f t="shared" si="52"/>
        <v>46.12450209205021</v>
      </c>
      <c r="J132" s="24">
        <f t="shared" si="53"/>
        <v>88.23915500800445</v>
      </c>
      <c r="K132" s="21">
        <v>2535463.88</v>
      </c>
      <c r="L132" s="21">
        <v>2564041.46</v>
      </c>
      <c r="M132" s="25">
        <f t="shared" si="54"/>
        <v>-0.011145521804471942</v>
      </c>
      <c r="N132" s="10"/>
      <c r="R132" s="2"/>
    </row>
    <row r="133" spans="1:18" ht="15" customHeight="1">
      <c r="A133" s="19"/>
      <c r="B133" s="20">
        <f>DATE(2018,11,1)</f>
        <v>43405</v>
      </c>
      <c r="C133" s="21">
        <v>49028</v>
      </c>
      <c r="D133" s="21">
        <v>54003</v>
      </c>
      <c r="E133" s="23">
        <f t="shared" si="50"/>
        <v>-0.09212451160120734</v>
      </c>
      <c r="F133" s="21">
        <f>+C133-24232</f>
        <v>24796</v>
      </c>
      <c r="G133" s="21">
        <f>+D133-25453</f>
        <v>28550</v>
      </c>
      <c r="H133" s="23">
        <f t="shared" si="51"/>
        <v>-0.13148861646234675</v>
      </c>
      <c r="I133" s="24">
        <f t="shared" si="52"/>
        <v>49.04757873052133</v>
      </c>
      <c r="J133" s="24">
        <f t="shared" si="53"/>
        <v>96.97954065171801</v>
      </c>
      <c r="K133" s="21">
        <v>2404704.69</v>
      </c>
      <c r="L133" s="21">
        <v>2490796.49</v>
      </c>
      <c r="M133" s="25">
        <f t="shared" si="54"/>
        <v>-0.034563963915012694</v>
      </c>
      <c r="N133" s="10"/>
      <c r="R133" s="2"/>
    </row>
    <row r="134" spans="1:18" ht="15" customHeight="1">
      <c r="A134" s="19"/>
      <c r="B134" s="20">
        <f>DATE(2018,12,1)</f>
        <v>43435</v>
      </c>
      <c r="C134" s="21">
        <v>58147</v>
      </c>
      <c r="D134" s="21">
        <v>55987</v>
      </c>
      <c r="E134" s="23">
        <f t="shared" si="50"/>
        <v>0.038580384732169966</v>
      </c>
      <c r="F134" s="21">
        <f>+C134-29074</f>
        <v>29073</v>
      </c>
      <c r="G134" s="21">
        <f>+D134-26854</f>
        <v>29133</v>
      </c>
      <c r="H134" s="23">
        <f t="shared" si="51"/>
        <v>-0.0020595201318092883</v>
      </c>
      <c r="I134" s="24">
        <f t="shared" si="52"/>
        <v>44.91932051524584</v>
      </c>
      <c r="J134" s="24">
        <f t="shared" si="53"/>
        <v>89.84018608330753</v>
      </c>
      <c r="K134" s="21">
        <v>2611923.73</v>
      </c>
      <c r="L134" s="21">
        <v>2654038.93</v>
      </c>
      <c r="M134" s="25">
        <f t="shared" si="54"/>
        <v>-0.01586834297114104</v>
      </c>
      <c r="N134" s="10"/>
      <c r="R134" s="2"/>
    </row>
    <row r="135" spans="1:18" ht="15" customHeight="1">
      <c r="A135" s="19"/>
      <c r="B135" s="20">
        <f>DATE(2019,1,1)</f>
        <v>43466</v>
      </c>
      <c r="C135" s="21">
        <v>41757</v>
      </c>
      <c r="D135" s="21">
        <v>52482</v>
      </c>
      <c r="E135" s="23">
        <f t="shared" si="50"/>
        <v>-0.2043557791242712</v>
      </c>
      <c r="F135" s="21">
        <f>+C135-21350</f>
        <v>20407</v>
      </c>
      <c r="G135" s="21">
        <f>+D135-25959</f>
        <v>26523</v>
      </c>
      <c r="H135" s="23">
        <f t="shared" si="51"/>
        <v>-0.23059231610300493</v>
      </c>
      <c r="I135" s="24">
        <f t="shared" si="52"/>
        <v>49.2249914984314</v>
      </c>
      <c r="J135" s="24">
        <f t="shared" si="53"/>
        <v>100.7246518351546</v>
      </c>
      <c r="K135" s="21">
        <v>2055487.97</v>
      </c>
      <c r="L135" s="21">
        <v>2554089.98</v>
      </c>
      <c r="M135" s="25">
        <f t="shared" si="54"/>
        <v>-0.19521708863209275</v>
      </c>
      <c r="N135" s="10"/>
      <c r="R135" s="2"/>
    </row>
    <row r="136" spans="1:18" ht="15" customHeight="1">
      <c r="A136" s="19"/>
      <c r="B136" s="20">
        <f>DATE(2019,2,1)</f>
        <v>43497</v>
      </c>
      <c r="C136" s="21">
        <v>48742</v>
      </c>
      <c r="D136" s="21">
        <v>54321</v>
      </c>
      <c r="E136" s="23">
        <f t="shared" si="50"/>
        <v>-0.10270429483993299</v>
      </c>
      <c r="F136" s="21">
        <f>+C136-24917</f>
        <v>23825</v>
      </c>
      <c r="G136" s="21">
        <f>+D136-26653</f>
        <v>27668</v>
      </c>
      <c r="H136" s="23">
        <f t="shared" si="51"/>
        <v>-0.13889692063033107</v>
      </c>
      <c r="I136" s="24">
        <f t="shared" si="52"/>
        <v>50.06706577489639</v>
      </c>
      <c r="J136" s="24">
        <f t="shared" si="53"/>
        <v>102.42891584470094</v>
      </c>
      <c r="K136" s="21">
        <v>2440368.92</v>
      </c>
      <c r="L136" s="21">
        <v>2627841.65</v>
      </c>
      <c r="M136" s="25">
        <f t="shared" si="54"/>
        <v>-0.07134095389651808</v>
      </c>
      <c r="N136" s="10"/>
      <c r="R136" s="2"/>
    </row>
    <row r="137" spans="1:18" ht="15" customHeight="1">
      <c r="A137" s="19"/>
      <c r="B137" s="20">
        <f>DATE(2019,3,1)</f>
        <v>43525</v>
      </c>
      <c r="C137" s="21">
        <v>61678</v>
      </c>
      <c r="D137" s="21">
        <v>72081</v>
      </c>
      <c r="E137" s="23">
        <f t="shared" si="50"/>
        <v>-0.14432374689585328</v>
      </c>
      <c r="F137" s="21">
        <f>+C137-31460</f>
        <v>30218</v>
      </c>
      <c r="G137" s="21">
        <f>+D137-35399</f>
        <v>36682</v>
      </c>
      <c r="H137" s="23">
        <f t="shared" si="51"/>
        <v>-0.17621721825418463</v>
      </c>
      <c r="I137" s="24">
        <f t="shared" si="52"/>
        <v>49.9273338953922</v>
      </c>
      <c r="J137" s="24">
        <f t="shared" si="53"/>
        <v>101.90674763386062</v>
      </c>
      <c r="K137" s="21">
        <v>3079418.1</v>
      </c>
      <c r="L137" s="21">
        <v>3614132.94</v>
      </c>
      <c r="M137" s="25">
        <f t="shared" si="54"/>
        <v>-0.14795107121875817</v>
      </c>
      <c r="N137" s="10"/>
      <c r="R137" s="2"/>
    </row>
    <row r="138" spans="1:18" ht="15" thickBot="1">
      <c r="A138" s="38"/>
      <c r="B138" s="20"/>
      <c r="C138" s="21"/>
      <c r="D138" s="21"/>
      <c r="E138" s="23"/>
      <c r="F138" s="21"/>
      <c r="G138" s="21"/>
      <c r="H138" s="23"/>
      <c r="I138" s="24"/>
      <c r="J138" s="24"/>
      <c r="K138" s="21"/>
      <c r="L138" s="21"/>
      <c r="M138" s="25"/>
      <c r="N138" s="10"/>
      <c r="R138" s="2"/>
    </row>
    <row r="139" spans="1:18" ht="16.5" thickBot="1" thickTop="1">
      <c r="A139" s="62" t="s">
        <v>14</v>
      </c>
      <c r="B139" s="52"/>
      <c r="C139" s="48">
        <f>SUM(C129:C138)</f>
        <v>496651</v>
      </c>
      <c r="D139" s="48">
        <f>SUM(D129:D138)</f>
        <v>522611</v>
      </c>
      <c r="E139" s="280">
        <f>(+C139-D139)/D139</f>
        <v>-0.04967365784493629</v>
      </c>
      <c r="F139" s="48">
        <f>SUM(F129:F138)</f>
        <v>252253</v>
      </c>
      <c r="G139" s="48">
        <f>SUM(G129:G138)</f>
        <v>271135</v>
      </c>
      <c r="H139" s="42">
        <f>(+F139-G139)/G139</f>
        <v>-0.06964058494845742</v>
      </c>
      <c r="I139" s="50">
        <f>K139/C139</f>
        <v>47.00253691223817</v>
      </c>
      <c r="J139" s="50">
        <f>K139/F139</f>
        <v>92.5414443435757</v>
      </c>
      <c r="K139" s="48">
        <f>SUM(K129:K138)</f>
        <v>23343856.96</v>
      </c>
      <c r="L139" s="48">
        <f>SUM(L129:L138)</f>
        <v>24871770.509999998</v>
      </c>
      <c r="M139" s="44">
        <f>(+K139-L139)/L139</f>
        <v>-0.06143163589362007</v>
      </c>
      <c r="N139" s="10"/>
      <c r="R139" s="2"/>
    </row>
    <row r="140" spans="1:18" ht="15.75" customHeight="1" thickTop="1">
      <c r="A140" s="19"/>
      <c r="B140" s="45"/>
      <c r="C140" s="21"/>
      <c r="D140" s="21"/>
      <c r="E140" s="23"/>
      <c r="F140" s="21"/>
      <c r="G140" s="21"/>
      <c r="H140" s="23"/>
      <c r="I140" s="24"/>
      <c r="J140" s="24"/>
      <c r="K140" s="21"/>
      <c r="L140" s="21"/>
      <c r="M140" s="25"/>
      <c r="N140" s="10"/>
      <c r="R140" s="2"/>
    </row>
    <row r="141" spans="1:18" ht="15">
      <c r="A141" s="19" t="s">
        <v>19</v>
      </c>
      <c r="B141" s="20">
        <f>DATE(2018,7,1)</f>
        <v>43282</v>
      </c>
      <c r="C141" s="21">
        <v>470294</v>
      </c>
      <c r="D141" s="21">
        <v>504566</v>
      </c>
      <c r="E141" s="23">
        <f aca="true" t="shared" si="55" ref="E141:E149">(+C141-D141)/D141</f>
        <v>-0.06792372058363029</v>
      </c>
      <c r="F141" s="21">
        <f>+C141-224781</f>
        <v>245513</v>
      </c>
      <c r="G141" s="21">
        <f>+D141-244721</f>
        <v>259845</v>
      </c>
      <c r="H141" s="23">
        <f aca="true" t="shared" si="56" ref="H141:H149">(+F141-G141)/G141</f>
        <v>-0.05515595835979142</v>
      </c>
      <c r="I141" s="24">
        <f aca="true" t="shared" si="57" ref="I141:I149">K141/C141</f>
        <v>49.79769203944767</v>
      </c>
      <c r="J141" s="24">
        <f aca="true" t="shared" si="58" ref="J141:J149">K141/F141</f>
        <v>95.39028800918892</v>
      </c>
      <c r="K141" s="21">
        <v>23419555.78</v>
      </c>
      <c r="L141" s="21">
        <v>23735238.92</v>
      </c>
      <c r="M141" s="25">
        <f aca="true" t="shared" si="59" ref="M141:M149">(+K141-L141)/L141</f>
        <v>-0.013300188005859795</v>
      </c>
      <c r="N141" s="10"/>
      <c r="R141" s="2"/>
    </row>
    <row r="142" spans="1:18" ht="15">
      <c r="A142" s="19"/>
      <c r="B142" s="20">
        <f>DATE(2018,8,1)</f>
        <v>43313</v>
      </c>
      <c r="C142" s="21">
        <v>474770</v>
      </c>
      <c r="D142" s="21">
        <v>457218</v>
      </c>
      <c r="E142" s="23">
        <f t="shared" si="55"/>
        <v>0.03838868985910441</v>
      </c>
      <c r="F142" s="21">
        <f>+C142-232249</f>
        <v>242521</v>
      </c>
      <c r="G142" s="21">
        <f>+D142-220228</f>
        <v>236990</v>
      </c>
      <c r="H142" s="23">
        <f t="shared" si="56"/>
        <v>0.023338537491033377</v>
      </c>
      <c r="I142" s="24">
        <f t="shared" si="57"/>
        <v>50.1026419318828</v>
      </c>
      <c r="J142" s="24">
        <f t="shared" si="58"/>
        <v>98.08318170385245</v>
      </c>
      <c r="K142" s="21">
        <v>23787231.31</v>
      </c>
      <c r="L142" s="21">
        <v>21406025.88</v>
      </c>
      <c r="M142" s="25">
        <f t="shared" si="59"/>
        <v>0.11123995847472085</v>
      </c>
      <c r="N142" s="10"/>
      <c r="R142" s="2"/>
    </row>
    <row r="143" spans="1:18" ht="15">
      <c r="A143" s="19"/>
      <c r="B143" s="20">
        <f>DATE(2018,9,1)</f>
        <v>43344</v>
      </c>
      <c r="C143" s="21">
        <v>439040</v>
      </c>
      <c r="D143" s="21">
        <v>469781</v>
      </c>
      <c r="E143" s="23">
        <f t="shared" si="55"/>
        <v>-0.06543687377735583</v>
      </c>
      <c r="F143" s="21">
        <f>+C143-213778</f>
        <v>225262</v>
      </c>
      <c r="G143" s="21">
        <f>+D143-233419</f>
        <v>236362</v>
      </c>
      <c r="H143" s="23">
        <f t="shared" si="56"/>
        <v>-0.046961863582132495</v>
      </c>
      <c r="I143" s="24">
        <f t="shared" si="57"/>
        <v>49.36747344205539</v>
      </c>
      <c r="J143" s="24">
        <f t="shared" si="58"/>
        <v>96.21816169615825</v>
      </c>
      <c r="K143" s="21">
        <v>21674295.54</v>
      </c>
      <c r="L143" s="21">
        <v>22005324.36</v>
      </c>
      <c r="M143" s="25">
        <f t="shared" si="59"/>
        <v>-0.015043123863319427</v>
      </c>
      <c r="N143" s="10"/>
      <c r="R143" s="2"/>
    </row>
    <row r="144" spans="1:18" ht="15">
      <c r="A144" s="19"/>
      <c r="B144" s="20">
        <f>DATE(2018,10,1)</f>
        <v>43374</v>
      </c>
      <c r="C144" s="21">
        <v>422287</v>
      </c>
      <c r="D144" s="21">
        <v>443959</v>
      </c>
      <c r="E144" s="23">
        <f t="shared" si="55"/>
        <v>-0.048815318531666214</v>
      </c>
      <c r="F144" s="21">
        <f>+C144-199383</f>
        <v>222904</v>
      </c>
      <c r="G144" s="21">
        <f>+D144-215005</f>
        <v>228954</v>
      </c>
      <c r="H144" s="23">
        <f t="shared" si="56"/>
        <v>-0.026424521956375516</v>
      </c>
      <c r="I144" s="24">
        <f t="shared" si="57"/>
        <v>49.14717732253183</v>
      </c>
      <c r="J144" s="24">
        <f t="shared" si="58"/>
        <v>93.10830702903492</v>
      </c>
      <c r="K144" s="21">
        <v>20754214.07</v>
      </c>
      <c r="L144" s="21">
        <v>21053075.3</v>
      </c>
      <c r="M144" s="25">
        <f t="shared" si="59"/>
        <v>-0.01419560922769323</v>
      </c>
      <c r="N144" s="10"/>
      <c r="R144" s="2"/>
    </row>
    <row r="145" spans="1:18" ht="15">
      <c r="A145" s="19"/>
      <c r="B145" s="20">
        <f>DATE(2018,11,1)</f>
        <v>43405</v>
      </c>
      <c r="C145" s="21">
        <v>425527</v>
      </c>
      <c r="D145" s="21">
        <v>438651</v>
      </c>
      <c r="E145" s="23">
        <f t="shared" si="55"/>
        <v>-0.02991900166647289</v>
      </c>
      <c r="F145" s="21">
        <f>+C145-204971</f>
        <v>220556</v>
      </c>
      <c r="G145" s="21">
        <f>+D145-216495</f>
        <v>222156</v>
      </c>
      <c r="H145" s="23">
        <f t="shared" si="56"/>
        <v>-0.007202146239579395</v>
      </c>
      <c r="I145" s="24">
        <f t="shared" si="57"/>
        <v>50.26108846207174</v>
      </c>
      <c r="J145" s="24">
        <f t="shared" si="58"/>
        <v>96.9706115000272</v>
      </c>
      <c r="K145" s="21">
        <v>21387450.19</v>
      </c>
      <c r="L145" s="21">
        <v>20908979.13</v>
      </c>
      <c r="M145" s="25">
        <f t="shared" si="59"/>
        <v>0.022883520856046807</v>
      </c>
      <c r="N145" s="10"/>
      <c r="R145" s="2"/>
    </row>
    <row r="146" spans="1:18" ht="15">
      <c r="A146" s="19"/>
      <c r="B146" s="20">
        <f>DATE(2018,12,1)</f>
        <v>43435</v>
      </c>
      <c r="C146" s="21">
        <v>480889</v>
      </c>
      <c r="D146" s="21">
        <v>489188</v>
      </c>
      <c r="E146" s="23">
        <f t="shared" si="55"/>
        <v>-0.016964847870348413</v>
      </c>
      <c r="F146" s="21">
        <f>+C146-230072</f>
        <v>250817</v>
      </c>
      <c r="G146" s="21">
        <f>+D146-242094</f>
        <v>247094</v>
      </c>
      <c r="H146" s="23">
        <f t="shared" si="56"/>
        <v>0.015067140440480142</v>
      </c>
      <c r="I146" s="24">
        <f t="shared" si="57"/>
        <v>47.909385949772194</v>
      </c>
      <c r="J146" s="24">
        <f t="shared" si="58"/>
        <v>91.85620073599476</v>
      </c>
      <c r="K146" s="21">
        <v>23039096.7</v>
      </c>
      <c r="L146" s="21">
        <v>22430640.24</v>
      </c>
      <c r="M146" s="25">
        <f t="shared" si="59"/>
        <v>0.02712612986030402</v>
      </c>
      <c r="N146" s="10"/>
      <c r="R146" s="2"/>
    </row>
    <row r="147" spans="1:18" ht="15">
      <c r="A147" s="19"/>
      <c r="B147" s="20">
        <f>DATE(2019,1,1)</f>
        <v>43466</v>
      </c>
      <c r="C147" s="21">
        <v>389075</v>
      </c>
      <c r="D147" s="21">
        <v>417488</v>
      </c>
      <c r="E147" s="23">
        <f t="shared" si="55"/>
        <v>-0.06805704595102134</v>
      </c>
      <c r="F147" s="21">
        <f>+C147-191824</f>
        <v>197251</v>
      </c>
      <c r="G147" s="21">
        <f>+D147-207200</f>
        <v>210288</v>
      </c>
      <c r="H147" s="23">
        <f t="shared" si="56"/>
        <v>-0.061995929392071825</v>
      </c>
      <c r="I147" s="24">
        <f t="shared" si="57"/>
        <v>48.97389277131658</v>
      </c>
      <c r="J147" s="24">
        <f t="shared" si="58"/>
        <v>96.60035857866373</v>
      </c>
      <c r="K147" s="21">
        <v>19054517.33</v>
      </c>
      <c r="L147" s="21">
        <v>20053049.41</v>
      </c>
      <c r="M147" s="25">
        <f t="shared" si="59"/>
        <v>-0.04979452549007617</v>
      </c>
      <c r="N147" s="10"/>
      <c r="R147" s="2"/>
    </row>
    <row r="148" spans="1:18" ht="15">
      <c r="A148" s="19"/>
      <c r="B148" s="20">
        <f>DATE(2019,2,1)</f>
        <v>43497</v>
      </c>
      <c r="C148" s="21">
        <v>399765</v>
      </c>
      <c r="D148" s="21">
        <v>430711</v>
      </c>
      <c r="E148" s="23">
        <f t="shared" si="55"/>
        <v>-0.07184864096807372</v>
      </c>
      <c r="F148" s="21">
        <f>+C148-193480</f>
        <v>206285</v>
      </c>
      <c r="G148" s="21">
        <f>+D148-217330</f>
        <v>213381</v>
      </c>
      <c r="H148" s="23">
        <f t="shared" si="56"/>
        <v>-0.03325506957039286</v>
      </c>
      <c r="I148" s="24">
        <f t="shared" si="57"/>
        <v>52.26084277012745</v>
      </c>
      <c r="J148" s="24">
        <f t="shared" si="58"/>
        <v>101.27762954165352</v>
      </c>
      <c r="K148" s="21">
        <v>20892055.81</v>
      </c>
      <c r="L148" s="21">
        <v>20531016.93</v>
      </c>
      <c r="M148" s="25">
        <f t="shared" si="59"/>
        <v>0.017585046139261012</v>
      </c>
      <c r="N148" s="10"/>
      <c r="R148" s="2"/>
    </row>
    <row r="149" spans="1:18" ht="15">
      <c r="A149" s="19"/>
      <c r="B149" s="20">
        <f>DATE(2019,3,1)</f>
        <v>43525</v>
      </c>
      <c r="C149" s="21">
        <v>488599</v>
      </c>
      <c r="D149" s="21">
        <v>521467</v>
      </c>
      <c r="E149" s="23">
        <f t="shared" si="55"/>
        <v>-0.06302987533247549</v>
      </c>
      <c r="F149" s="21">
        <f>+C149-235236</f>
        <v>253363</v>
      </c>
      <c r="G149" s="21">
        <f>+D149-260794</f>
        <v>260673</v>
      </c>
      <c r="H149" s="23">
        <f t="shared" si="56"/>
        <v>-0.028042796914141473</v>
      </c>
      <c r="I149" s="24">
        <f t="shared" si="57"/>
        <v>50.83484986665957</v>
      </c>
      <c r="J149" s="24">
        <f t="shared" si="58"/>
        <v>98.03269147428787</v>
      </c>
      <c r="K149" s="21">
        <v>24837856.81</v>
      </c>
      <c r="L149" s="21">
        <v>25571186.27</v>
      </c>
      <c r="M149" s="25">
        <f t="shared" si="59"/>
        <v>-0.02867796011717844</v>
      </c>
      <c r="N149" s="10"/>
      <c r="R149" s="2"/>
    </row>
    <row r="150" spans="1:18" ht="15" thickBot="1">
      <c r="A150" s="38"/>
      <c r="B150" s="45"/>
      <c r="C150" s="21"/>
      <c r="D150" s="21"/>
      <c r="E150" s="23"/>
      <c r="F150" s="21"/>
      <c r="G150" s="21"/>
      <c r="H150" s="23"/>
      <c r="I150" s="24"/>
      <c r="J150" s="24"/>
      <c r="K150" s="21"/>
      <c r="L150" s="21"/>
      <c r="M150" s="25"/>
      <c r="N150" s="10"/>
      <c r="R150" s="2"/>
    </row>
    <row r="151" spans="1:18" ht="16.5" thickBot="1" thickTop="1">
      <c r="A151" s="39" t="s">
        <v>14</v>
      </c>
      <c r="B151" s="40"/>
      <c r="C151" s="41">
        <f>SUM(C141:C150)</f>
        <v>3990246</v>
      </c>
      <c r="D151" s="41">
        <f>SUM(D141:D150)</f>
        <v>4173029</v>
      </c>
      <c r="E151" s="280">
        <f>(+C151-D151)/D151</f>
        <v>-0.043801037567675664</v>
      </c>
      <c r="F151" s="41">
        <f>SUM(F141:F150)</f>
        <v>2064472</v>
      </c>
      <c r="G151" s="41">
        <f>SUM(G141:G150)</f>
        <v>2115743</v>
      </c>
      <c r="H151" s="42">
        <f>(+F151-G151)/G151</f>
        <v>-0.024233094473194522</v>
      </c>
      <c r="I151" s="43">
        <f>K151/C151</f>
        <v>49.83308636610374</v>
      </c>
      <c r="J151" s="43">
        <f>K151/F151</f>
        <v>96.31822254794446</v>
      </c>
      <c r="K151" s="41">
        <f>SUM(K141:K150)</f>
        <v>198846273.54</v>
      </c>
      <c r="L151" s="41">
        <f>SUM(L141:L150)</f>
        <v>197694536.44</v>
      </c>
      <c r="M151" s="44">
        <f>(+K151-L151)/L151</f>
        <v>0.0058258418302295605</v>
      </c>
      <c r="N151" s="10"/>
      <c r="R151" s="2"/>
    </row>
    <row r="152" spans="1:18" ht="15.75" customHeight="1" thickTop="1">
      <c r="A152" s="19"/>
      <c r="B152" s="45"/>
      <c r="C152" s="21"/>
      <c r="D152" s="21"/>
      <c r="E152" s="23"/>
      <c r="F152" s="21"/>
      <c r="G152" s="21"/>
      <c r="H152" s="23"/>
      <c r="I152" s="24"/>
      <c r="J152" s="24"/>
      <c r="K152" s="21"/>
      <c r="L152" s="21"/>
      <c r="M152" s="25"/>
      <c r="N152" s="10"/>
      <c r="R152" s="2"/>
    </row>
    <row r="153" spans="1:18" ht="15">
      <c r="A153" s="19" t="s">
        <v>63</v>
      </c>
      <c r="B153" s="20">
        <f>DATE(2018,7,1)</f>
        <v>43282</v>
      </c>
      <c r="C153" s="21">
        <v>83462</v>
      </c>
      <c r="D153" s="21">
        <v>79906</v>
      </c>
      <c r="E153" s="23">
        <f aca="true" t="shared" si="60" ref="E153:E161">(+C153-D153)/D153</f>
        <v>0.044502290190974396</v>
      </c>
      <c r="F153" s="21">
        <f>+C153-37670</f>
        <v>45792</v>
      </c>
      <c r="G153" s="21">
        <f>+D153-36860</f>
        <v>43046</v>
      </c>
      <c r="H153" s="23">
        <f aca="true" t="shared" si="61" ref="H153:H161">(+F153-G153)/G153</f>
        <v>0.06379222227384658</v>
      </c>
      <c r="I153" s="24">
        <f aca="true" t="shared" si="62" ref="I153:I161">K153/C153</f>
        <v>43.09257506410103</v>
      </c>
      <c r="J153" s="24">
        <f aca="true" t="shared" si="63" ref="J153:J161">K153/F153</f>
        <v>78.5419396401118</v>
      </c>
      <c r="K153" s="21">
        <v>3596592.5</v>
      </c>
      <c r="L153" s="21">
        <v>3314806.15</v>
      </c>
      <c r="M153" s="25">
        <f aca="true" t="shared" si="64" ref="M153:M161">(+K153-L153)/L153</f>
        <v>0.08500839483479301</v>
      </c>
      <c r="N153" s="10"/>
      <c r="R153" s="2"/>
    </row>
    <row r="154" spans="1:18" ht="15">
      <c r="A154" s="19"/>
      <c r="B154" s="20">
        <f>DATE(2018,8,1)</f>
        <v>43313</v>
      </c>
      <c r="C154" s="21">
        <v>82775</v>
      </c>
      <c r="D154" s="21">
        <v>79783</v>
      </c>
      <c r="E154" s="23">
        <f t="shared" si="60"/>
        <v>0.03750172342478974</v>
      </c>
      <c r="F154" s="21">
        <f>+C154-37255</f>
        <v>45520</v>
      </c>
      <c r="G154" s="21">
        <f>+D154-35821</f>
        <v>43962</v>
      </c>
      <c r="H154" s="23">
        <f t="shared" si="61"/>
        <v>0.03543969792093171</v>
      </c>
      <c r="I154" s="24">
        <f t="shared" si="62"/>
        <v>43.96489386892178</v>
      </c>
      <c r="J154" s="24">
        <f t="shared" si="63"/>
        <v>79.94714608963093</v>
      </c>
      <c r="K154" s="21">
        <v>3639194.09</v>
      </c>
      <c r="L154" s="21">
        <v>3234719.93</v>
      </c>
      <c r="M154" s="25">
        <f t="shared" si="64"/>
        <v>0.12504147770221322</v>
      </c>
      <c r="N154" s="10"/>
      <c r="R154" s="2"/>
    </row>
    <row r="155" spans="1:18" ht="15">
      <c r="A155" s="19"/>
      <c r="B155" s="20">
        <f>DATE(2018,9,1)</f>
        <v>43344</v>
      </c>
      <c r="C155" s="21">
        <v>77092</v>
      </c>
      <c r="D155" s="21">
        <v>84353</v>
      </c>
      <c r="E155" s="23">
        <f t="shared" si="60"/>
        <v>-0.08607874053086434</v>
      </c>
      <c r="F155" s="21">
        <f>+C155-35421</f>
        <v>41671</v>
      </c>
      <c r="G155" s="21">
        <f>+D155-38205</f>
        <v>46148</v>
      </c>
      <c r="H155" s="23">
        <f t="shared" si="61"/>
        <v>-0.09701395510097946</v>
      </c>
      <c r="I155" s="24">
        <f t="shared" si="62"/>
        <v>44.389417838426816</v>
      </c>
      <c r="J155" s="24">
        <f t="shared" si="63"/>
        <v>82.12111540399799</v>
      </c>
      <c r="K155" s="21">
        <v>3422069</v>
      </c>
      <c r="L155" s="21">
        <v>3468398</v>
      </c>
      <c r="M155" s="25">
        <f t="shared" si="64"/>
        <v>-0.0133574635898187</v>
      </c>
      <c r="N155" s="10"/>
      <c r="R155" s="2"/>
    </row>
    <row r="156" spans="1:18" ht="15">
      <c r="A156" s="19"/>
      <c r="B156" s="20">
        <f>DATE(2018,10,1)</f>
        <v>43374</v>
      </c>
      <c r="C156" s="21">
        <v>82223</v>
      </c>
      <c r="D156" s="21">
        <v>80014</v>
      </c>
      <c r="E156" s="23">
        <f t="shared" si="60"/>
        <v>0.027607668657984853</v>
      </c>
      <c r="F156" s="21">
        <f>+C156-37480</f>
        <v>44743</v>
      </c>
      <c r="G156" s="21">
        <f>+D156-36610</f>
        <v>43404</v>
      </c>
      <c r="H156" s="23">
        <f t="shared" si="61"/>
        <v>0.030849691272693762</v>
      </c>
      <c r="I156" s="24">
        <f t="shared" si="62"/>
        <v>41.2611183002323</v>
      </c>
      <c r="J156" s="24">
        <f t="shared" si="63"/>
        <v>75.8244402476365</v>
      </c>
      <c r="K156" s="21">
        <v>3392612.93</v>
      </c>
      <c r="L156" s="21">
        <v>3370291.8</v>
      </c>
      <c r="M156" s="25">
        <f t="shared" si="64"/>
        <v>0.00662290725093903</v>
      </c>
      <c r="N156" s="10"/>
      <c r="R156" s="2"/>
    </row>
    <row r="157" spans="1:18" ht="15">
      <c r="A157" s="19"/>
      <c r="B157" s="20">
        <f>DATE(2018,11,1)</f>
        <v>43405</v>
      </c>
      <c r="C157" s="21">
        <v>76303</v>
      </c>
      <c r="D157" s="21">
        <v>81471</v>
      </c>
      <c r="E157" s="23">
        <f t="shared" si="60"/>
        <v>-0.06343361441494519</v>
      </c>
      <c r="F157" s="21">
        <f>+C157-35181</f>
        <v>41122</v>
      </c>
      <c r="G157" s="21">
        <f>+D157-37675</f>
        <v>43796</v>
      </c>
      <c r="H157" s="23">
        <f t="shared" si="61"/>
        <v>-0.061055804183030415</v>
      </c>
      <c r="I157" s="24">
        <f t="shared" si="62"/>
        <v>44.11983604838604</v>
      </c>
      <c r="J157" s="24">
        <f t="shared" si="63"/>
        <v>81.86556709304023</v>
      </c>
      <c r="K157" s="21">
        <v>3366475.85</v>
      </c>
      <c r="L157" s="21">
        <v>3424537.07</v>
      </c>
      <c r="M157" s="25">
        <f t="shared" si="64"/>
        <v>-0.016954472623068945</v>
      </c>
      <c r="N157" s="10"/>
      <c r="R157" s="2"/>
    </row>
    <row r="158" spans="1:18" ht="15">
      <c r="A158" s="19"/>
      <c r="B158" s="20">
        <f>DATE(2018,12,1)</f>
        <v>43435</v>
      </c>
      <c r="C158" s="21">
        <v>85578</v>
      </c>
      <c r="D158" s="21">
        <v>87056</v>
      </c>
      <c r="E158" s="23">
        <f t="shared" si="60"/>
        <v>-0.016977577651167065</v>
      </c>
      <c r="F158" s="21">
        <f>+C158-40324</f>
        <v>45254</v>
      </c>
      <c r="G158" s="21">
        <f>+D158-40605</f>
        <v>46451</v>
      </c>
      <c r="H158" s="23">
        <f t="shared" si="61"/>
        <v>-0.025769090008826507</v>
      </c>
      <c r="I158" s="24">
        <f t="shared" si="62"/>
        <v>43.98300918460352</v>
      </c>
      <c r="J158" s="24">
        <f t="shared" si="63"/>
        <v>83.17448092986255</v>
      </c>
      <c r="K158" s="21">
        <v>3763977.96</v>
      </c>
      <c r="L158" s="21">
        <v>3766957.15</v>
      </c>
      <c r="M158" s="25">
        <f t="shared" si="64"/>
        <v>-0.0007908744064157842</v>
      </c>
      <c r="N158" s="10"/>
      <c r="R158" s="2"/>
    </row>
    <row r="159" spans="1:18" ht="15">
      <c r="A159" s="19"/>
      <c r="B159" s="20">
        <f>DATE(2019,1,1)</f>
        <v>43466</v>
      </c>
      <c r="C159" s="21">
        <v>73768</v>
      </c>
      <c r="D159" s="21">
        <v>80564</v>
      </c>
      <c r="E159" s="23">
        <f t="shared" si="60"/>
        <v>-0.08435529516905814</v>
      </c>
      <c r="F159" s="21">
        <f>+C159-34302</f>
        <v>39466</v>
      </c>
      <c r="G159" s="21">
        <f>+D159-37104</f>
        <v>43460</v>
      </c>
      <c r="H159" s="23">
        <f t="shared" si="61"/>
        <v>-0.09190059825126554</v>
      </c>
      <c r="I159" s="24">
        <f t="shared" si="62"/>
        <v>45.209043623251276</v>
      </c>
      <c r="J159" s="24">
        <f t="shared" si="63"/>
        <v>84.50262833831653</v>
      </c>
      <c r="K159" s="21">
        <v>3334980.73</v>
      </c>
      <c r="L159" s="21">
        <v>3247765.74</v>
      </c>
      <c r="M159" s="25">
        <f t="shared" si="64"/>
        <v>0.026853842605039535</v>
      </c>
      <c r="N159" s="10"/>
      <c r="R159" s="2"/>
    </row>
    <row r="160" spans="1:18" ht="15">
      <c r="A160" s="19"/>
      <c r="B160" s="20">
        <f>DATE(2019,2,1)</f>
        <v>43497</v>
      </c>
      <c r="C160" s="21">
        <v>79948</v>
      </c>
      <c r="D160" s="21">
        <v>82056</v>
      </c>
      <c r="E160" s="23">
        <f t="shared" si="60"/>
        <v>-0.02568977283806181</v>
      </c>
      <c r="F160" s="21">
        <f>+C160-38167</f>
        <v>41781</v>
      </c>
      <c r="G160" s="21">
        <f>+D160-38030</f>
        <v>44026</v>
      </c>
      <c r="H160" s="23">
        <f t="shared" si="61"/>
        <v>-0.05099259528460455</v>
      </c>
      <c r="I160" s="24">
        <f t="shared" si="62"/>
        <v>44.5241386901486</v>
      </c>
      <c r="J160" s="24">
        <f t="shared" si="63"/>
        <v>85.19699959311649</v>
      </c>
      <c r="K160" s="21">
        <v>3559615.84</v>
      </c>
      <c r="L160" s="21">
        <v>3559309.69</v>
      </c>
      <c r="M160" s="25">
        <f t="shared" si="64"/>
        <v>8.601386972874138E-05</v>
      </c>
      <c r="N160" s="10"/>
      <c r="R160" s="2"/>
    </row>
    <row r="161" spans="1:18" ht="15">
      <c r="A161" s="19"/>
      <c r="B161" s="20">
        <f>DATE(2019,3,1)</f>
        <v>43525</v>
      </c>
      <c r="C161" s="21">
        <v>51590</v>
      </c>
      <c r="D161" s="21">
        <v>100462</v>
      </c>
      <c r="E161" s="23">
        <f t="shared" si="60"/>
        <v>-0.4864724970635663</v>
      </c>
      <c r="F161" s="21">
        <f>+C161-24047</f>
        <v>27543</v>
      </c>
      <c r="G161" s="21">
        <f>+D161-46682</f>
        <v>53780</v>
      </c>
      <c r="H161" s="23">
        <f t="shared" si="61"/>
        <v>-0.4878579397545556</v>
      </c>
      <c r="I161" s="24">
        <f t="shared" si="62"/>
        <v>43.988143826322926</v>
      </c>
      <c r="J161" s="24">
        <f t="shared" si="63"/>
        <v>82.39292524416366</v>
      </c>
      <c r="K161" s="21">
        <v>2269348.34</v>
      </c>
      <c r="L161" s="21">
        <v>4392174.67</v>
      </c>
      <c r="M161" s="25">
        <f t="shared" si="64"/>
        <v>-0.48332010666597647</v>
      </c>
      <c r="N161" s="10"/>
      <c r="R161" s="2"/>
    </row>
    <row r="162" spans="1:18" ht="15" thickBot="1">
      <c r="A162" s="38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6.5" thickBot="1" thickTop="1">
      <c r="A163" s="26" t="s">
        <v>14</v>
      </c>
      <c r="B163" s="27"/>
      <c r="C163" s="28">
        <f>SUM(C153:C162)</f>
        <v>692739</v>
      </c>
      <c r="D163" s="28">
        <f>SUM(D153:D162)</f>
        <v>755665</v>
      </c>
      <c r="E163" s="280">
        <f>(+C163-D163)/D163</f>
        <v>-0.08327234951995924</v>
      </c>
      <c r="F163" s="28">
        <f>SUM(F153:F162)</f>
        <v>372892</v>
      </c>
      <c r="G163" s="28">
        <f>SUM(G153:G162)</f>
        <v>408073</v>
      </c>
      <c r="H163" s="42">
        <f>(+F163-G163)/G163</f>
        <v>-0.08621251589789082</v>
      </c>
      <c r="I163" s="43">
        <f>K163/C163</f>
        <v>43.80418489503262</v>
      </c>
      <c r="J163" s="43">
        <f>K163/F163</f>
        <v>81.37709374296044</v>
      </c>
      <c r="K163" s="28">
        <f>SUM(K153:K162)</f>
        <v>30344867.240000002</v>
      </c>
      <c r="L163" s="28">
        <f>SUM(L153:L162)</f>
        <v>31778960.199999996</v>
      </c>
      <c r="M163" s="44">
        <f>(+K163-L163)/L163</f>
        <v>-0.04512712030143748</v>
      </c>
      <c r="N163" s="10"/>
      <c r="R163" s="2"/>
    </row>
    <row r="164" spans="1:18" ht="15.75" thickBot="1" thickTop="1">
      <c r="A164" s="63"/>
      <c r="B164" s="34"/>
      <c r="C164" s="35"/>
      <c r="D164" s="35"/>
      <c r="E164" s="29"/>
      <c r="F164" s="35"/>
      <c r="G164" s="35"/>
      <c r="H164" s="29"/>
      <c r="I164" s="36"/>
      <c r="J164" s="36"/>
      <c r="K164" s="35"/>
      <c r="L164" s="35"/>
      <c r="M164" s="37"/>
      <c r="N164" s="10"/>
      <c r="R164" s="2"/>
    </row>
    <row r="165" spans="1:18" ht="16.5" thickBot="1" thickTop="1">
      <c r="A165" s="64" t="s">
        <v>20</v>
      </c>
      <c r="B165" s="65"/>
      <c r="C165" s="28">
        <f>C163+C151+C67+C91+C103+C43+C19+C115+C127+C55+C139+C31+C79</f>
        <v>28426164</v>
      </c>
      <c r="D165" s="28">
        <f>D163+D151+D67+D91+D103+D43+D19+D115+D127+D55+D139+D31+D79</f>
        <v>29942877</v>
      </c>
      <c r="E165" s="279">
        <f>(+C165-D165)/D165</f>
        <v>-0.050653549423457206</v>
      </c>
      <c r="F165" s="28">
        <f>F163+F151+F67+F91+F103+F43+F19+F115+F127+F55+F139+F31+F79</f>
        <v>14865188</v>
      </c>
      <c r="G165" s="28">
        <f>G163+G151+G67+G91+G103+G43+G19+G115+G127+G55+G139+G31+G79</f>
        <v>15454751</v>
      </c>
      <c r="H165" s="30">
        <f>(+F165-G165)/G165</f>
        <v>-0.03814768675341324</v>
      </c>
      <c r="I165" s="31">
        <f>K165/C165</f>
        <v>45.75927839436936</v>
      </c>
      <c r="J165" s="31">
        <f>K165/F165</f>
        <v>87.50382115315327</v>
      </c>
      <c r="K165" s="28">
        <f>K163+K151+K67+K91+K103+K43+K19+K115+K127+K55+K139+K31+K79</f>
        <v>1300760752.16</v>
      </c>
      <c r="L165" s="28">
        <f>L163+L151+L67+L91+L103+L43+L19+L115+L127+L55+L139+L31+L79</f>
        <v>1304183002.0399997</v>
      </c>
      <c r="M165" s="32">
        <f>(+K165-L165)/L165</f>
        <v>-0.0026240564971683907</v>
      </c>
      <c r="N165" s="10"/>
      <c r="R165" s="2"/>
    </row>
    <row r="166" spans="1:18" ht="16.5" thickBot="1" thickTop="1">
      <c r="A166" s="64"/>
      <c r="B166" s="65"/>
      <c r="C166" s="28"/>
      <c r="D166" s="28"/>
      <c r="E166" s="29"/>
      <c r="F166" s="28"/>
      <c r="G166" s="28"/>
      <c r="H166" s="30"/>
      <c r="I166" s="31"/>
      <c r="J166" s="31"/>
      <c r="K166" s="28"/>
      <c r="L166" s="28"/>
      <c r="M166" s="32"/>
      <c r="N166" s="10"/>
      <c r="R166" s="2"/>
    </row>
    <row r="167" spans="1:18" ht="16.5" thickBot="1" thickTop="1">
      <c r="A167" s="64" t="s">
        <v>21</v>
      </c>
      <c r="B167" s="65"/>
      <c r="C167" s="28">
        <f>+C17+C29+C41+C53+C65+C77+C89+C101+C113+C125+C137+C149+C161</f>
        <v>3499530</v>
      </c>
      <c r="D167" s="28">
        <f>+D17+D29+D41+D53+D65+D77+D89+D101+D113+D125+D137+D149+D161</f>
        <v>3786284</v>
      </c>
      <c r="E167" s="279">
        <f>(+C167-D167)/D167</f>
        <v>-0.07573494222831674</v>
      </c>
      <c r="F167" s="28">
        <f>+F17+F29+F41+F53+F65+F77+F89+F101+F113+F125+F137+F149+F161</f>
        <v>1807965</v>
      </c>
      <c r="G167" s="28">
        <f>+G17+G29+G41+G53+G65+G77+G89+G101+G113+G125+G137+G149+G161</f>
        <v>1935097</v>
      </c>
      <c r="H167" s="30">
        <f>(+F167-G167)/G167</f>
        <v>-0.06569799860162048</v>
      </c>
      <c r="I167" s="31">
        <f>K167/C167</f>
        <v>47.55506797769986</v>
      </c>
      <c r="J167" s="31">
        <f>K167/F167</f>
        <v>92.04845615927299</v>
      </c>
      <c r="K167" s="28">
        <f>+K17+K29+K41+K53+K65+K77+K89+K101+K113+K125+K137+K149+K161</f>
        <v>166420387.04</v>
      </c>
      <c r="L167" s="28">
        <f>+L17+L29+L41+L53+L65+L77+L89+L101+L113+L125+L137+L149+L161</f>
        <v>168367588.56</v>
      </c>
      <c r="M167" s="44">
        <f>(+K167-L167)/L167</f>
        <v>-0.011565180309665716</v>
      </c>
      <c r="N167" s="10"/>
      <c r="R167" s="2"/>
    </row>
    <row r="168" spans="1:18" ht="15" thickTop="1">
      <c r="A168" s="66"/>
      <c r="B168" s="67"/>
      <c r="C168" s="68"/>
      <c r="D168" s="67"/>
      <c r="E168" s="67"/>
      <c r="F168" s="67"/>
      <c r="G168" s="67"/>
      <c r="H168" s="67"/>
      <c r="I168" s="67"/>
      <c r="J168" s="67"/>
      <c r="K168" s="68"/>
      <c r="L168" s="68"/>
      <c r="M168" s="67"/>
      <c r="R168" s="2"/>
    </row>
    <row r="169" spans="1:18" ht="17.25">
      <c r="A169" s="264" t="s">
        <v>22</v>
      </c>
      <c r="B169" s="70"/>
      <c r="C169" s="71"/>
      <c r="D169" s="71"/>
      <c r="E169" s="71"/>
      <c r="F169" s="71"/>
      <c r="G169" s="71"/>
      <c r="H169" s="71"/>
      <c r="I169" s="71"/>
      <c r="J169" s="71"/>
      <c r="K169" s="198"/>
      <c r="L169" s="198"/>
      <c r="M169" s="71"/>
      <c r="N169" s="2"/>
      <c r="O169" s="2"/>
      <c r="P169" s="2"/>
      <c r="Q169" s="2"/>
      <c r="R169" s="2"/>
    </row>
    <row r="170" spans="1:18" ht="17.25">
      <c r="A170" s="69"/>
      <c r="B170" s="70"/>
      <c r="C170" s="71"/>
      <c r="D170" s="71"/>
      <c r="E170" s="71"/>
      <c r="F170" s="71"/>
      <c r="G170" s="71"/>
      <c r="H170" s="71"/>
      <c r="I170" s="71"/>
      <c r="J170" s="71"/>
      <c r="K170" s="198"/>
      <c r="L170" s="198"/>
      <c r="M170" s="71"/>
      <c r="N170" s="2"/>
      <c r="O170" s="2"/>
      <c r="P170" s="2"/>
      <c r="Q170" s="2"/>
      <c r="R170" s="2"/>
    </row>
    <row r="171" spans="1:18" ht="15">
      <c r="A171" s="72"/>
      <c r="B171" s="73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73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73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73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73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73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73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73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73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73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4"/>
      <c r="N180" s="2"/>
      <c r="O180" s="2"/>
      <c r="P180" s="2"/>
      <c r="Q180" s="2"/>
      <c r="R180" s="2"/>
    </row>
    <row r="181" spans="1:18" ht="15">
      <c r="A181" s="2"/>
      <c r="B181" s="73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4"/>
      <c r="N181" s="2"/>
      <c r="O181" s="2"/>
      <c r="P181" s="2"/>
      <c r="Q181" s="2"/>
      <c r="R181" s="2"/>
    </row>
    <row r="182" spans="1:18" ht="15">
      <c r="A182" s="2"/>
      <c r="B182" s="70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4"/>
      <c r="N182" s="2"/>
      <c r="O182" s="2"/>
      <c r="P182" s="2"/>
      <c r="Q182" s="2"/>
      <c r="R182" s="2"/>
    </row>
    <row r="183" spans="1:18" ht="15">
      <c r="A183" s="76"/>
      <c r="B183" s="70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76"/>
      <c r="B184" s="70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76"/>
      <c r="B185" s="70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70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76"/>
      <c r="B187" s="73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73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73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77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77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77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77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77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77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76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76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76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76"/>
      <c r="B205" s="77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77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77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77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77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77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77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77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77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76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76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76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76"/>
      <c r="B230" s="76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6" r:id="rId1"/>
  <rowBreaks count="3" manualBreakCount="3">
    <brk id="55" max="12" man="1"/>
    <brk id="103" max="12" man="1"/>
    <brk id="1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2.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2.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2.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2.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3.25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5.7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5.7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">
      <c r="A10" s="88">
        <f>DATE(2018,7,1)</f>
        <v>43282</v>
      </c>
      <c r="B10" s="89">
        <f>'MONTHLY STATS'!$C$9*2</f>
        <v>522912</v>
      </c>
      <c r="C10" s="89">
        <f>'MONTHLY STATS'!$C$21*2</f>
        <v>284956</v>
      </c>
      <c r="D10" s="89">
        <f>'MONTHLY STATS'!$C$33*2</f>
        <v>145820</v>
      </c>
      <c r="E10" s="89">
        <f>'MONTHLY STATS'!$C$45*2</f>
        <v>931784</v>
      </c>
      <c r="F10" s="89">
        <f>'MONTHLY STATS'!$C$57*2</f>
        <v>578334</v>
      </c>
      <c r="G10" s="89">
        <f>'MONTHLY STATS'!$C$69*2</f>
        <v>258320</v>
      </c>
      <c r="H10" s="89">
        <f>'MONTHLY STATS'!$C$81*2</f>
        <v>328480</v>
      </c>
      <c r="I10" s="89">
        <f>'MONTHLY STATS'!$C$93*2</f>
        <v>776692</v>
      </c>
      <c r="J10" s="89">
        <f>'MONTHLY STATS'!$C$105*2</f>
        <v>827460</v>
      </c>
      <c r="K10" s="89">
        <f>'MONTHLY STATS'!$C$117*2</f>
        <v>874342</v>
      </c>
      <c r="L10" s="89">
        <f>'MONTHLY STATS'!$C$129*2</f>
        <v>127868</v>
      </c>
      <c r="M10" s="89">
        <f>'MONTHLY STATS'!$C$141*2</f>
        <v>940588</v>
      </c>
      <c r="N10" s="89">
        <f>'MONTHLY STATS'!$C$153*2</f>
        <v>166924</v>
      </c>
      <c r="O10" s="90">
        <f aca="true" t="shared" si="0" ref="O10:O15">SUM(B10:N10)</f>
        <v>6764480</v>
      </c>
      <c r="P10" s="83"/>
    </row>
    <row r="11" spans="1:16" ht="15">
      <c r="A11" s="88">
        <f>DATE(2018,8,1)</f>
        <v>43313</v>
      </c>
      <c r="B11" s="89">
        <f>'MONTHLY STATS'!$C$10*2</f>
        <v>532734</v>
      </c>
      <c r="C11" s="89">
        <f>'MONTHLY STATS'!$C$22*2</f>
        <v>275588</v>
      </c>
      <c r="D11" s="89">
        <f>'MONTHLY STATS'!$C$34*2</f>
        <v>141148</v>
      </c>
      <c r="E11" s="89">
        <f>'MONTHLY STATS'!$C$46*2</f>
        <v>909144</v>
      </c>
      <c r="F11" s="89">
        <f>'MONTHLY STATS'!$C$58*2</f>
        <v>584264</v>
      </c>
      <c r="G11" s="89">
        <f>'MONTHLY STATS'!$C$70*2</f>
        <v>241720</v>
      </c>
      <c r="H11" s="89">
        <f>'MONTHLY STATS'!$C$82*2</f>
        <v>322250</v>
      </c>
      <c r="I11" s="89">
        <f>'MONTHLY STATS'!$C$94*2</f>
        <v>749962</v>
      </c>
      <c r="J11" s="89">
        <f>'MONTHLY STATS'!$C$106*2</f>
        <v>811314</v>
      </c>
      <c r="K11" s="89">
        <f>'MONTHLY STATS'!$C$118*2</f>
        <v>856870</v>
      </c>
      <c r="L11" s="89">
        <f>'MONTHLY STATS'!$C$130*2</f>
        <v>122008</v>
      </c>
      <c r="M11" s="89">
        <f>'MONTHLY STATS'!$C$142*2</f>
        <v>949540</v>
      </c>
      <c r="N11" s="89">
        <f>'MONTHLY STATS'!$C$154*2</f>
        <v>165550</v>
      </c>
      <c r="O11" s="90">
        <f t="shared" si="0"/>
        <v>6662092</v>
      </c>
      <c r="P11" s="83"/>
    </row>
    <row r="12" spans="1:16" ht="15">
      <c r="A12" s="88">
        <f>DATE(2018,9,1)</f>
        <v>43344</v>
      </c>
      <c r="B12" s="89">
        <f>'MONTHLY STATS'!$C$11*2</f>
        <v>527226</v>
      </c>
      <c r="C12" s="89">
        <f>'MONTHLY STATS'!$C$23*2</f>
        <v>274524</v>
      </c>
      <c r="D12" s="89">
        <f>'MONTHLY STATS'!$C$35*2</f>
        <v>136402</v>
      </c>
      <c r="E12" s="89">
        <f>'MONTHLY STATS'!$C$47*2</f>
        <v>801390</v>
      </c>
      <c r="F12" s="89">
        <f>'MONTHLY STATS'!$C$59*2</f>
        <v>585910</v>
      </c>
      <c r="G12" s="89">
        <f>'MONTHLY STATS'!$C$71*2</f>
        <v>259142</v>
      </c>
      <c r="H12" s="89">
        <f>'MONTHLY STATS'!$C$83*2</f>
        <v>308386</v>
      </c>
      <c r="I12" s="89">
        <f>'MONTHLY STATS'!$C$95*2</f>
        <v>720672</v>
      </c>
      <c r="J12" s="89">
        <f>'MONTHLY STATS'!$C$107*2</f>
        <v>773024</v>
      </c>
      <c r="K12" s="89">
        <f>'MONTHLY STATS'!$C$119*2</f>
        <v>860976</v>
      </c>
      <c r="L12" s="89">
        <f>'MONTHLY STATS'!$C$131*2</f>
        <v>114782</v>
      </c>
      <c r="M12" s="89">
        <f>'MONTHLY STATS'!$C$143*2</f>
        <v>878080</v>
      </c>
      <c r="N12" s="89">
        <f>'MONTHLY STATS'!$C$155*2</f>
        <v>154184</v>
      </c>
      <c r="O12" s="90">
        <f t="shared" si="0"/>
        <v>6394698</v>
      </c>
      <c r="P12" s="83"/>
    </row>
    <row r="13" spans="1:16" ht="15">
      <c r="A13" s="88">
        <f>DATE(2018,10,1)</f>
        <v>43374</v>
      </c>
      <c r="B13" s="89">
        <f>'MONTHLY STATS'!$C$12*2</f>
        <v>528486</v>
      </c>
      <c r="C13" s="89">
        <f>'MONTHLY STATS'!$C$24*2</f>
        <v>239874</v>
      </c>
      <c r="D13" s="89">
        <f>'MONTHLY STATS'!$C$36*2</f>
        <v>125608</v>
      </c>
      <c r="E13" s="89">
        <f>'MONTHLY STATS'!$C$48*2</f>
        <v>770770</v>
      </c>
      <c r="F13" s="89">
        <f>'MONTHLY STATS'!$C$60*2</f>
        <v>566214</v>
      </c>
      <c r="G13" s="89">
        <f>'MONTHLY STATS'!$C$72*2</f>
        <v>232470</v>
      </c>
      <c r="H13" s="89">
        <f>'MONTHLY STATS'!$C$84*2</f>
        <v>306350</v>
      </c>
      <c r="I13" s="89">
        <f>'MONTHLY STATS'!$C$96*2</f>
        <v>667538</v>
      </c>
      <c r="J13" s="89">
        <f>'MONTHLY STATS'!$C$108*2</f>
        <v>707714</v>
      </c>
      <c r="K13" s="89">
        <f>'MONTHLY STATS'!$C$120*2</f>
        <v>814702</v>
      </c>
      <c r="L13" s="89">
        <f>'MONTHLY STATS'!$C$132*2</f>
        <v>109940</v>
      </c>
      <c r="M13" s="89">
        <f>'MONTHLY STATS'!$C$144*2</f>
        <v>844574</v>
      </c>
      <c r="N13" s="89">
        <f>'MONTHLY STATS'!$C$156*2</f>
        <v>164446</v>
      </c>
      <c r="O13" s="90">
        <f t="shared" si="0"/>
        <v>6078686</v>
      </c>
      <c r="P13" s="83"/>
    </row>
    <row r="14" spans="1:16" ht="15">
      <c r="A14" s="88">
        <f>DATE(2018,11,1)</f>
        <v>43405</v>
      </c>
      <c r="B14" s="89">
        <f>'MONTHLY STATS'!$C$13*2</f>
        <v>505736</v>
      </c>
      <c r="C14" s="89">
        <f>'MONTHLY STATS'!$C$25*2</f>
        <v>226774</v>
      </c>
      <c r="D14" s="89">
        <f>'MONTHLY STATS'!$C$37*2</f>
        <v>123920</v>
      </c>
      <c r="E14" s="89">
        <f>'MONTHLY STATS'!$C$49*2</f>
        <v>748692</v>
      </c>
      <c r="F14" s="89">
        <f>'MONTHLY STATS'!$C$61*2</f>
        <v>541974</v>
      </c>
      <c r="G14" s="89">
        <f>'MONTHLY STATS'!$C$73*2</f>
        <v>234588</v>
      </c>
      <c r="H14" s="89">
        <f>'MONTHLY STATS'!$C$85*2</f>
        <v>278218</v>
      </c>
      <c r="I14" s="89">
        <f>'MONTHLY STATS'!$C$97*2</f>
        <v>656318</v>
      </c>
      <c r="J14" s="89">
        <f>'MONTHLY STATS'!$C$109*2</f>
        <v>686024</v>
      </c>
      <c r="K14" s="89">
        <f>'MONTHLY STATS'!$C$121*2</f>
        <v>823882</v>
      </c>
      <c r="L14" s="89">
        <f>'MONTHLY STATS'!$C$133*2</f>
        <v>98056</v>
      </c>
      <c r="M14" s="89">
        <f>'MONTHLY STATS'!$C$145*2</f>
        <v>851054</v>
      </c>
      <c r="N14" s="89">
        <f>'MONTHLY STATS'!$C$157*2</f>
        <v>152606</v>
      </c>
      <c r="O14" s="90">
        <f t="shared" si="0"/>
        <v>5927842</v>
      </c>
      <c r="P14" s="83"/>
    </row>
    <row r="15" spans="1:16" ht="15">
      <c r="A15" s="88">
        <f>DATE(2018,12,1)</f>
        <v>43435</v>
      </c>
      <c r="B15" s="89">
        <f>'MONTHLY STATS'!$C$14*2</f>
        <v>575366</v>
      </c>
      <c r="C15" s="89">
        <f>'MONTHLY STATS'!$C$26*2</f>
        <v>261914</v>
      </c>
      <c r="D15" s="89">
        <f>'MONTHLY STATS'!$C$38*2</f>
        <v>135604</v>
      </c>
      <c r="E15" s="89">
        <f>'MONTHLY STATS'!$C$50*2</f>
        <v>824096</v>
      </c>
      <c r="F15" s="89">
        <f>'MONTHLY STATS'!$C$62*2</f>
        <v>614368</v>
      </c>
      <c r="G15" s="89">
        <f>'MONTHLY STATS'!$C$74*2</f>
        <v>282812</v>
      </c>
      <c r="H15" s="89">
        <f>'MONTHLY STATS'!$C$86*2</f>
        <v>319492</v>
      </c>
      <c r="I15" s="89">
        <f>'MONTHLY STATS'!$C$98*2</f>
        <v>718608</v>
      </c>
      <c r="J15" s="89">
        <f>'MONTHLY STATS'!$C$110*2</f>
        <v>808174</v>
      </c>
      <c r="K15" s="89">
        <f>'MONTHLY STATS'!$C$122*2</f>
        <v>945840</v>
      </c>
      <c r="L15" s="89">
        <f>'MONTHLY STATS'!$C$134*2</f>
        <v>116294</v>
      </c>
      <c r="M15" s="89">
        <f>'MONTHLY STATS'!$C$146*2</f>
        <v>961778</v>
      </c>
      <c r="N15" s="89">
        <f>'MONTHLY STATS'!$C$158*2</f>
        <v>171156</v>
      </c>
      <c r="O15" s="90">
        <f t="shared" si="0"/>
        <v>6735502</v>
      </c>
      <c r="P15" s="83"/>
    </row>
    <row r="16" spans="1:16" ht="15">
      <c r="A16" s="88">
        <f>DATE(2019,1,1)</f>
        <v>43466</v>
      </c>
      <c r="B16" s="89">
        <f>'MONTHLY STATS'!$C$15*2</f>
        <v>478572</v>
      </c>
      <c r="C16" s="89">
        <f>'MONTHLY STATS'!$C$27*2</f>
        <v>211408</v>
      </c>
      <c r="D16" s="89">
        <f>'MONTHLY STATS'!$C$39*2</f>
        <v>117486</v>
      </c>
      <c r="E16" s="89">
        <f>'MONTHLY STATS'!$C$51*2</f>
        <v>688058</v>
      </c>
      <c r="F16" s="89">
        <f>'MONTHLY STATS'!$C$63*2</f>
        <v>540938</v>
      </c>
      <c r="G16" s="89">
        <f>'MONTHLY STATS'!$C$75*2</f>
        <v>218668</v>
      </c>
      <c r="H16" s="89">
        <f>'MONTHLY STATS'!$C$87*2</f>
        <v>278602</v>
      </c>
      <c r="I16" s="89">
        <f>'MONTHLY STATS'!$C$99*2</f>
        <v>592116</v>
      </c>
      <c r="J16" s="89">
        <f>'MONTHLY STATS'!$C$111*2</f>
        <v>681682</v>
      </c>
      <c r="K16" s="89">
        <f>'MONTHLY STATS'!$C$123*2</f>
        <v>701034</v>
      </c>
      <c r="L16" s="89">
        <f>'MONTHLY STATS'!$C$135*2</f>
        <v>83514</v>
      </c>
      <c r="M16" s="89">
        <f>'MONTHLY STATS'!$C$147*2</f>
        <v>778150</v>
      </c>
      <c r="N16" s="89">
        <f>'MONTHLY STATS'!$C$159*2</f>
        <v>147536</v>
      </c>
      <c r="O16" s="90">
        <f>SUM(B16:N16)</f>
        <v>5517764</v>
      </c>
      <c r="P16" s="83"/>
    </row>
    <row r="17" spans="1:16" ht="15">
      <c r="A17" s="88">
        <f>DATE(2019,2,1)</f>
        <v>43497</v>
      </c>
      <c r="B17" s="89">
        <f>'MONTHLY STATS'!$C$16*2</f>
        <v>472816</v>
      </c>
      <c r="C17" s="89">
        <f>'MONTHLY STATS'!$C$28*2</f>
        <v>238666</v>
      </c>
      <c r="D17" s="89">
        <f>'MONTHLY STATS'!$C$40*2</f>
        <v>123136</v>
      </c>
      <c r="E17" s="89">
        <f>'MONTHLY STATS'!$C$52*2</f>
        <v>768642</v>
      </c>
      <c r="F17" s="89">
        <f>'MONTHLY STATS'!$C$64*2</f>
        <v>516124</v>
      </c>
      <c r="G17" s="89">
        <f>'MONTHLY STATS'!$C$76*2</f>
        <v>243736</v>
      </c>
      <c r="H17" s="89">
        <f>'MONTHLY STATS'!$C$88*2</f>
        <v>284426</v>
      </c>
      <c r="I17" s="89">
        <f>'MONTHLY STATS'!$C$100*2</f>
        <v>596530</v>
      </c>
      <c r="J17" s="89">
        <f>'MONTHLY STATS'!$C$112*2</f>
        <v>686888</v>
      </c>
      <c r="K17" s="89">
        <f>'MONTHLY STATS'!$C$124*2</f>
        <v>784330</v>
      </c>
      <c r="L17" s="89">
        <f>'MONTHLY STATS'!$C$136*2</f>
        <v>97484</v>
      </c>
      <c r="M17" s="89">
        <f>'MONTHLY STATS'!$C$148*2</f>
        <v>799530</v>
      </c>
      <c r="N17" s="89">
        <f>'MONTHLY STATS'!$C$160*2</f>
        <v>159896</v>
      </c>
      <c r="O17" s="90">
        <f>SUM(B17:N17)</f>
        <v>5772204</v>
      </c>
      <c r="P17" s="83"/>
    </row>
    <row r="18" spans="1:16" ht="15">
      <c r="A18" s="88">
        <f>DATE(2019,3,1)</f>
        <v>43525</v>
      </c>
      <c r="B18" s="89">
        <f>'MONTHLY STATS'!$C$17*2</f>
        <v>584118</v>
      </c>
      <c r="C18" s="89">
        <f>'MONTHLY STATS'!$C$29*2</f>
        <v>294450</v>
      </c>
      <c r="D18" s="89">
        <f>'MONTHLY STATS'!$C$41*2</f>
        <v>149494</v>
      </c>
      <c r="E18" s="89">
        <f>'MONTHLY STATS'!$C$53*2</f>
        <v>932366</v>
      </c>
      <c r="F18" s="89">
        <f>'MONTHLY STATS'!$C$65*2</f>
        <v>642176</v>
      </c>
      <c r="G18" s="89">
        <f>'MONTHLY STATS'!$C$77*2</f>
        <v>285490</v>
      </c>
      <c r="H18" s="89">
        <f>'MONTHLY STATS'!$C$89*2</f>
        <v>349722</v>
      </c>
      <c r="I18" s="89">
        <f>'MONTHLY STATS'!$C$101*2</f>
        <v>750876</v>
      </c>
      <c r="J18" s="89">
        <f>'MONTHLY STATS'!$C$113*2</f>
        <v>867654</v>
      </c>
      <c r="K18" s="89">
        <f>'MONTHLY STATS'!$C$125*2</f>
        <v>938980</v>
      </c>
      <c r="L18" s="89">
        <f>'MONTHLY STATS'!$C$137*2</f>
        <v>123356</v>
      </c>
      <c r="M18" s="89">
        <f>'MONTHLY STATS'!$C$149*2</f>
        <v>977198</v>
      </c>
      <c r="N18" s="89">
        <f>'MONTHLY STATS'!$C$161*2</f>
        <v>103180</v>
      </c>
      <c r="O18" s="90">
        <f>SUM(B18:N18)</f>
        <v>6999060</v>
      </c>
      <c r="P18" s="83"/>
    </row>
    <row r="19" spans="1:16" ht="1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">
      <c r="A23" s="91" t="s">
        <v>29</v>
      </c>
      <c r="B23" s="90">
        <f aca="true" t="shared" si="1" ref="B23:O23">SUM(B10:B21)</f>
        <v>4727966</v>
      </c>
      <c r="C23" s="90">
        <f t="shared" si="1"/>
        <v>2308154</v>
      </c>
      <c r="D23" s="90">
        <f t="shared" si="1"/>
        <v>1198618</v>
      </c>
      <c r="E23" s="90">
        <f t="shared" si="1"/>
        <v>7374942</v>
      </c>
      <c r="F23" s="90">
        <f t="shared" si="1"/>
        <v>5170302</v>
      </c>
      <c r="G23" s="90">
        <f>SUM(G10:G21)</f>
        <v>2256946</v>
      </c>
      <c r="H23" s="90">
        <f t="shared" si="1"/>
        <v>2775926</v>
      </c>
      <c r="I23" s="90">
        <f>SUM(I10:I21)</f>
        <v>6229312</v>
      </c>
      <c r="J23" s="90">
        <f t="shared" si="1"/>
        <v>6849934</v>
      </c>
      <c r="K23" s="90">
        <f>SUM(K10:K21)</f>
        <v>7600956</v>
      </c>
      <c r="L23" s="90">
        <f t="shared" si="1"/>
        <v>993302</v>
      </c>
      <c r="M23" s="90">
        <f t="shared" si="1"/>
        <v>7980492</v>
      </c>
      <c r="N23" s="90">
        <f t="shared" si="1"/>
        <v>1385478</v>
      </c>
      <c r="O23" s="90">
        <f t="shared" si="1"/>
        <v>56852328</v>
      </c>
      <c r="P23" s="83"/>
    </row>
    <row r="24" spans="1:16" ht="15.7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3.25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5.7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5.7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">
      <c r="A31" s="88">
        <f>DATE(2018,7,1)</f>
        <v>43282</v>
      </c>
      <c r="B31" s="89">
        <f>'MONTHLY STATS'!$K$9*0.21</f>
        <v>2808760.5189</v>
      </c>
      <c r="C31" s="89">
        <f>'MONTHLY STATS'!$K$21*0.21</f>
        <v>1548718.5546</v>
      </c>
      <c r="D31" s="89">
        <f>'MONTHLY STATS'!$K$33*0.21</f>
        <v>685642.4085</v>
      </c>
      <c r="E31" s="89">
        <f>'MONTHLY STATS'!$K$45*0.21</f>
        <v>4237819.6182</v>
      </c>
      <c r="F31" s="89">
        <f>'MONTHLY STATS'!$K$57*0.21</f>
        <v>3127962.4383</v>
      </c>
      <c r="G31" s="89">
        <f>'MONTHLY STATS'!$K$69*0.21</f>
        <v>1095967.4355</v>
      </c>
      <c r="H31" s="89">
        <f>'MONTHLY STATS'!$K$81*0.21</f>
        <v>1213029.2600999998</v>
      </c>
      <c r="I31" s="89">
        <f>'MONTHLY STATS'!$K$93*0.21</f>
        <v>2819522.3153999997</v>
      </c>
      <c r="J31" s="89">
        <f>'MONTHLY STATS'!$K$105*0.21</f>
        <v>3701990.1891</v>
      </c>
      <c r="K31" s="89">
        <f>'MONTHLY STATS'!$K$117*0.21</f>
        <v>4113304.1313</v>
      </c>
      <c r="L31" s="89">
        <f>'MONTHLY STATS'!$K$129*0.21</f>
        <v>592155.4359</v>
      </c>
      <c r="M31" s="89">
        <f>'MONTHLY STATS'!$K$141*0.21</f>
        <v>4918106.7138</v>
      </c>
      <c r="N31" s="89">
        <f>'MONTHLY STATS'!$K$153*0.21</f>
        <v>755284.4249999999</v>
      </c>
      <c r="O31" s="90">
        <f aca="true" t="shared" si="2" ref="O31:O36">SUM(B31:N31)</f>
        <v>31618263.444599997</v>
      </c>
      <c r="P31" s="83"/>
    </row>
    <row r="32" spans="1:16" ht="15">
      <c r="A32" s="88">
        <f>DATE(2018,8,1)</f>
        <v>43313</v>
      </c>
      <c r="B32" s="89">
        <f>'MONTHLY STATS'!$K$10*0.21</f>
        <v>2931159.3863999997</v>
      </c>
      <c r="C32" s="89">
        <f>'MONTHLY STATS'!$K$22*0.21</f>
        <v>1490706.2645999999</v>
      </c>
      <c r="D32" s="89">
        <f>'MONTHLY STATS'!$K$34*0.21</f>
        <v>656176.9746</v>
      </c>
      <c r="E32" s="89">
        <f>'MONTHLY STATS'!$K$46*0.21</f>
        <v>4286184.1554</v>
      </c>
      <c r="F32" s="89">
        <f>'MONTHLY STATS'!$K$58*0.21</f>
        <v>3063779.8274999997</v>
      </c>
      <c r="G32" s="89">
        <f>'MONTHLY STATS'!$K$70*0.21</f>
        <v>1105283.0607</v>
      </c>
      <c r="H32" s="89">
        <f>'MONTHLY STATS'!$K$82*0.21</f>
        <v>1168175.9922</v>
      </c>
      <c r="I32" s="89">
        <f>'MONTHLY STATS'!$K$94*0.21</f>
        <v>2941388.9526</v>
      </c>
      <c r="J32" s="89">
        <f>'MONTHLY STATS'!$K$106*0.21</f>
        <v>3737886.2913</v>
      </c>
      <c r="K32" s="89">
        <f>'MONTHLY STATS'!$K$118*0.21</f>
        <v>4005327.3666</v>
      </c>
      <c r="L32" s="89">
        <f>'MONTHLY STATS'!$K$130*0.21</f>
        <v>583714.4480999999</v>
      </c>
      <c r="M32" s="89">
        <f>'MONTHLY STATS'!$K$142*0.21</f>
        <v>4995318.575099999</v>
      </c>
      <c r="N32" s="89">
        <f>'MONTHLY STATS'!$K$154*0.21</f>
        <v>764230.7588999999</v>
      </c>
      <c r="O32" s="90">
        <f t="shared" si="2"/>
        <v>31729332.053999998</v>
      </c>
      <c r="P32" s="83"/>
    </row>
    <row r="33" spans="1:16" ht="15">
      <c r="A33" s="88">
        <f>DATE(2018,9,1)</f>
        <v>43344</v>
      </c>
      <c r="B33" s="89">
        <f>'MONTHLY STATS'!$K$11*0.21</f>
        <v>2842581.483</v>
      </c>
      <c r="C33" s="89">
        <f>'MONTHLY STATS'!$K$23*0.21</f>
        <v>1368145.2162</v>
      </c>
      <c r="D33" s="89">
        <f>'MONTHLY STATS'!$K$35*0.21</f>
        <v>656634.2244</v>
      </c>
      <c r="E33" s="89">
        <f>'MONTHLY STATS'!$K$47*0.21</f>
        <v>4079116.23</v>
      </c>
      <c r="F33" s="89">
        <f>'MONTHLY STATS'!$K$59*0.21</f>
        <v>3198835.7646</v>
      </c>
      <c r="G33" s="89">
        <f>'MONTHLY STATS'!$K$71*0.21</f>
        <v>1062033.5712</v>
      </c>
      <c r="H33" s="89">
        <f>'MONTHLY STATS'!$K$83*0.21</f>
        <v>1128829.0229999998</v>
      </c>
      <c r="I33" s="89">
        <f>'MONTHLY STATS'!$K$95*0.21</f>
        <v>2791439.5508999997</v>
      </c>
      <c r="J33" s="89">
        <f>'MONTHLY STATS'!$K$107*0.21</f>
        <v>3485934.837</v>
      </c>
      <c r="K33" s="89">
        <f>'MONTHLY STATS'!$K$119*0.21</f>
        <v>3820579.0245</v>
      </c>
      <c r="L33" s="89">
        <f>'MONTHLY STATS'!$K$131*0.21</f>
        <v>549592.9467</v>
      </c>
      <c r="M33" s="89">
        <f>'MONTHLY STATS'!$K$143*0.21</f>
        <v>4551602.063399999</v>
      </c>
      <c r="N33" s="89">
        <f>'MONTHLY STATS'!$K$155*0.21</f>
        <v>718634.49</v>
      </c>
      <c r="O33" s="90">
        <f t="shared" si="2"/>
        <v>30253958.4249</v>
      </c>
      <c r="P33" s="83"/>
    </row>
    <row r="34" spans="1:16" ht="15">
      <c r="A34" s="88">
        <f>DATE(2018,10,1)</f>
        <v>43374</v>
      </c>
      <c r="B34" s="89">
        <f>'MONTHLY STATS'!$K$12*0.21</f>
        <v>2932705.0998</v>
      </c>
      <c r="C34" s="89">
        <f>'MONTHLY STATS'!$K$24*0.21</f>
        <v>1332895.5927</v>
      </c>
      <c r="D34" s="89">
        <f>'MONTHLY STATS'!$K$36*0.21</f>
        <v>597855.2538</v>
      </c>
      <c r="E34" s="89">
        <f>'MONTHLY STATS'!$K$48*0.21</f>
        <v>3812123.9772</v>
      </c>
      <c r="F34" s="89">
        <f>'MONTHLY STATS'!$K$60*0.21</f>
        <v>3083020.5231</v>
      </c>
      <c r="G34" s="89">
        <f>'MONTHLY STATS'!$K$72*0.21</f>
        <v>1037313.7824</v>
      </c>
      <c r="H34" s="89">
        <f>'MONTHLY STATS'!$K$84*0.21</f>
        <v>1103831.1479999998</v>
      </c>
      <c r="I34" s="89">
        <f>'MONTHLY STATS'!$K$96*0.21</f>
        <v>2792473.4586</v>
      </c>
      <c r="J34" s="89">
        <f>'MONTHLY STATS'!$K$108*0.21</f>
        <v>3165607.3155</v>
      </c>
      <c r="K34" s="89">
        <f>'MONTHLY STATS'!$K$120*0.21</f>
        <v>3519336.1875</v>
      </c>
      <c r="L34" s="89">
        <f>'MONTHLY STATS'!$K$132*0.21</f>
        <v>532447.4147999999</v>
      </c>
      <c r="M34" s="89">
        <f>'MONTHLY STATS'!$K$144*0.21</f>
        <v>4358384.9547</v>
      </c>
      <c r="N34" s="89">
        <f>'MONTHLY STATS'!$K$156*0.21</f>
        <v>712448.7153</v>
      </c>
      <c r="O34" s="90">
        <f t="shared" si="2"/>
        <v>28980443.4234</v>
      </c>
      <c r="P34" s="83"/>
    </row>
    <row r="35" spans="1:16" ht="15">
      <c r="A35" s="88">
        <f>DATE(2018,11,1)</f>
        <v>43405</v>
      </c>
      <c r="B35" s="89">
        <f>'MONTHLY STATS'!$K$13*0.21</f>
        <v>2874984.1974</v>
      </c>
      <c r="C35" s="89">
        <f>'MONTHLY STATS'!$K$25*0.21</f>
        <v>1213355.4699000001</v>
      </c>
      <c r="D35" s="89">
        <f>'MONTHLY STATS'!$K$37*0.21</f>
        <v>598998.7520999999</v>
      </c>
      <c r="E35" s="89">
        <f>'MONTHLY STATS'!$K$49*0.21</f>
        <v>3727875.3497999995</v>
      </c>
      <c r="F35" s="89">
        <f>'MONTHLY STATS'!$K$61*0.21</f>
        <v>2897852.8362000003</v>
      </c>
      <c r="G35" s="89">
        <f>'MONTHLY STATS'!$K$73*0.21</f>
        <v>1029320.0547</v>
      </c>
      <c r="H35" s="89">
        <f>'MONTHLY STATS'!$K$85*0.21</f>
        <v>1065057.3108</v>
      </c>
      <c r="I35" s="89">
        <f>'MONTHLY STATS'!$K$97*0.21</f>
        <v>2691780.5754</v>
      </c>
      <c r="J35" s="89">
        <f>'MONTHLY STATS'!$K$109*0.21</f>
        <v>3111514.0497</v>
      </c>
      <c r="K35" s="89">
        <f>'MONTHLY STATS'!$K$121*0.21</f>
        <v>4096717.6866</v>
      </c>
      <c r="L35" s="89">
        <f>'MONTHLY STATS'!$K$133*0.21</f>
        <v>504987.9849</v>
      </c>
      <c r="M35" s="89">
        <f>'MONTHLY STATS'!$K$145*0.21</f>
        <v>4491364.5399</v>
      </c>
      <c r="N35" s="89">
        <f>'MONTHLY STATS'!$K$157*0.21</f>
        <v>706959.9285</v>
      </c>
      <c r="O35" s="90">
        <f t="shared" si="2"/>
        <v>29010768.735900003</v>
      </c>
      <c r="P35" s="83"/>
    </row>
    <row r="36" spans="1:16" ht="15">
      <c r="A36" s="88">
        <f>DATE(2018,12,1)</f>
        <v>43435</v>
      </c>
      <c r="B36" s="89">
        <f>'MONTHLY STATS'!$K$14*0.21</f>
        <v>3213490.6629</v>
      </c>
      <c r="C36" s="89">
        <f>'MONTHLY STATS'!$K$26*0.21</f>
        <v>1414575.9431999999</v>
      </c>
      <c r="D36" s="89">
        <f>'MONTHLY STATS'!$K$38*0.21</f>
        <v>682107.8145</v>
      </c>
      <c r="E36" s="89">
        <f>'MONTHLY STATS'!$K$50*0.21</f>
        <v>4059527.6378999995</v>
      </c>
      <c r="F36" s="89">
        <f>'MONTHLY STATS'!$K$62*0.21</f>
        <v>3273280.9893</v>
      </c>
      <c r="G36" s="89">
        <f>'MONTHLY STATS'!$K$74*0.21</f>
        <v>1156960.9149</v>
      </c>
      <c r="H36" s="89">
        <f>'MONTHLY STATS'!$K$86*0.21</f>
        <v>1172315.1552</v>
      </c>
      <c r="I36" s="89">
        <f>'MONTHLY STATS'!$K$98*0.21</f>
        <v>2931099.2991</v>
      </c>
      <c r="J36" s="89">
        <f>'MONTHLY STATS'!$K$110*0.21</f>
        <v>3547985.0825999994</v>
      </c>
      <c r="K36" s="89">
        <f>'MONTHLY STATS'!$K$122*0.21</f>
        <v>4317409.861799999</v>
      </c>
      <c r="L36" s="89">
        <f>'MONTHLY STATS'!$K$134*0.21</f>
        <v>548503.9833</v>
      </c>
      <c r="M36" s="89">
        <f>'MONTHLY STATS'!$K$146*0.21</f>
        <v>4838210.307</v>
      </c>
      <c r="N36" s="89">
        <f>'MONTHLY STATS'!$K$158*0.21</f>
        <v>790435.3716</v>
      </c>
      <c r="O36" s="90">
        <f t="shared" si="2"/>
        <v>31945903.0233</v>
      </c>
      <c r="P36" s="83"/>
    </row>
    <row r="37" spans="1:16" ht="15">
      <c r="A37" s="88">
        <f>DATE(2019,1,1)</f>
        <v>43466</v>
      </c>
      <c r="B37" s="89">
        <f>'MONTHLY STATS'!$K$15*0.21</f>
        <v>2622449.7726</v>
      </c>
      <c r="C37" s="89">
        <f>'MONTHLY STATS'!$K$27*0.21</f>
        <v>1092520.7097</v>
      </c>
      <c r="D37" s="89">
        <f>'MONTHLY STATS'!$K$39*0.21</f>
        <v>581745.9585</v>
      </c>
      <c r="E37" s="89">
        <f>'MONTHLY STATS'!$K$51*0.21</f>
        <v>3446640.3551999996</v>
      </c>
      <c r="F37" s="89">
        <f>'MONTHLY STATS'!$K$63*0.21</f>
        <v>2628303.6758999997</v>
      </c>
      <c r="G37" s="89">
        <f>'MONTHLY STATS'!$K$75*0.21</f>
        <v>1002437.9147999999</v>
      </c>
      <c r="H37" s="89">
        <f>'MONTHLY STATS'!$K$87*0.21</f>
        <v>1005572.7800999999</v>
      </c>
      <c r="I37" s="89">
        <f>'MONTHLY STATS'!$K$99*0.21</f>
        <v>2623713.7416000003</v>
      </c>
      <c r="J37" s="89">
        <f>'MONTHLY STATS'!$K$111*0.21</f>
        <v>2960617.9806</v>
      </c>
      <c r="K37" s="89">
        <f>'MONTHLY STATS'!$K$123*0.21</f>
        <v>3376836.8823</v>
      </c>
      <c r="L37" s="89">
        <f>'MONTHLY STATS'!$K$135*0.21</f>
        <v>431652.4737</v>
      </c>
      <c r="M37" s="89">
        <f>'MONTHLY STATS'!$K$147*0.21</f>
        <v>4001448.6392999995</v>
      </c>
      <c r="N37" s="89">
        <f>'MONTHLY STATS'!$K$159*0.21</f>
        <v>700345.9532999999</v>
      </c>
      <c r="O37" s="90">
        <f>SUM(B37:N37)</f>
        <v>26474286.837599996</v>
      </c>
      <c r="P37" s="83"/>
    </row>
    <row r="38" spans="1:16" ht="15">
      <c r="A38" s="88">
        <f>DATE(2019,2,1)</f>
        <v>43497</v>
      </c>
      <c r="B38" s="89">
        <f>'MONTHLY STATS'!$K$16*0.21</f>
        <v>2623993.1045999997</v>
      </c>
      <c r="C38" s="89">
        <f>'MONTHLY STATS'!$K$28*0.21</f>
        <v>1309996.2687</v>
      </c>
      <c r="D38" s="89">
        <f>'MONTHLY STATS'!$K$40*0.21</f>
        <v>610229.6844</v>
      </c>
      <c r="E38" s="89">
        <f>'MONTHLY STATS'!$K$52*0.21</f>
        <v>3904587.6744</v>
      </c>
      <c r="F38" s="89">
        <f>'MONTHLY STATS'!$K$64*0.21</f>
        <v>2567812.317</v>
      </c>
      <c r="G38" s="89">
        <f>'MONTHLY STATS'!$K$76*0.21</f>
        <v>1068621.8466</v>
      </c>
      <c r="H38" s="89">
        <f>'MONTHLY STATS'!$K$88*0.21</f>
        <v>1091789.7417</v>
      </c>
      <c r="I38" s="89">
        <f>'MONTHLY STATS'!$K$100*0.21</f>
        <v>2572574.9784</v>
      </c>
      <c r="J38" s="89">
        <f>'MONTHLY STATS'!$K$112*0.21</f>
        <v>3136225.9572</v>
      </c>
      <c r="K38" s="89">
        <f>'MONTHLY STATS'!$K$124*0.21</f>
        <v>3665360.6388000003</v>
      </c>
      <c r="L38" s="89">
        <f>'MONTHLY STATS'!$K$136*0.21</f>
        <v>512477.47319999995</v>
      </c>
      <c r="M38" s="89">
        <f>'MONTHLY STATS'!$K$148*0.21</f>
        <v>4387331.7201</v>
      </c>
      <c r="N38" s="89">
        <f>'MONTHLY STATS'!$K$160*0.21</f>
        <v>747519.3263999999</v>
      </c>
      <c r="O38" s="90">
        <f>SUM(B38:N38)</f>
        <v>28198520.7315</v>
      </c>
      <c r="P38" s="83"/>
    </row>
    <row r="39" spans="1:16" ht="15">
      <c r="A39" s="88">
        <f>DATE(2019,3,1)</f>
        <v>43525</v>
      </c>
      <c r="B39" s="89">
        <f>'MONTHLY STATS'!$K$17*0.21</f>
        <v>3247536.1233</v>
      </c>
      <c r="C39" s="89">
        <f>'MONTHLY STATS'!$K$29*0.21</f>
        <v>1649339.9748</v>
      </c>
      <c r="D39" s="89">
        <f>'MONTHLY STATS'!$K$41*0.21</f>
        <v>805924.5872999999</v>
      </c>
      <c r="E39" s="89">
        <f>'MONTHLY STATS'!$K$53*0.21</f>
        <v>4826460.2253</v>
      </c>
      <c r="F39" s="89">
        <f>'MONTHLY STATS'!$K$65*0.21</f>
        <v>3772800.5678999997</v>
      </c>
      <c r="G39" s="89">
        <f>'MONTHLY STATS'!$K$77*0.21</f>
        <v>1298138.8812</v>
      </c>
      <c r="H39" s="89">
        <f>'MONTHLY STATS'!$K$89*0.21</f>
        <v>1382487.2984999998</v>
      </c>
      <c r="I39" s="89">
        <f>'MONTHLY STATS'!$K$101*0.21</f>
        <v>3327844.4808</v>
      </c>
      <c r="J39" s="89">
        <f>'MONTHLY STATS'!$K$113*0.21</f>
        <v>3920219.877</v>
      </c>
      <c r="K39" s="89">
        <f>'MONTHLY STATS'!$K$125*0.21</f>
        <v>4378338.379799999</v>
      </c>
      <c r="L39" s="89">
        <f>'MONTHLY STATS'!$K$137*0.21</f>
        <v>646677.801</v>
      </c>
      <c r="M39" s="89">
        <f>'MONTHLY STATS'!$K$149*0.21</f>
        <v>5215949.9300999995</v>
      </c>
      <c r="N39" s="89">
        <f>'MONTHLY STATS'!$K$161*0.21</f>
        <v>476563.1514</v>
      </c>
      <c r="O39" s="90">
        <f>SUM(B39:N39)</f>
        <v>34948281.2784</v>
      </c>
      <c r="P39" s="83"/>
    </row>
    <row r="40" spans="1:16" ht="1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">
      <c r="A44" s="91" t="s">
        <v>29</v>
      </c>
      <c r="B44" s="90">
        <f aca="true" t="shared" si="3" ref="B44:O44">SUM(B31:B42)</f>
        <v>26097660.3489</v>
      </c>
      <c r="C44" s="90">
        <f t="shared" si="3"/>
        <v>12420253.994399998</v>
      </c>
      <c r="D44" s="90">
        <f t="shared" si="3"/>
        <v>5875315.6581</v>
      </c>
      <c r="E44" s="90">
        <f t="shared" si="3"/>
        <v>36380335.2234</v>
      </c>
      <c r="F44" s="90">
        <f t="shared" si="3"/>
        <v>27613648.939799998</v>
      </c>
      <c r="G44" s="90">
        <f t="shared" si="3"/>
        <v>9856077.462000001</v>
      </c>
      <c r="H44" s="90">
        <f t="shared" si="3"/>
        <v>10331087.7096</v>
      </c>
      <c r="I44" s="90">
        <f>SUM(I31:I42)</f>
        <v>25491837.352799997</v>
      </c>
      <c r="J44" s="90">
        <f t="shared" si="3"/>
        <v>30767981.579999994</v>
      </c>
      <c r="K44" s="90">
        <f>SUM(K31:K42)</f>
        <v>35293210.1592</v>
      </c>
      <c r="L44" s="90">
        <f t="shared" si="3"/>
        <v>4902209.9616</v>
      </c>
      <c r="M44" s="90">
        <f t="shared" si="3"/>
        <v>41757717.4434</v>
      </c>
      <c r="N44" s="90">
        <f t="shared" si="3"/>
        <v>6372422.120399999</v>
      </c>
      <c r="O44" s="90">
        <f t="shared" si="3"/>
        <v>273159757.9536</v>
      </c>
      <c r="P44" s="83"/>
    </row>
    <row r="45" spans="1:16" ht="15.7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">
      <c r="A50" s="115"/>
      <c r="B50" s="98"/>
      <c r="C50" s="98"/>
      <c r="D50" s="98"/>
      <c r="E50" s="98"/>
      <c r="F50" s="98"/>
      <c r="G50" s="98"/>
      <c r="H50" s="98"/>
      <c r="I50" s="98"/>
    </row>
    <row r="51" ht="1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0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7.25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">
      <c r="A5" s="117"/>
      <c r="B5" s="117"/>
      <c r="C5" s="200"/>
      <c r="D5" s="200"/>
      <c r="E5" s="200"/>
      <c r="F5" s="117"/>
      <c r="G5" s="211" t="s">
        <v>1</v>
      </c>
    </row>
    <row r="6" spans="1:8" ht="15.7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5.7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">
      <c r="A9" s="130" t="s">
        <v>38</v>
      </c>
      <c r="B9" s="131">
        <f>DATE(2018,7,1)</f>
        <v>43282</v>
      </c>
      <c r="C9" s="204">
        <v>10277324</v>
      </c>
      <c r="D9" s="204">
        <v>1826329</v>
      </c>
      <c r="E9" s="204">
        <v>1744231.98</v>
      </c>
      <c r="F9" s="132">
        <f aca="true" t="shared" si="0" ref="F9:F17">(+D9-E9)/E9</f>
        <v>0.04706771859555059</v>
      </c>
      <c r="G9" s="215">
        <f aca="true" t="shared" si="1" ref="G9:G17">D9/C9</f>
        <v>0.17770472157927492</v>
      </c>
      <c r="H9" s="123"/>
    </row>
    <row r="10" spans="1:8" ht="15">
      <c r="A10" s="130"/>
      <c r="B10" s="131">
        <f>DATE(2018,8,1)</f>
        <v>43313</v>
      </c>
      <c r="C10" s="204">
        <v>10565544</v>
      </c>
      <c r="D10" s="204">
        <v>1679235.5</v>
      </c>
      <c r="E10" s="204">
        <v>1558308</v>
      </c>
      <c r="F10" s="132">
        <f t="shared" si="0"/>
        <v>0.07760179630727687</v>
      </c>
      <c r="G10" s="215">
        <f t="shared" si="1"/>
        <v>0.15893507234459484</v>
      </c>
      <c r="H10" s="123"/>
    </row>
    <row r="11" spans="1:8" ht="15">
      <c r="A11" s="130"/>
      <c r="B11" s="131">
        <f>DATE(2018,9,1)</f>
        <v>43344</v>
      </c>
      <c r="C11" s="204">
        <v>9926032</v>
      </c>
      <c r="D11" s="204">
        <v>2056251</v>
      </c>
      <c r="E11" s="204">
        <v>1764006.5</v>
      </c>
      <c r="F11" s="132">
        <f t="shared" si="0"/>
        <v>0.1656708747955294</v>
      </c>
      <c r="G11" s="215">
        <f t="shared" si="1"/>
        <v>0.20715740187015314</v>
      </c>
      <c r="H11" s="123"/>
    </row>
    <row r="12" spans="1:8" ht="15">
      <c r="A12" s="130"/>
      <c r="B12" s="131">
        <f>DATE(2018,10,1)</f>
        <v>43374</v>
      </c>
      <c r="C12" s="204">
        <v>10436409</v>
      </c>
      <c r="D12" s="204">
        <v>2198521</v>
      </c>
      <c r="E12" s="204">
        <v>1651958.5</v>
      </c>
      <c r="F12" s="132">
        <f t="shared" si="0"/>
        <v>0.3308572824317318</v>
      </c>
      <c r="G12" s="215">
        <f t="shared" si="1"/>
        <v>0.21065876203203612</v>
      </c>
      <c r="H12" s="123"/>
    </row>
    <row r="13" spans="1:8" ht="15">
      <c r="A13" s="130"/>
      <c r="B13" s="131">
        <f>DATE(2018,11,1)</f>
        <v>43405</v>
      </c>
      <c r="C13" s="204">
        <v>10530469.5</v>
      </c>
      <c r="D13" s="204">
        <v>2373996</v>
      </c>
      <c r="E13" s="204">
        <v>2257240.5</v>
      </c>
      <c r="F13" s="132">
        <f t="shared" si="0"/>
        <v>0.051724882660930456</v>
      </c>
      <c r="G13" s="215">
        <f t="shared" si="1"/>
        <v>0.22544066055174464</v>
      </c>
      <c r="H13" s="123"/>
    </row>
    <row r="14" spans="1:8" ht="15">
      <c r="A14" s="130"/>
      <c r="B14" s="131">
        <f>DATE(2018,12,1)</f>
        <v>43435</v>
      </c>
      <c r="C14" s="204">
        <v>11926428</v>
      </c>
      <c r="D14" s="204">
        <v>2548450</v>
      </c>
      <c r="E14" s="204">
        <v>1815083.5</v>
      </c>
      <c r="F14" s="132">
        <f t="shared" si="0"/>
        <v>0.4040400896157119</v>
      </c>
      <c r="G14" s="215">
        <f t="shared" si="1"/>
        <v>0.21368091099866615</v>
      </c>
      <c r="H14" s="123"/>
    </row>
    <row r="15" spans="1:8" ht="15">
      <c r="A15" s="130"/>
      <c r="B15" s="131">
        <f>DATE(2019,1,1)</f>
        <v>43466</v>
      </c>
      <c r="C15" s="204">
        <v>10847299</v>
      </c>
      <c r="D15" s="204">
        <v>2049686.5</v>
      </c>
      <c r="E15" s="204">
        <v>1650734.5</v>
      </c>
      <c r="F15" s="132">
        <f t="shared" si="0"/>
        <v>0.24168150602050179</v>
      </c>
      <c r="G15" s="215">
        <f t="shared" si="1"/>
        <v>0.18895823743772527</v>
      </c>
      <c r="H15" s="123"/>
    </row>
    <row r="16" spans="1:8" ht="15">
      <c r="A16" s="130"/>
      <c r="B16" s="131">
        <f>DATE(2019,2,1)</f>
        <v>43497</v>
      </c>
      <c r="C16" s="204">
        <v>9528168</v>
      </c>
      <c r="D16" s="204">
        <v>1917312.5</v>
      </c>
      <c r="E16" s="204">
        <v>2102175.5</v>
      </c>
      <c r="F16" s="132">
        <f t="shared" si="0"/>
        <v>-0.08793889948769738</v>
      </c>
      <c r="G16" s="215">
        <f t="shared" si="1"/>
        <v>0.20122572355987006</v>
      </c>
      <c r="H16" s="123"/>
    </row>
    <row r="17" spans="1:8" ht="15">
      <c r="A17" s="130"/>
      <c r="B17" s="131">
        <f>DATE(2019,3,1)</f>
        <v>43525</v>
      </c>
      <c r="C17" s="204">
        <v>11882780</v>
      </c>
      <c r="D17" s="204">
        <v>1899536.5</v>
      </c>
      <c r="E17" s="204">
        <v>2003810.5</v>
      </c>
      <c r="F17" s="132">
        <f t="shared" si="0"/>
        <v>-0.0520378548769956</v>
      </c>
      <c r="G17" s="215">
        <f t="shared" si="1"/>
        <v>0.15985623734513305</v>
      </c>
      <c r="H17" s="123"/>
    </row>
    <row r="18" spans="1:8" ht="15" thickBot="1">
      <c r="A18" s="133"/>
      <c r="B18" s="134"/>
      <c r="C18" s="204"/>
      <c r="D18" s="204"/>
      <c r="E18" s="204"/>
      <c r="F18" s="132"/>
      <c r="G18" s="215"/>
      <c r="H18" s="123"/>
    </row>
    <row r="19" spans="1:8" ht="16.5" thickBot="1" thickTop="1">
      <c r="A19" s="135" t="s">
        <v>14</v>
      </c>
      <c r="B19" s="136"/>
      <c r="C19" s="201">
        <f>SUM(C9:C18)</f>
        <v>95920453.5</v>
      </c>
      <c r="D19" s="201">
        <f>SUM(D9:D18)</f>
        <v>18549318</v>
      </c>
      <c r="E19" s="201">
        <f>SUM(E9:E18)</f>
        <v>16547549.48</v>
      </c>
      <c r="F19" s="137">
        <f>(+D19-E19)/E19</f>
        <v>0.12097069251368085</v>
      </c>
      <c r="G19" s="212">
        <f>D19/C19</f>
        <v>0.19338230088747443</v>
      </c>
      <c r="H19" s="123"/>
    </row>
    <row r="20" spans="1:8" ht="15.75" customHeight="1" thickTop="1">
      <c r="A20" s="138"/>
      <c r="B20" s="139"/>
      <c r="C20" s="205"/>
      <c r="D20" s="205"/>
      <c r="E20" s="205"/>
      <c r="F20" s="140"/>
      <c r="G20" s="216"/>
      <c r="H20" s="123"/>
    </row>
    <row r="21" spans="1:8" ht="15">
      <c r="A21" s="19" t="s">
        <v>15</v>
      </c>
      <c r="B21" s="131">
        <f>DATE(2018,7,1)</f>
        <v>43282</v>
      </c>
      <c r="C21" s="204">
        <v>2618283</v>
      </c>
      <c r="D21" s="204">
        <v>544502.5</v>
      </c>
      <c r="E21" s="204">
        <v>642088</v>
      </c>
      <c r="F21" s="132">
        <f aca="true" t="shared" si="2" ref="F21:F29">(+D21-E21)/E21</f>
        <v>-0.15198150409289693</v>
      </c>
      <c r="G21" s="215">
        <f aca="true" t="shared" si="3" ref="G21:G29">D21/C21</f>
        <v>0.2079616680091495</v>
      </c>
      <c r="H21" s="123"/>
    </row>
    <row r="22" spans="1:8" ht="15">
      <c r="A22" s="19"/>
      <c r="B22" s="131">
        <f>DATE(2018,8,1)</f>
        <v>43313</v>
      </c>
      <c r="C22" s="204">
        <v>2865412</v>
      </c>
      <c r="D22" s="204">
        <v>656165</v>
      </c>
      <c r="E22" s="204">
        <v>490413</v>
      </c>
      <c r="F22" s="132">
        <f t="shared" si="2"/>
        <v>0.3379845150923813</v>
      </c>
      <c r="G22" s="215">
        <f t="shared" si="3"/>
        <v>0.22899499269215037</v>
      </c>
      <c r="H22" s="123"/>
    </row>
    <row r="23" spans="1:8" ht="15">
      <c r="A23" s="19"/>
      <c r="B23" s="131">
        <f>DATE(2018,9,1)</f>
        <v>43344</v>
      </c>
      <c r="C23" s="204">
        <v>2858660</v>
      </c>
      <c r="D23" s="204">
        <v>251895.5</v>
      </c>
      <c r="E23" s="204">
        <v>534707</v>
      </c>
      <c r="F23" s="132">
        <f t="shared" si="2"/>
        <v>-0.5289092905086337</v>
      </c>
      <c r="G23" s="215">
        <f t="shared" si="3"/>
        <v>0.08811663506677954</v>
      </c>
      <c r="H23" s="123"/>
    </row>
    <row r="24" spans="1:8" ht="15">
      <c r="A24" s="19"/>
      <c r="B24" s="131">
        <f>DATE(2018,10,1)</f>
        <v>43374</v>
      </c>
      <c r="C24" s="204">
        <v>2984353</v>
      </c>
      <c r="D24" s="204">
        <v>763257.5</v>
      </c>
      <c r="E24" s="204">
        <v>515461.5</v>
      </c>
      <c r="F24" s="132">
        <f t="shared" si="2"/>
        <v>0.4807264946072597</v>
      </c>
      <c r="G24" s="215">
        <f t="shared" si="3"/>
        <v>0.2557530895306286</v>
      </c>
      <c r="H24" s="123"/>
    </row>
    <row r="25" spans="1:8" ht="15">
      <c r="A25" s="19"/>
      <c r="B25" s="131">
        <f>DATE(2018,11,1)</f>
        <v>43405</v>
      </c>
      <c r="C25" s="204">
        <v>2329326</v>
      </c>
      <c r="D25" s="204">
        <v>497141.5</v>
      </c>
      <c r="E25" s="204">
        <v>483129.5</v>
      </c>
      <c r="F25" s="132">
        <f t="shared" si="2"/>
        <v>0.02900257591391128</v>
      </c>
      <c r="G25" s="215">
        <f t="shared" si="3"/>
        <v>0.2134271888091233</v>
      </c>
      <c r="H25" s="123"/>
    </row>
    <row r="26" spans="1:8" ht="15">
      <c r="A26" s="19"/>
      <c r="B26" s="131">
        <f>DATE(2018,12,1)</f>
        <v>43435</v>
      </c>
      <c r="C26" s="204">
        <v>2494748</v>
      </c>
      <c r="D26" s="204">
        <v>725952.5</v>
      </c>
      <c r="E26" s="204">
        <v>648728</v>
      </c>
      <c r="F26" s="132">
        <f t="shared" si="2"/>
        <v>0.11903987495529714</v>
      </c>
      <c r="G26" s="215">
        <f t="shared" si="3"/>
        <v>0.2909923166588369</v>
      </c>
      <c r="H26" s="123"/>
    </row>
    <row r="27" spans="1:8" ht="15">
      <c r="A27" s="19"/>
      <c r="B27" s="131">
        <f>DATE(2019,1,1)</f>
        <v>43466</v>
      </c>
      <c r="C27" s="204">
        <v>2141791</v>
      </c>
      <c r="D27" s="204">
        <v>538538</v>
      </c>
      <c r="E27" s="204">
        <v>641885</v>
      </c>
      <c r="F27" s="132">
        <f t="shared" si="2"/>
        <v>-0.1610054760587956</v>
      </c>
      <c r="G27" s="215">
        <f t="shared" si="3"/>
        <v>0.2514428345249373</v>
      </c>
      <c r="H27" s="123"/>
    </row>
    <row r="28" spans="1:8" ht="15">
      <c r="A28" s="19"/>
      <c r="B28" s="131">
        <f>DATE(2019,2,1)</f>
        <v>43497</v>
      </c>
      <c r="C28" s="204">
        <v>2348089</v>
      </c>
      <c r="D28" s="204">
        <v>807451</v>
      </c>
      <c r="E28" s="204">
        <v>529004</v>
      </c>
      <c r="F28" s="132">
        <f t="shared" si="2"/>
        <v>0.5263608592751662</v>
      </c>
      <c r="G28" s="215">
        <f t="shared" si="3"/>
        <v>0.34387580709249094</v>
      </c>
      <c r="H28" s="123"/>
    </row>
    <row r="29" spans="1:8" ht="15">
      <c r="A29" s="19"/>
      <c r="B29" s="131">
        <f>DATE(2019,3,1)</f>
        <v>43525</v>
      </c>
      <c r="C29" s="204">
        <v>2916612</v>
      </c>
      <c r="D29" s="204">
        <v>438422.5</v>
      </c>
      <c r="E29" s="204">
        <v>585525</v>
      </c>
      <c r="F29" s="132">
        <f t="shared" si="2"/>
        <v>-0.25123180052090005</v>
      </c>
      <c r="G29" s="215">
        <f t="shared" si="3"/>
        <v>0.1503191031237614</v>
      </c>
      <c r="H29" s="123"/>
    </row>
    <row r="30" spans="1:8" ht="15" thickBot="1">
      <c r="A30" s="133"/>
      <c r="B30" s="131"/>
      <c r="C30" s="204"/>
      <c r="D30" s="204"/>
      <c r="E30" s="204"/>
      <c r="F30" s="132"/>
      <c r="G30" s="215"/>
      <c r="H30" s="123"/>
    </row>
    <row r="31" spans="1:8" ht="16.5" thickBot="1" thickTop="1">
      <c r="A31" s="135" t="s">
        <v>14</v>
      </c>
      <c r="B31" s="136"/>
      <c r="C31" s="201">
        <f>SUM(C21:C30)</f>
        <v>23557274</v>
      </c>
      <c r="D31" s="201">
        <f>SUM(D21:D30)</f>
        <v>5223326</v>
      </c>
      <c r="E31" s="201">
        <f>SUM(E21:E30)</f>
        <v>5070941</v>
      </c>
      <c r="F31" s="137">
        <f>(+D31-E31)/E31</f>
        <v>0.03005063557237207</v>
      </c>
      <c r="G31" s="212">
        <f>D31/C31</f>
        <v>0.22172879595491396</v>
      </c>
      <c r="H31" s="123"/>
    </row>
    <row r="32" spans="1:8" ht="15.75" customHeight="1" thickTop="1">
      <c r="A32" s="255"/>
      <c r="B32" s="139"/>
      <c r="C32" s="205"/>
      <c r="D32" s="205"/>
      <c r="E32" s="205"/>
      <c r="F32" s="140"/>
      <c r="G32" s="219"/>
      <c r="H32" s="123"/>
    </row>
    <row r="33" spans="1:8" ht="15">
      <c r="A33" s="19" t="s">
        <v>56</v>
      </c>
      <c r="B33" s="131">
        <f>DATE(2018,7,1)</f>
        <v>43282</v>
      </c>
      <c r="C33" s="204">
        <v>1379575</v>
      </c>
      <c r="D33" s="204">
        <v>373264</v>
      </c>
      <c r="E33" s="204">
        <v>330815.5</v>
      </c>
      <c r="F33" s="132">
        <f aca="true" t="shared" si="4" ref="F33:F41">(+D33-E33)/E33</f>
        <v>0.12831472527738272</v>
      </c>
      <c r="G33" s="215">
        <f aca="true" t="shared" si="5" ref="G33:G41">D33/C33</f>
        <v>0.27056448543935635</v>
      </c>
      <c r="H33" s="123"/>
    </row>
    <row r="34" spans="1:8" ht="15">
      <c r="A34" s="19"/>
      <c r="B34" s="131">
        <f>DATE(2018,8,1)</f>
        <v>43313</v>
      </c>
      <c r="C34" s="204">
        <v>1464999</v>
      </c>
      <c r="D34" s="204">
        <v>339140.5</v>
      </c>
      <c r="E34" s="204">
        <v>326287.5</v>
      </c>
      <c r="F34" s="132">
        <f t="shared" si="4"/>
        <v>0.03939164080757001</v>
      </c>
      <c r="G34" s="215">
        <f t="shared" si="5"/>
        <v>0.23149537986032756</v>
      </c>
      <c r="H34" s="123"/>
    </row>
    <row r="35" spans="1:8" ht="15">
      <c r="A35" s="19"/>
      <c r="B35" s="131">
        <f>DATE(2018,9,1)</f>
        <v>43344</v>
      </c>
      <c r="C35" s="204">
        <v>1388620</v>
      </c>
      <c r="D35" s="204">
        <v>349109</v>
      </c>
      <c r="E35" s="204">
        <v>453438</v>
      </c>
      <c r="F35" s="132">
        <f t="shared" si="4"/>
        <v>-0.2300843775775299</v>
      </c>
      <c r="G35" s="215">
        <f t="shared" si="5"/>
        <v>0.2514071524247094</v>
      </c>
      <c r="H35" s="123"/>
    </row>
    <row r="36" spans="1:8" ht="15">
      <c r="A36" s="19"/>
      <c r="B36" s="131">
        <f>DATE(2018,10,1)</f>
        <v>43374</v>
      </c>
      <c r="C36" s="204">
        <v>1282080</v>
      </c>
      <c r="D36" s="204">
        <v>213321.5</v>
      </c>
      <c r="E36" s="204">
        <v>325504</v>
      </c>
      <c r="F36" s="132">
        <f t="shared" si="4"/>
        <v>-0.34464246215100275</v>
      </c>
      <c r="G36" s="215">
        <f t="shared" si="5"/>
        <v>0.16638704293023837</v>
      </c>
      <c r="H36" s="123"/>
    </row>
    <row r="37" spans="1:8" ht="15">
      <c r="A37" s="19"/>
      <c r="B37" s="131">
        <f>DATE(2018,11,1)</f>
        <v>43405</v>
      </c>
      <c r="C37" s="204">
        <v>1337192</v>
      </c>
      <c r="D37" s="204">
        <v>301353.5</v>
      </c>
      <c r="E37" s="204">
        <v>300283</v>
      </c>
      <c r="F37" s="132">
        <f t="shared" si="4"/>
        <v>0.003564970377943473</v>
      </c>
      <c r="G37" s="215">
        <f t="shared" si="5"/>
        <v>0.22536292469592997</v>
      </c>
      <c r="H37" s="123"/>
    </row>
    <row r="38" spans="1:8" ht="15">
      <c r="A38" s="19"/>
      <c r="B38" s="131">
        <f>DATE(2018,12,1)</f>
        <v>43435</v>
      </c>
      <c r="C38" s="204">
        <v>1480704</v>
      </c>
      <c r="D38" s="204">
        <v>461887</v>
      </c>
      <c r="E38" s="204">
        <v>366330</v>
      </c>
      <c r="F38" s="132">
        <f t="shared" si="4"/>
        <v>0.26084950727486145</v>
      </c>
      <c r="G38" s="215">
        <f t="shared" si="5"/>
        <v>0.3119374297631397</v>
      </c>
      <c r="H38" s="123"/>
    </row>
    <row r="39" spans="1:8" ht="15">
      <c r="A39" s="19"/>
      <c r="B39" s="131">
        <f>DATE(2019,1,1)</f>
        <v>43466</v>
      </c>
      <c r="C39" s="204">
        <v>1207249</v>
      </c>
      <c r="D39" s="204">
        <v>327327.5</v>
      </c>
      <c r="E39" s="204">
        <v>337127.5</v>
      </c>
      <c r="F39" s="132">
        <f t="shared" si="4"/>
        <v>-0.02906912073325374</v>
      </c>
      <c r="G39" s="215">
        <f t="shared" si="5"/>
        <v>0.27113503510874726</v>
      </c>
      <c r="H39" s="123"/>
    </row>
    <row r="40" spans="1:8" ht="15">
      <c r="A40" s="19"/>
      <c r="B40" s="131">
        <f>DATE(2019,2,1)</f>
        <v>43497</v>
      </c>
      <c r="C40" s="204">
        <v>1297488</v>
      </c>
      <c r="D40" s="204">
        <v>275261</v>
      </c>
      <c r="E40" s="204">
        <v>389142.5</v>
      </c>
      <c r="F40" s="132">
        <f t="shared" si="4"/>
        <v>-0.2926472950140373</v>
      </c>
      <c r="G40" s="215">
        <f t="shared" si="5"/>
        <v>0.21214916823893554</v>
      </c>
      <c r="H40" s="123"/>
    </row>
    <row r="41" spans="1:8" ht="15">
      <c r="A41" s="19"/>
      <c r="B41" s="131">
        <f>DATE(2019,3,1)</f>
        <v>43525</v>
      </c>
      <c r="C41" s="204">
        <v>1659028</v>
      </c>
      <c r="D41" s="204">
        <v>433986.5</v>
      </c>
      <c r="E41" s="204">
        <v>428782</v>
      </c>
      <c r="F41" s="132">
        <f t="shared" si="4"/>
        <v>0.01213786959340644</v>
      </c>
      <c r="G41" s="215">
        <f t="shared" si="5"/>
        <v>0.2615908230602497</v>
      </c>
      <c r="H41" s="123"/>
    </row>
    <row r="42" spans="1:8" ht="15" thickBot="1">
      <c r="A42" s="133"/>
      <c r="B42" s="131"/>
      <c r="C42" s="204"/>
      <c r="D42" s="204"/>
      <c r="E42" s="204"/>
      <c r="F42" s="132"/>
      <c r="G42" s="215"/>
      <c r="H42" s="123"/>
    </row>
    <row r="43" spans="1:8" ht="16.5" thickBot="1" thickTop="1">
      <c r="A43" s="141" t="s">
        <v>14</v>
      </c>
      <c r="B43" s="142"/>
      <c r="C43" s="206">
        <f>SUM(C33:C42)</f>
        <v>12496935</v>
      </c>
      <c r="D43" s="206">
        <f>SUM(D33:D42)</f>
        <v>3074650.5</v>
      </c>
      <c r="E43" s="206">
        <f>SUM(E33:E42)</f>
        <v>3257710</v>
      </c>
      <c r="F43" s="143">
        <f>(+D43-E43)/E43</f>
        <v>-0.056192693640624854</v>
      </c>
      <c r="G43" s="217">
        <f>D43/C43</f>
        <v>0.24603236713642185</v>
      </c>
      <c r="H43" s="123"/>
    </row>
    <row r="44" spans="1:8" ht="15" thickTop="1">
      <c r="A44" s="133"/>
      <c r="B44" s="134"/>
      <c r="C44" s="204"/>
      <c r="D44" s="204"/>
      <c r="E44" s="204"/>
      <c r="F44" s="132"/>
      <c r="G44" s="218"/>
      <c r="H44" s="123"/>
    </row>
    <row r="45" spans="1:8" ht="15">
      <c r="A45" s="177" t="s">
        <v>65</v>
      </c>
      <c r="B45" s="131">
        <f>DATE(2018,7,1)</f>
        <v>43282</v>
      </c>
      <c r="C45" s="204">
        <v>14770922.01</v>
      </c>
      <c r="D45" s="204">
        <v>2640847.24</v>
      </c>
      <c r="E45" s="204">
        <v>3444933.46</v>
      </c>
      <c r="F45" s="132">
        <f aca="true" t="shared" si="6" ref="F45:F53">(+D45-E45)/E45</f>
        <v>-0.23341124852960143</v>
      </c>
      <c r="G45" s="215">
        <f aca="true" t="shared" si="7" ref="G45:G53">D45/C45</f>
        <v>0.17878689212576787</v>
      </c>
      <c r="H45" s="123"/>
    </row>
    <row r="46" spans="1:8" ht="15">
      <c r="A46" s="177"/>
      <c r="B46" s="131">
        <f>DATE(2018,8,1)</f>
        <v>43313</v>
      </c>
      <c r="C46" s="204">
        <v>14974767</v>
      </c>
      <c r="D46" s="204">
        <v>3019576.86</v>
      </c>
      <c r="E46" s="204">
        <v>2738890.99</v>
      </c>
      <c r="F46" s="132">
        <f t="shared" si="6"/>
        <v>0.10248157777173877</v>
      </c>
      <c r="G46" s="215">
        <f t="shared" si="7"/>
        <v>0.20164433009208088</v>
      </c>
      <c r="H46" s="123"/>
    </row>
    <row r="47" spans="1:8" ht="15">
      <c r="A47" s="177"/>
      <c r="B47" s="131">
        <f>DATE(2018,9,1)</f>
        <v>43344</v>
      </c>
      <c r="C47" s="204">
        <v>13265110.25</v>
      </c>
      <c r="D47" s="204">
        <v>3074145.25</v>
      </c>
      <c r="E47" s="204">
        <v>3077099.69</v>
      </c>
      <c r="F47" s="132">
        <f t="shared" si="6"/>
        <v>-0.0009601378888052679</v>
      </c>
      <c r="G47" s="215">
        <f t="shared" si="7"/>
        <v>0.23174667922567774</v>
      </c>
      <c r="H47" s="123"/>
    </row>
    <row r="48" spans="1:8" ht="15">
      <c r="A48" s="177"/>
      <c r="B48" s="131">
        <f>DATE(2018,10,1)</f>
        <v>43374</v>
      </c>
      <c r="C48" s="204">
        <v>12792793</v>
      </c>
      <c r="D48" s="204">
        <v>2577292.69</v>
      </c>
      <c r="E48" s="204">
        <v>2596719.93</v>
      </c>
      <c r="F48" s="132">
        <f t="shared" si="6"/>
        <v>-0.0074814537276648935</v>
      </c>
      <c r="G48" s="215">
        <f t="shared" si="7"/>
        <v>0.20146442532135087</v>
      </c>
      <c r="H48" s="123"/>
    </row>
    <row r="49" spans="1:8" ht="15">
      <c r="A49" s="177"/>
      <c r="B49" s="131">
        <f>DATE(2018,11,1)</f>
        <v>43405</v>
      </c>
      <c r="C49" s="204">
        <v>12986186</v>
      </c>
      <c r="D49" s="204">
        <v>2885158.69</v>
      </c>
      <c r="E49" s="204">
        <v>2954256.04</v>
      </c>
      <c r="F49" s="132">
        <f t="shared" si="6"/>
        <v>-0.02338908647877389</v>
      </c>
      <c r="G49" s="215">
        <f t="shared" si="7"/>
        <v>0.22217136655827968</v>
      </c>
      <c r="H49" s="123"/>
    </row>
    <row r="50" spans="1:8" ht="15">
      <c r="A50" s="177"/>
      <c r="B50" s="131">
        <f>DATE(2018,12,1)</f>
        <v>43435</v>
      </c>
      <c r="C50" s="204">
        <v>14981777</v>
      </c>
      <c r="D50" s="204">
        <v>2894970.85</v>
      </c>
      <c r="E50" s="204">
        <v>3254600.78</v>
      </c>
      <c r="F50" s="132">
        <f t="shared" si="6"/>
        <v>-0.11049893806023108</v>
      </c>
      <c r="G50" s="215">
        <f t="shared" si="7"/>
        <v>0.1932328087649416</v>
      </c>
      <c r="H50" s="123"/>
    </row>
    <row r="51" spans="1:8" ht="15">
      <c r="A51" s="177"/>
      <c r="B51" s="131">
        <f>DATE(2019,1,1)</f>
        <v>43466</v>
      </c>
      <c r="C51" s="204">
        <v>13538543</v>
      </c>
      <c r="D51" s="204">
        <v>2972641.43</v>
      </c>
      <c r="E51" s="204">
        <v>3015386.15</v>
      </c>
      <c r="F51" s="132">
        <f t="shared" si="6"/>
        <v>-0.014175537683622955</v>
      </c>
      <c r="G51" s="215">
        <f t="shared" si="7"/>
        <v>0.21956878446964345</v>
      </c>
      <c r="H51" s="123"/>
    </row>
    <row r="52" spans="1:8" ht="15">
      <c r="A52" s="177"/>
      <c r="B52" s="131">
        <f>DATE(2019,2,1)</f>
        <v>43497</v>
      </c>
      <c r="C52" s="204">
        <v>13878631.47</v>
      </c>
      <c r="D52" s="204">
        <v>3194583.97</v>
      </c>
      <c r="E52" s="204">
        <v>2470968.89</v>
      </c>
      <c r="F52" s="132">
        <f t="shared" si="6"/>
        <v>0.2928466978797131</v>
      </c>
      <c r="G52" s="215">
        <f t="shared" si="7"/>
        <v>0.2301800416637189</v>
      </c>
      <c r="H52" s="123"/>
    </row>
    <row r="53" spans="1:8" ht="15">
      <c r="A53" s="177"/>
      <c r="B53" s="131">
        <f>DATE(2019,3,1)</f>
        <v>43525</v>
      </c>
      <c r="C53" s="204">
        <v>18602014</v>
      </c>
      <c r="D53" s="204">
        <v>4211392</v>
      </c>
      <c r="E53" s="204">
        <v>3071035.69</v>
      </c>
      <c r="F53" s="132">
        <f t="shared" si="6"/>
        <v>0.3713262967647244</v>
      </c>
      <c r="G53" s="215">
        <f t="shared" si="7"/>
        <v>0.2263944108417508</v>
      </c>
      <c r="H53" s="123"/>
    </row>
    <row r="54" spans="1:8" ht="15.75" customHeight="1" thickBot="1">
      <c r="A54" s="133"/>
      <c r="B54" s="134"/>
      <c r="C54" s="204"/>
      <c r="D54" s="204"/>
      <c r="E54" s="204"/>
      <c r="F54" s="132"/>
      <c r="G54" s="215"/>
      <c r="H54" s="123"/>
    </row>
    <row r="55" spans="1:8" ht="17.25" customHeight="1" thickBot="1" thickTop="1">
      <c r="A55" s="141" t="s">
        <v>14</v>
      </c>
      <c r="B55" s="142"/>
      <c r="C55" s="206">
        <f>SUM(C45:C54)</f>
        <v>129790743.72999999</v>
      </c>
      <c r="D55" s="206">
        <f>SUM(D45:D54)</f>
        <v>27470608.979999997</v>
      </c>
      <c r="E55" s="206">
        <f>SUM(E45:E54)</f>
        <v>26623891.62</v>
      </c>
      <c r="F55" s="143">
        <f>(+D55-E55)/E55</f>
        <v>0.031802914918866984</v>
      </c>
      <c r="G55" s="217">
        <f>D55/C55</f>
        <v>0.21165306701028178</v>
      </c>
      <c r="H55" s="123"/>
    </row>
    <row r="56" spans="1:8" ht="15.75" customHeight="1" thickTop="1">
      <c r="A56" s="133"/>
      <c r="B56" s="134"/>
      <c r="C56" s="204"/>
      <c r="D56" s="204"/>
      <c r="E56" s="204"/>
      <c r="F56" s="132"/>
      <c r="G56" s="218"/>
      <c r="H56" s="123"/>
    </row>
    <row r="57" spans="1:8" ht="15" customHeight="1">
      <c r="A57" s="130" t="s">
        <v>39</v>
      </c>
      <c r="B57" s="131">
        <f>DATE(2018,7,1)</f>
        <v>43282</v>
      </c>
      <c r="C57" s="204">
        <v>16232884.5</v>
      </c>
      <c r="D57" s="204">
        <v>3513953.5</v>
      </c>
      <c r="E57" s="204">
        <v>4591352</v>
      </c>
      <c r="F57" s="132">
        <f aca="true" t="shared" si="8" ref="F57:F65">(+D57-E57)/E57</f>
        <v>-0.23465822267602224</v>
      </c>
      <c r="G57" s="215">
        <f aca="true" t="shared" si="9" ref="G57:G65">D57/C57</f>
        <v>0.21647129319499564</v>
      </c>
      <c r="H57" s="123"/>
    </row>
    <row r="58" spans="1:8" ht="15" customHeight="1">
      <c r="A58" s="130"/>
      <c r="B58" s="131">
        <f>DATE(2018,8,1)</f>
        <v>43313</v>
      </c>
      <c r="C58" s="204">
        <v>16145647</v>
      </c>
      <c r="D58" s="204">
        <v>3570821.5</v>
      </c>
      <c r="E58" s="204">
        <v>3842200.5</v>
      </c>
      <c r="F58" s="132">
        <f t="shared" si="8"/>
        <v>-0.07063113962949097</v>
      </c>
      <c r="G58" s="215">
        <f t="shared" si="9"/>
        <v>0.22116310978432763</v>
      </c>
      <c r="H58" s="123"/>
    </row>
    <row r="59" spans="1:8" ht="15" customHeight="1">
      <c r="A59" s="130"/>
      <c r="B59" s="131">
        <f>DATE(2018,9,1)</f>
        <v>43344</v>
      </c>
      <c r="C59" s="204">
        <v>16222388</v>
      </c>
      <c r="D59" s="204">
        <v>3367544</v>
      </c>
      <c r="E59" s="204">
        <v>3686124</v>
      </c>
      <c r="F59" s="132">
        <f t="shared" si="8"/>
        <v>-0.08642682666128432</v>
      </c>
      <c r="G59" s="215">
        <f t="shared" si="9"/>
        <v>0.2075862074067024</v>
      </c>
      <c r="H59" s="123"/>
    </row>
    <row r="60" spans="1:8" ht="15" customHeight="1">
      <c r="A60" s="130"/>
      <c r="B60" s="131">
        <f>DATE(2018,10,1)</f>
        <v>43374</v>
      </c>
      <c r="C60" s="204">
        <v>17396784</v>
      </c>
      <c r="D60" s="204">
        <v>3631888</v>
      </c>
      <c r="E60" s="204">
        <v>2992221.5</v>
      </c>
      <c r="F60" s="132">
        <f t="shared" si="8"/>
        <v>0.21377645338087436</v>
      </c>
      <c r="G60" s="215">
        <f t="shared" si="9"/>
        <v>0.20876778144742156</v>
      </c>
      <c r="H60" s="123"/>
    </row>
    <row r="61" spans="1:8" ht="15" customHeight="1">
      <c r="A61" s="130"/>
      <c r="B61" s="131">
        <f>DATE(2018,11,1)</f>
        <v>43405</v>
      </c>
      <c r="C61" s="204">
        <v>15185055</v>
      </c>
      <c r="D61" s="204">
        <v>3478954.5</v>
      </c>
      <c r="E61" s="204">
        <v>3676452</v>
      </c>
      <c r="F61" s="132">
        <f t="shared" si="8"/>
        <v>-0.05371959160625516</v>
      </c>
      <c r="G61" s="215">
        <f t="shared" si="9"/>
        <v>0.22910384585370286</v>
      </c>
      <c r="H61" s="123"/>
    </row>
    <row r="62" spans="1:8" ht="15" customHeight="1">
      <c r="A62" s="130"/>
      <c r="B62" s="131">
        <f>DATE(2018,12,1)</f>
        <v>43435</v>
      </c>
      <c r="C62" s="204">
        <v>16988835</v>
      </c>
      <c r="D62" s="204">
        <v>3863144</v>
      </c>
      <c r="E62" s="204">
        <v>3464937</v>
      </c>
      <c r="F62" s="132">
        <f t="shared" si="8"/>
        <v>0.11492474466346718</v>
      </c>
      <c r="G62" s="215">
        <f t="shared" si="9"/>
        <v>0.22739310847388888</v>
      </c>
      <c r="H62" s="123"/>
    </row>
    <row r="63" spans="1:8" ht="15" customHeight="1">
      <c r="A63" s="130"/>
      <c r="B63" s="131">
        <f>DATE(2019,1,1)</f>
        <v>43466</v>
      </c>
      <c r="C63" s="204">
        <v>14501861</v>
      </c>
      <c r="D63" s="204">
        <v>2474875.5</v>
      </c>
      <c r="E63" s="204">
        <v>2865998</v>
      </c>
      <c r="F63" s="132">
        <f t="shared" si="8"/>
        <v>-0.13646991379617152</v>
      </c>
      <c r="G63" s="215">
        <f t="shared" si="9"/>
        <v>0.17065916574431378</v>
      </c>
      <c r="H63" s="123"/>
    </row>
    <row r="64" spans="1:8" ht="15" customHeight="1">
      <c r="A64" s="130"/>
      <c r="B64" s="131">
        <f>DATE(2019,2,1)</f>
        <v>43497</v>
      </c>
      <c r="C64" s="204">
        <v>15264920</v>
      </c>
      <c r="D64" s="204">
        <v>2417434</v>
      </c>
      <c r="E64" s="204">
        <v>2919393.5</v>
      </c>
      <c r="F64" s="132">
        <f t="shared" si="8"/>
        <v>-0.17193965116384619</v>
      </c>
      <c r="G64" s="215">
        <f t="shared" si="9"/>
        <v>0.15836532389295194</v>
      </c>
      <c r="H64" s="123"/>
    </row>
    <row r="65" spans="1:8" ht="15" customHeight="1">
      <c r="A65" s="130"/>
      <c r="B65" s="131">
        <f>DATE(2019,3,1)</f>
        <v>43525</v>
      </c>
      <c r="C65" s="204">
        <v>18316032.05</v>
      </c>
      <c r="D65" s="204">
        <v>5092130.55</v>
      </c>
      <c r="E65" s="204">
        <v>3678003</v>
      </c>
      <c r="F65" s="132">
        <f t="shared" si="8"/>
        <v>0.3844824351693024</v>
      </c>
      <c r="G65" s="215">
        <f t="shared" si="9"/>
        <v>0.2780149399225363</v>
      </c>
      <c r="H65" s="123"/>
    </row>
    <row r="66" spans="1:8" ht="15" thickBot="1">
      <c r="A66" s="133"/>
      <c r="B66" s="131"/>
      <c r="C66" s="204"/>
      <c r="D66" s="204"/>
      <c r="E66" s="204"/>
      <c r="F66" s="132"/>
      <c r="G66" s="215"/>
      <c r="H66" s="123"/>
    </row>
    <row r="67" spans="1:8" ht="17.25" customHeight="1" thickBot="1" thickTop="1">
      <c r="A67" s="141" t="s">
        <v>14</v>
      </c>
      <c r="B67" s="142"/>
      <c r="C67" s="207">
        <f>SUM(C57:C66)</f>
        <v>146254406.55</v>
      </c>
      <c r="D67" s="261">
        <f>SUM(D57:D66)</f>
        <v>31410745.55</v>
      </c>
      <c r="E67" s="206">
        <f>SUM(E57:E66)</f>
        <v>31716681.5</v>
      </c>
      <c r="F67" s="268">
        <f>(+D67-E67)/E67</f>
        <v>-0.009645900375800641</v>
      </c>
      <c r="G67" s="267">
        <f>D67/C67</f>
        <v>0.21476785753639227</v>
      </c>
      <c r="H67" s="123"/>
    </row>
    <row r="68" spans="1:8" ht="15.75" customHeight="1" thickTop="1">
      <c r="A68" s="130"/>
      <c r="B68" s="134"/>
      <c r="C68" s="204"/>
      <c r="D68" s="204"/>
      <c r="E68" s="204"/>
      <c r="F68" s="132"/>
      <c r="G68" s="218"/>
      <c r="H68" s="123"/>
    </row>
    <row r="69" spans="1:8" ht="15">
      <c r="A69" s="130" t="s">
        <v>66</v>
      </c>
      <c r="B69" s="131">
        <f>DATE(2018,7,1)</f>
        <v>43282</v>
      </c>
      <c r="C69" s="204">
        <v>2606833</v>
      </c>
      <c r="D69" s="204">
        <v>682875.5</v>
      </c>
      <c r="E69" s="204">
        <v>703792.5</v>
      </c>
      <c r="F69" s="132">
        <f aca="true" t="shared" si="10" ref="F69:F77">(+D69-E69)/E69</f>
        <v>-0.029720407648561188</v>
      </c>
      <c r="G69" s="215">
        <f aca="true" t="shared" si="11" ref="G69:G77">D69/C69</f>
        <v>0.26195598260417907</v>
      </c>
      <c r="H69" s="123"/>
    </row>
    <row r="70" spans="1:8" ht="15">
      <c r="A70" s="130"/>
      <c r="B70" s="131">
        <f>DATE(2018,8,1)</f>
        <v>43313</v>
      </c>
      <c r="C70" s="204">
        <v>2586664</v>
      </c>
      <c r="D70" s="204">
        <v>651283.5</v>
      </c>
      <c r="E70" s="204">
        <v>551376.5</v>
      </c>
      <c r="F70" s="132">
        <f t="shared" si="10"/>
        <v>0.1811956077199518</v>
      </c>
      <c r="G70" s="215">
        <f t="shared" si="11"/>
        <v>0.2517851178197091</v>
      </c>
      <c r="H70" s="123"/>
    </row>
    <row r="71" spans="1:8" ht="15">
      <c r="A71" s="130"/>
      <c r="B71" s="131">
        <f>DATE(2018,9,1)</f>
        <v>43344</v>
      </c>
      <c r="C71" s="204">
        <v>2355213</v>
      </c>
      <c r="D71" s="204">
        <v>584999.5</v>
      </c>
      <c r="E71" s="204">
        <v>737458.5</v>
      </c>
      <c r="F71" s="132">
        <f t="shared" si="10"/>
        <v>-0.20673570105978845</v>
      </c>
      <c r="G71" s="215">
        <f t="shared" si="11"/>
        <v>0.2483849656060832</v>
      </c>
      <c r="H71" s="123"/>
    </row>
    <row r="72" spans="1:8" ht="15">
      <c r="A72" s="130"/>
      <c r="B72" s="131">
        <f>DATE(2018,10,1)</f>
        <v>43374</v>
      </c>
      <c r="C72" s="204">
        <v>2214253</v>
      </c>
      <c r="D72" s="204">
        <v>681963.5</v>
      </c>
      <c r="E72" s="204">
        <v>599085</v>
      </c>
      <c r="F72" s="132">
        <f t="shared" si="10"/>
        <v>0.13834180458532597</v>
      </c>
      <c r="G72" s="215">
        <f t="shared" si="11"/>
        <v>0.3079880664043359</v>
      </c>
      <c r="H72" s="123"/>
    </row>
    <row r="73" spans="1:8" ht="15">
      <c r="A73" s="130"/>
      <c r="B73" s="131">
        <f>DATE(2018,11,1)</f>
        <v>43405</v>
      </c>
      <c r="C73" s="204">
        <v>2440196</v>
      </c>
      <c r="D73" s="204">
        <v>534840</v>
      </c>
      <c r="E73" s="204">
        <v>713063.5</v>
      </c>
      <c r="F73" s="132">
        <f t="shared" si="10"/>
        <v>-0.2499405733149993</v>
      </c>
      <c r="G73" s="215">
        <f t="shared" si="11"/>
        <v>0.21917911512026084</v>
      </c>
      <c r="H73" s="123"/>
    </row>
    <row r="74" spans="1:8" ht="15">
      <c r="A74" s="130"/>
      <c r="B74" s="131">
        <f>DATE(2018,12,1)</f>
        <v>43435</v>
      </c>
      <c r="C74" s="204">
        <v>2873950</v>
      </c>
      <c r="D74" s="204">
        <v>680547.57</v>
      </c>
      <c r="E74" s="204">
        <v>726564.5</v>
      </c>
      <c r="F74" s="132">
        <f t="shared" si="10"/>
        <v>-0.06333495512098382</v>
      </c>
      <c r="G74" s="215">
        <f t="shared" si="11"/>
        <v>0.23679868125750272</v>
      </c>
      <c r="H74" s="123"/>
    </row>
    <row r="75" spans="1:8" ht="15">
      <c r="A75" s="130"/>
      <c r="B75" s="131">
        <f>DATE(2019,1,1)</f>
        <v>43466</v>
      </c>
      <c r="C75" s="204">
        <v>2395817</v>
      </c>
      <c r="D75" s="204">
        <v>696823.5</v>
      </c>
      <c r="E75" s="204">
        <v>498012.5</v>
      </c>
      <c r="F75" s="132">
        <f t="shared" si="10"/>
        <v>0.3992088551994177</v>
      </c>
      <c r="G75" s="215">
        <f t="shared" si="11"/>
        <v>0.2908500524038355</v>
      </c>
      <c r="H75" s="123"/>
    </row>
    <row r="76" spans="1:8" ht="15">
      <c r="A76" s="130"/>
      <c r="B76" s="131">
        <f>DATE(2019,2,1)</f>
        <v>43497</v>
      </c>
      <c r="C76" s="204">
        <v>2579795</v>
      </c>
      <c r="D76" s="204">
        <v>505834.5</v>
      </c>
      <c r="E76" s="204">
        <v>615710.5</v>
      </c>
      <c r="F76" s="132">
        <f t="shared" si="10"/>
        <v>-0.17845399745497276</v>
      </c>
      <c r="G76" s="215">
        <f t="shared" si="11"/>
        <v>0.1960754633604608</v>
      </c>
      <c r="H76" s="123"/>
    </row>
    <row r="77" spans="1:8" ht="15">
      <c r="A77" s="130"/>
      <c r="B77" s="131">
        <f>DATE(2019,3,1)</f>
        <v>43525</v>
      </c>
      <c r="C77" s="204">
        <v>2846844</v>
      </c>
      <c r="D77" s="204">
        <v>610444.5</v>
      </c>
      <c r="E77" s="204">
        <v>707304</v>
      </c>
      <c r="F77" s="132">
        <f t="shared" si="10"/>
        <v>-0.1369418241661294</v>
      </c>
      <c r="G77" s="215">
        <f t="shared" si="11"/>
        <v>0.214428503985466</v>
      </c>
      <c r="H77" s="123"/>
    </row>
    <row r="78" spans="1:8" ht="15.75" customHeight="1" thickBot="1">
      <c r="A78" s="130"/>
      <c r="B78" s="131"/>
      <c r="C78" s="204"/>
      <c r="D78" s="204"/>
      <c r="E78" s="204"/>
      <c r="F78" s="132"/>
      <c r="G78" s="215"/>
      <c r="H78" s="123"/>
    </row>
    <row r="79" spans="1:8" ht="16.5" thickBot="1" thickTop="1">
      <c r="A79" s="141" t="s">
        <v>14</v>
      </c>
      <c r="B79" s="142"/>
      <c r="C79" s="207">
        <f>SUM(C69:C78)</f>
        <v>22899565</v>
      </c>
      <c r="D79" s="261">
        <f>SUM(D69:D78)</f>
        <v>5629612.07</v>
      </c>
      <c r="E79" s="207">
        <f>SUM(E69:E78)</f>
        <v>5852367.5</v>
      </c>
      <c r="F79" s="268">
        <f>(+D79-E79)/E79</f>
        <v>-0.038062447377065725</v>
      </c>
      <c r="G79" s="267">
        <f>D79/C79</f>
        <v>0.24583925808197668</v>
      </c>
      <c r="H79" s="123"/>
    </row>
    <row r="80" spans="1:8" ht="15.75" customHeight="1" thickTop="1">
      <c r="A80" s="130"/>
      <c r="B80" s="134"/>
      <c r="C80" s="204"/>
      <c r="D80" s="204"/>
      <c r="E80" s="204"/>
      <c r="F80" s="132"/>
      <c r="G80" s="218"/>
      <c r="H80" s="123"/>
    </row>
    <row r="81" spans="1:8" ht="15">
      <c r="A81" s="130" t="s">
        <v>17</v>
      </c>
      <c r="B81" s="131">
        <f>DATE(2018,7,1)</f>
        <v>43282</v>
      </c>
      <c r="C81" s="204">
        <v>1436883</v>
      </c>
      <c r="D81" s="204">
        <v>395162.5</v>
      </c>
      <c r="E81" s="204">
        <v>362602</v>
      </c>
      <c r="F81" s="132">
        <f aca="true" t="shared" si="12" ref="F81:F89">(+D81-E81)/E81</f>
        <v>0.08979680200329838</v>
      </c>
      <c r="G81" s="215">
        <f aca="true" t="shared" si="13" ref="G81:G89">D81/C81</f>
        <v>0.2750136928337241</v>
      </c>
      <c r="H81" s="123"/>
    </row>
    <row r="82" spans="1:8" ht="15">
      <c r="A82" s="130"/>
      <c r="B82" s="131">
        <f>DATE(2018,8,1)</f>
        <v>43313</v>
      </c>
      <c r="C82" s="204">
        <v>1346022</v>
      </c>
      <c r="D82" s="204">
        <v>271146</v>
      </c>
      <c r="E82" s="204">
        <v>327445</v>
      </c>
      <c r="F82" s="132">
        <f t="shared" si="12"/>
        <v>-0.17193421796026814</v>
      </c>
      <c r="G82" s="215">
        <f t="shared" si="13"/>
        <v>0.20144247270846985</v>
      </c>
      <c r="H82" s="123"/>
    </row>
    <row r="83" spans="1:8" ht="15">
      <c r="A83" s="130"/>
      <c r="B83" s="131">
        <f>DATE(2018,9,1)</f>
        <v>43344</v>
      </c>
      <c r="C83" s="204">
        <v>1317459</v>
      </c>
      <c r="D83" s="204">
        <v>347747</v>
      </c>
      <c r="E83" s="204">
        <v>332251.5</v>
      </c>
      <c r="F83" s="132">
        <f t="shared" si="12"/>
        <v>0.04663786318496681</v>
      </c>
      <c r="G83" s="215">
        <f t="shared" si="13"/>
        <v>0.2639528061214808</v>
      </c>
      <c r="H83" s="123"/>
    </row>
    <row r="84" spans="1:8" ht="15">
      <c r="A84" s="130"/>
      <c r="B84" s="131">
        <f>DATE(2018,10,1)</f>
        <v>43374</v>
      </c>
      <c r="C84" s="204">
        <v>1265550</v>
      </c>
      <c r="D84" s="204">
        <v>240203.5</v>
      </c>
      <c r="E84" s="204">
        <v>339253.5</v>
      </c>
      <c r="F84" s="132">
        <f t="shared" si="12"/>
        <v>-0.29196456337222754</v>
      </c>
      <c r="G84" s="215">
        <f t="shared" si="13"/>
        <v>0.18980166725929437</v>
      </c>
      <c r="H84" s="123"/>
    </row>
    <row r="85" spans="1:8" ht="15">
      <c r="A85" s="130"/>
      <c r="B85" s="131">
        <f>DATE(2018,11,1)</f>
        <v>43405</v>
      </c>
      <c r="C85" s="204">
        <v>1401653</v>
      </c>
      <c r="D85" s="204">
        <v>171704.5</v>
      </c>
      <c r="E85" s="204">
        <v>333725</v>
      </c>
      <c r="F85" s="132">
        <f t="shared" si="12"/>
        <v>-0.4854910480185782</v>
      </c>
      <c r="G85" s="215">
        <f t="shared" si="13"/>
        <v>0.12250143223750815</v>
      </c>
      <c r="H85" s="123"/>
    </row>
    <row r="86" spans="1:8" ht="15">
      <c r="A86" s="130"/>
      <c r="B86" s="131">
        <f>DATE(2018,12,1)</f>
        <v>43435</v>
      </c>
      <c r="C86" s="204">
        <v>1462254</v>
      </c>
      <c r="D86" s="204">
        <v>334648.5</v>
      </c>
      <c r="E86" s="204">
        <v>307903.75</v>
      </c>
      <c r="F86" s="132">
        <f t="shared" si="12"/>
        <v>0.08686074787981633</v>
      </c>
      <c r="G86" s="215">
        <f t="shared" si="13"/>
        <v>0.22885798226573495</v>
      </c>
      <c r="H86" s="123"/>
    </row>
    <row r="87" spans="1:8" ht="15">
      <c r="A87" s="130"/>
      <c r="B87" s="131">
        <f>DATE(2019,1,1)</f>
        <v>43466</v>
      </c>
      <c r="C87" s="204">
        <v>1349219</v>
      </c>
      <c r="D87" s="204">
        <v>312324</v>
      </c>
      <c r="E87" s="204">
        <v>242105.5</v>
      </c>
      <c r="F87" s="132">
        <f t="shared" si="12"/>
        <v>0.29003265105501524</v>
      </c>
      <c r="G87" s="215">
        <f t="shared" si="13"/>
        <v>0.23148502948742938</v>
      </c>
      <c r="H87" s="123"/>
    </row>
    <row r="88" spans="1:8" ht="15">
      <c r="A88" s="130"/>
      <c r="B88" s="131">
        <f>DATE(2019,2,1)</f>
        <v>43497</v>
      </c>
      <c r="C88" s="204">
        <v>1249766</v>
      </c>
      <c r="D88" s="204">
        <v>300723</v>
      </c>
      <c r="E88" s="204">
        <v>272009.5</v>
      </c>
      <c r="F88" s="132">
        <f t="shared" si="12"/>
        <v>0.10556065137430862</v>
      </c>
      <c r="G88" s="215">
        <f t="shared" si="13"/>
        <v>0.2406234447088495</v>
      </c>
      <c r="H88" s="123"/>
    </row>
    <row r="89" spans="1:8" ht="15">
      <c r="A89" s="130"/>
      <c r="B89" s="131">
        <f>DATE(2019,3,1)</f>
        <v>43525</v>
      </c>
      <c r="C89" s="204">
        <v>1694818.26</v>
      </c>
      <c r="D89" s="204">
        <v>353110.26</v>
      </c>
      <c r="E89" s="204">
        <v>265483</v>
      </c>
      <c r="F89" s="132">
        <f t="shared" si="12"/>
        <v>0.330067311277935</v>
      </c>
      <c r="G89" s="215">
        <f t="shared" si="13"/>
        <v>0.20834697638907904</v>
      </c>
      <c r="H89" s="123"/>
    </row>
    <row r="90" spans="1:8" ht="15.75" customHeight="1" thickBot="1">
      <c r="A90" s="130"/>
      <c r="B90" s="131"/>
      <c r="C90" s="204"/>
      <c r="D90" s="204"/>
      <c r="E90" s="204"/>
      <c r="F90" s="132"/>
      <c r="G90" s="215"/>
      <c r="H90" s="123"/>
    </row>
    <row r="91" spans="1:8" ht="16.5" thickBot="1" thickTop="1">
      <c r="A91" s="141" t="s">
        <v>14</v>
      </c>
      <c r="B91" s="142"/>
      <c r="C91" s="207">
        <f>SUM(C81:C90)</f>
        <v>12523624.26</v>
      </c>
      <c r="D91" s="261">
        <f>SUM(D81:D90)</f>
        <v>2726769.26</v>
      </c>
      <c r="E91" s="207">
        <f>SUM(E81:E90)</f>
        <v>2782778.75</v>
      </c>
      <c r="F91" s="269">
        <f>(+D91-E91)/E91</f>
        <v>-0.02012718043071165</v>
      </c>
      <c r="G91" s="267">
        <f>D91/C91</f>
        <v>0.21773004390663506</v>
      </c>
      <c r="H91" s="123"/>
    </row>
    <row r="92" spans="1:8" ht="15.75" customHeight="1" thickTop="1">
      <c r="A92" s="130"/>
      <c r="B92" s="139"/>
      <c r="C92" s="205"/>
      <c r="D92" s="205"/>
      <c r="E92" s="205"/>
      <c r="F92" s="140"/>
      <c r="G92" s="216"/>
      <c r="H92" s="123"/>
    </row>
    <row r="93" spans="1:8" ht="15">
      <c r="A93" s="130" t="s">
        <v>55</v>
      </c>
      <c r="B93" s="131">
        <f>DATE(2018,7,1)</f>
        <v>43282</v>
      </c>
      <c r="C93" s="204">
        <v>13110915</v>
      </c>
      <c r="D93" s="204">
        <v>2057880.1</v>
      </c>
      <c r="E93" s="204">
        <v>2414267.38</v>
      </c>
      <c r="F93" s="132">
        <f aca="true" t="shared" si="14" ref="F93:F101">(+D93-E93)/E93</f>
        <v>-0.14761715415299187</v>
      </c>
      <c r="G93" s="215">
        <f aca="true" t="shared" si="15" ref="G93:G101">D93/C93</f>
        <v>0.1569593045184108</v>
      </c>
      <c r="H93" s="123"/>
    </row>
    <row r="94" spans="1:8" ht="15">
      <c r="A94" s="130"/>
      <c r="B94" s="131">
        <f>DATE(2018,8,1)</f>
        <v>43313</v>
      </c>
      <c r="C94" s="204">
        <v>13239234</v>
      </c>
      <c r="D94" s="204">
        <v>2105874.34</v>
      </c>
      <c r="E94" s="204">
        <v>2346748.3</v>
      </c>
      <c r="F94" s="132">
        <f t="shared" si="14"/>
        <v>-0.10264158282334751</v>
      </c>
      <c r="G94" s="215">
        <f t="shared" si="15"/>
        <v>0.15906315576867966</v>
      </c>
      <c r="H94" s="123"/>
    </row>
    <row r="95" spans="1:8" ht="15">
      <c r="A95" s="130"/>
      <c r="B95" s="131">
        <f>DATE(2018,9,1)</f>
        <v>43344</v>
      </c>
      <c r="C95" s="204">
        <v>12390658</v>
      </c>
      <c r="D95" s="204">
        <v>2555133.64</v>
      </c>
      <c r="E95" s="204">
        <v>2183188.72</v>
      </c>
      <c r="F95" s="132">
        <f t="shared" si="14"/>
        <v>0.17036773623491416</v>
      </c>
      <c r="G95" s="215">
        <f t="shared" si="15"/>
        <v>0.20621452387758585</v>
      </c>
      <c r="H95" s="123"/>
    </row>
    <row r="96" spans="1:8" ht="15">
      <c r="A96" s="130"/>
      <c r="B96" s="131">
        <f>DATE(2018,10,1)</f>
        <v>43374</v>
      </c>
      <c r="C96" s="204">
        <v>12275724</v>
      </c>
      <c r="D96" s="204">
        <v>2662687.6</v>
      </c>
      <c r="E96" s="204">
        <v>1755251.41</v>
      </c>
      <c r="F96" s="132">
        <f t="shared" si="14"/>
        <v>0.5169835983780809</v>
      </c>
      <c r="G96" s="215">
        <f t="shared" si="15"/>
        <v>0.21690676655812724</v>
      </c>
      <c r="H96" s="123"/>
    </row>
    <row r="97" spans="1:8" ht="15">
      <c r="A97" s="130"/>
      <c r="B97" s="131">
        <f>DATE(2018,11,1)</f>
        <v>43405</v>
      </c>
      <c r="C97" s="204">
        <v>12544158</v>
      </c>
      <c r="D97" s="204">
        <v>2453062.82</v>
      </c>
      <c r="E97" s="204">
        <v>2283849</v>
      </c>
      <c r="F97" s="132">
        <f t="shared" si="14"/>
        <v>0.07409150955251413</v>
      </c>
      <c r="G97" s="215">
        <f t="shared" si="15"/>
        <v>0.19555420300031295</v>
      </c>
      <c r="H97" s="123"/>
    </row>
    <row r="98" spans="1:8" ht="15">
      <c r="A98" s="130"/>
      <c r="B98" s="131">
        <f>DATE(2018,12,1)</f>
        <v>43435</v>
      </c>
      <c r="C98" s="204">
        <v>13031097</v>
      </c>
      <c r="D98" s="204">
        <v>2360180.63</v>
      </c>
      <c r="E98" s="204">
        <v>2519457.53</v>
      </c>
      <c r="F98" s="132">
        <f t="shared" si="14"/>
        <v>-0.06321872788226754</v>
      </c>
      <c r="G98" s="215">
        <f t="shared" si="15"/>
        <v>0.18111910532167783</v>
      </c>
      <c r="H98" s="123"/>
    </row>
    <row r="99" spans="1:8" ht="15">
      <c r="A99" s="130"/>
      <c r="B99" s="131">
        <f>DATE(2019,1,1)</f>
        <v>43466</v>
      </c>
      <c r="C99" s="204">
        <v>10882666</v>
      </c>
      <c r="D99" s="204">
        <v>2536749.79</v>
      </c>
      <c r="E99" s="204">
        <v>2138515.99</v>
      </c>
      <c r="F99" s="132">
        <f t="shared" si="14"/>
        <v>0.1862196971461503</v>
      </c>
      <c r="G99" s="215">
        <f t="shared" si="15"/>
        <v>0.23310003173854643</v>
      </c>
      <c r="H99" s="123"/>
    </row>
    <row r="100" spans="1:8" ht="15">
      <c r="A100" s="130"/>
      <c r="B100" s="131">
        <f>DATE(2019,2,1)</f>
        <v>43497</v>
      </c>
      <c r="C100" s="204">
        <v>10918433</v>
      </c>
      <c r="D100" s="204">
        <v>1828257.84</v>
      </c>
      <c r="E100" s="204">
        <v>2359809.15</v>
      </c>
      <c r="F100" s="132">
        <f t="shared" si="14"/>
        <v>-0.22525182174160135</v>
      </c>
      <c r="G100" s="215">
        <f t="shared" si="15"/>
        <v>0.16744690744541824</v>
      </c>
      <c r="H100" s="123"/>
    </row>
    <row r="101" spans="1:8" ht="15">
      <c r="A101" s="130"/>
      <c r="B101" s="131">
        <f>DATE(2019,3,1)</f>
        <v>43525</v>
      </c>
      <c r="C101" s="204">
        <v>13341524</v>
      </c>
      <c r="D101" s="204">
        <v>2606523</v>
      </c>
      <c r="E101" s="204">
        <v>2616619.2</v>
      </c>
      <c r="F101" s="132">
        <f t="shared" si="14"/>
        <v>-0.003858490375672618</v>
      </c>
      <c r="G101" s="215">
        <f t="shared" si="15"/>
        <v>0.19536920969448468</v>
      </c>
      <c r="H101" s="123"/>
    </row>
    <row r="102" spans="1:8" ht="15.75" customHeight="1" thickBot="1">
      <c r="A102" s="130"/>
      <c r="B102" s="131"/>
      <c r="C102" s="204"/>
      <c r="D102" s="204"/>
      <c r="E102" s="204"/>
      <c r="F102" s="132"/>
      <c r="G102" s="215"/>
      <c r="H102" s="123"/>
    </row>
    <row r="103" spans="1:8" ht="16.5" thickBot="1" thickTop="1">
      <c r="A103" s="141" t="s">
        <v>14</v>
      </c>
      <c r="B103" s="142"/>
      <c r="C103" s="206">
        <f>SUM(C93:C102)</f>
        <v>111734409</v>
      </c>
      <c r="D103" s="206">
        <f>SUM(D93:D102)</f>
        <v>21166349.759999998</v>
      </c>
      <c r="E103" s="206">
        <f>SUM(E93:E102)</f>
        <v>20617706.68</v>
      </c>
      <c r="F103" s="143">
        <f>(+D103-E103)/E103</f>
        <v>0.026610286416199915</v>
      </c>
      <c r="G103" s="217">
        <f>D103/C103</f>
        <v>0.1894344808321311</v>
      </c>
      <c r="H103" s="123"/>
    </row>
    <row r="104" spans="1:8" ht="15.75" customHeight="1" thickTop="1">
      <c r="A104" s="138"/>
      <c r="B104" s="139"/>
      <c r="C104" s="205"/>
      <c r="D104" s="205"/>
      <c r="E104" s="205"/>
      <c r="F104" s="140"/>
      <c r="G104" s="216"/>
      <c r="H104" s="123"/>
    </row>
    <row r="105" spans="1:8" ht="15">
      <c r="A105" s="130" t="s">
        <v>18</v>
      </c>
      <c r="B105" s="131">
        <f>DATE(2018,7,1)</f>
        <v>43282</v>
      </c>
      <c r="C105" s="204">
        <v>13620105.34</v>
      </c>
      <c r="D105" s="204">
        <v>2729067.84</v>
      </c>
      <c r="E105" s="204">
        <v>2350317.5</v>
      </c>
      <c r="F105" s="132">
        <f aca="true" t="shared" si="16" ref="F105:F113">(+D105-E105)/E105</f>
        <v>0.16114858524433395</v>
      </c>
      <c r="G105" s="215">
        <f aca="true" t="shared" si="17" ref="G105:G113">D105/C105</f>
        <v>0.20037053839702534</v>
      </c>
      <c r="H105" s="123"/>
    </row>
    <row r="106" spans="1:8" ht="15">
      <c r="A106" s="130"/>
      <c r="B106" s="131">
        <f>DATE(2018,8,1)</f>
        <v>43313</v>
      </c>
      <c r="C106" s="204">
        <v>12049552</v>
      </c>
      <c r="D106" s="204">
        <v>2970026</v>
      </c>
      <c r="E106" s="204">
        <v>1942234.5</v>
      </c>
      <c r="F106" s="132">
        <f t="shared" si="16"/>
        <v>0.5291799213740668</v>
      </c>
      <c r="G106" s="215">
        <f t="shared" si="17"/>
        <v>0.2464843506215003</v>
      </c>
      <c r="H106" s="123"/>
    </row>
    <row r="107" spans="1:8" ht="15">
      <c r="A107" s="130"/>
      <c r="B107" s="131">
        <f>DATE(2018,9,1)</f>
        <v>43344</v>
      </c>
      <c r="C107" s="204">
        <v>11797906</v>
      </c>
      <c r="D107" s="204">
        <v>2637413.5</v>
      </c>
      <c r="E107" s="204">
        <v>2639234.26</v>
      </c>
      <c r="F107" s="132">
        <f t="shared" si="16"/>
        <v>-0.0006898819205233326</v>
      </c>
      <c r="G107" s="215">
        <f t="shared" si="17"/>
        <v>0.22354928917046804</v>
      </c>
      <c r="H107" s="123"/>
    </row>
    <row r="108" spans="1:8" ht="15">
      <c r="A108" s="130"/>
      <c r="B108" s="131">
        <f>DATE(2018,10,1)</f>
        <v>43374</v>
      </c>
      <c r="C108" s="204">
        <v>11119336</v>
      </c>
      <c r="D108" s="204">
        <v>1894492</v>
      </c>
      <c r="E108" s="204">
        <v>2495709.5</v>
      </c>
      <c r="F108" s="132">
        <f t="shared" si="16"/>
        <v>-0.2409004333236701</v>
      </c>
      <c r="G108" s="215">
        <f t="shared" si="17"/>
        <v>0.17037815927138095</v>
      </c>
      <c r="H108" s="123"/>
    </row>
    <row r="109" spans="1:8" ht="15">
      <c r="A109" s="130"/>
      <c r="B109" s="131">
        <f>DATE(2018,11,1)</f>
        <v>43405</v>
      </c>
      <c r="C109" s="204">
        <v>11602598.5</v>
      </c>
      <c r="D109" s="204">
        <v>2412367</v>
      </c>
      <c r="E109" s="204">
        <v>2041604</v>
      </c>
      <c r="F109" s="132">
        <f t="shared" si="16"/>
        <v>0.1816037782057637</v>
      </c>
      <c r="G109" s="215">
        <f t="shared" si="17"/>
        <v>0.20791609741559186</v>
      </c>
      <c r="H109" s="123"/>
    </row>
    <row r="110" spans="1:8" ht="15">
      <c r="A110" s="130"/>
      <c r="B110" s="131">
        <f>DATE(2018,12,1)</f>
        <v>43435</v>
      </c>
      <c r="C110" s="204">
        <v>12657489</v>
      </c>
      <c r="D110" s="204">
        <v>2615452.5</v>
      </c>
      <c r="E110" s="204">
        <v>2741297</v>
      </c>
      <c r="F110" s="132">
        <f t="shared" si="16"/>
        <v>-0.04590691924297148</v>
      </c>
      <c r="G110" s="215">
        <f t="shared" si="17"/>
        <v>0.20663280845039644</v>
      </c>
      <c r="H110" s="123"/>
    </row>
    <row r="111" spans="1:8" ht="15">
      <c r="A111" s="130"/>
      <c r="B111" s="131">
        <f>DATE(2019,1,1)</f>
        <v>43466</v>
      </c>
      <c r="C111" s="204">
        <v>10915541</v>
      </c>
      <c r="D111" s="204">
        <v>2027761</v>
      </c>
      <c r="E111" s="204">
        <v>2741722.5</v>
      </c>
      <c r="F111" s="132">
        <f t="shared" si="16"/>
        <v>-0.2604061862569972</v>
      </c>
      <c r="G111" s="215">
        <f t="shared" si="17"/>
        <v>0.18576825463804314</v>
      </c>
      <c r="H111" s="123"/>
    </row>
    <row r="112" spans="1:8" ht="15">
      <c r="A112" s="130"/>
      <c r="B112" s="131">
        <f>DATE(2019,2,1)</f>
        <v>43497</v>
      </c>
      <c r="C112" s="204">
        <v>10957943</v>
      </c>
      <c r="D112" s="204">
        <v>2349146</v>
      </c>
      <c r="E112" s="204">
        <v>2377846.5</v>
      </c>
      <c r="F112" s="132">
        <f t="shared" si="16"/>
        <v>-0.012069954894060656</v>
      </c>
      <c r="G112" s="215">
        <f t="shared" si="17"/>
        <v>0.21437837375135096</v>
      </c>
      <c r="H112" s="123"/>
    </row>
    <row r="113" spans="1:8" ht="15">
      <c r="A113" s="130"/>
      <c r="B113" s="131">
        <f>DATE(2019,3,1)</f>
        <v>43525</v>
      </c>
      <c r="C113" s="204">
        <v>14321433</v>
      </c>
      <c r="D113" s="204">
        <v>2873476</v>
      </c>
      <c r="E113" s="204">
        <v>2485041.2</v>
      </c>
      <c r="F113" s="132">
        <f t="shared" si="16"/>
        <v>0.15630919921971506</v>
      </c>
      <c r="G113" s="215">
        <f t="shared" si="17"/>
        <v>0.20064165366692005</v>
      </c>
      <c r="H113" s="123"/>
    </row>
    <row r="114" spans="1:8" ht="15.75" customHeight="1" thickBot="1">
      <c r="A114" s="130"/>
      <c r="B114" s="131"/>
      <c r="C114" s="204"/>
      <c r="D114" s="204"/>
      <c r="E114" s="204"/>
      <c r="F114" s="132"/>
      <c r="G114" s="215"/>
      <c r="H114" s="123"/>
    </row>
    <row r="115" spans="1:8" ht="16.5" thickBot="1" thickTop="1">
      <c r="A115" s="141" t="s">
        <v>14</v>
      </c>
      <c r="B115" s="142"/>
      <c r="C115" s="206">
        <f>SUM(C105:C114)</f>
        <v>109041903.84</v>
      </c>
      <c r="D115" s="206">
        <f>SUM(D105:D114)</f>
        <v>22509201.84</v>
      </c>
      <c r="E115" s="206">
        <f>SUM(E105:E114)</f>
        <v>21815006.959999997</v>
      </c>
      <c r="F115" s="143">
        <f>(+D115-E115)/E115</f>
        <v>0.03182189587529716</v>
      </c>
      <c r="G115" s="217">
        <f>D115/C115</f>
        <v>0.20642708029959136</v>
      </c>
      <c r="H115" s="123"/>
    </row>
    <row r="116" spans="1:8" ht="15.75" customHeight="1" thickTop="1">
      <c r="A116" s="138"/>
      <c r="B116" s="139"/>
      <c r="C116" s="205"/>
      <c r="D116" s="205"/>
      <c r="E116" s="205"/>
      <c r="F116" s="140"/>
      <c r="G116" s="216"/>
      <c r="H116" s="123"/>
    </row>
    <row r="117" spans="1:8" ht="15">
      <c r="A117" s="130" t="s">
        <v>58</v>
      </c>
      <c r="B117" s="131">
        <f>DATE(2018,7,1)</f>
        <v>43282</v>
      </c>
      <c r="C117" s="204">
        <v>12908644</v>
      </c>
      <c r="D117" s="204">
        <v>2887936.73</v>
      </c>
      <c r="E117" s="204">
        <v>2354816.66</v>
      </c>
      <c r="F117" s="132">
        <f aca="true" t="shared" si="18" ref="F117:F125">(+D117-E117)/E117</f>
        <v>0.22639557425247697</v>
      </c>
      <c r="G117" s="215">
        <f aca="true" t="shared" si="19" ref="G117:G125">D117/C117</f>
        <v>0.22372115382529723</v>
      </c>
      <c r="H117" s="123"/>
    </row>
    <row r="118" spans="1:8" ht="15">
      <c r="A118" s="130"/>
      <c r="B118" s="131">
        <f>DATE(2018,8,1)</f>
        <v>43313</v>
      </c>
      <c r="C118" s="204">
        <v>11947559</v>
      </c>
      <c r="D118" s="204">
        <v>2450226.84</v>
      </c>
      <c r="E118" s="204">
        <v>1981472</v>
      </c>
      <c r="F118" s="132">
        <f t="shared" si="18"/>
        <v>0.23656899517126653</v>
      </c>
      <c r="G118" s="215">
        <f t="shared" si="19"/>
        <v>0.2050817945322555</v>
      </c>
      <c r="H118" s="123"/>
    </row>
    <row r="119" spans="1:8" ht="15">
      <c r="A119" s="130"/>
      <c r="B119" s="131">
        <f>DATE(2018,9,1)</f>
        <v>43344</v>
      </c>
      <c r="C119" s="204">
        <v>12029316</v>
      </c>
      <c r="D119" s="204">
        <v>1932757.4</v>
      </c>
      <c r="E119" s="204">
        <v>2416134</v>
      </c>
      <c r="F119" s="132">
        <f t="shared" si="18"/>
        <v>-0.20006199987252365</v>
      </c>
      <c r="G119" s="215">
        <f t="shared" si="19"/>
        <v>0.1606705983947882</v>
      </c>
      <c r="H119" s="123"/>
    </row>
    <row r="120" spans="1:8" ht="15">
      <c r="A120" s="130"/>
      <c r="B120" s="131">
        <f>DATE(2018,10,1)</f>
        <v>43374</v>
      </c>
      <c r="C120" s="204">
        <v>13251865</v>
      </c>
      <c r="D120" s="204">
        <v>1108774.5</v>
      </c>
      <c r="E120" s="204">
        <v>2118997.32</v>
      </c>
      <c r="F120" s="132">
        <f t="shared" si="18"/>
        <v>-0.476745680829837</v>
      </c>
      <c r="G120" s="215">
        <f t="shared" si="19"/>
        <v>0.08366931748851954</v>
      </c>
      <c r="H120" s="123"/>
    </row>
    <row r="121" spans="1:8" ht="15">
      <c r="A121" s="130"/>
      <c r="B121" s="131">
        <f>DATE(2018,11,1)</f>
        <v>43405</v>
      </c>
      <c r="C121" s="204">
        <v>14843812</v>
      </c>
      <c r="D121" s="204">
        <v>4255264.95</v>
      </c>
      <c r="E121" s="204">
        <v>2312922.92</v>
      </c>
      <c r="F121" s="132">
        <f t="shared" si="18"/>
        <v>0.839778106397078</v>
      </c>
      <c r="G121" s="215">
        <f t="shared" si="19"/>
        <v>0.2866692834697718</v>
      </c>
      <c r="H121" s="123"/>
    </row>
    <row r="122" spans="1:8" ht="15">
      <c r="A122" s="130"/>
      <c r="B122" s="131">
        <f>DATE(2018,12,1)</f>
        <v>43435</v>
      </c>
      <c r="C122" s="204">
        <v>15844873</v>
      </c>
      <c r="D122" s="204">
        <v>3211966.31</v>
      </c>
      <c r="E122" s="204">
        <v>2152431.25</v>
      </c>
      <c r="F122" s="132">
        <f t="shared" si="18"/>
        <v>0.49225036107425035</v>
      </c>
      <c r="G122" s="215">
        <f t="shared" si="19"/>
        <v>0.20271328839303415</v>
      </c>
      <c r="H122" s="123"/>
    </row>
    <row r="123" spans="1:8" ht="15">
      <c r="A123" s="130"/>
      <c r="B123" s="131">
        <f>DATE(2019,1,1)</f>
        <v>43466</v>
      </c>
      <c r="C123" s="204">
        <v>12543073</v>
      </c>
      <c r="D123" s="204">
        <v>2271310.91</v>
      </c>
      <c r="E123" s="204">
        <v>2163065</v>
      </c>
      <c r="F123" s="132">
        <f t="shared" si="18"/>
        <v>0.050042837362723795</v>
      </c>
      <c r="G123" s="215">
        <f t="shared" si="19"/>
        <v>0.18108089700187507</v>
      </c>
      <c r="H123" s="123"/>
    </row>
    <row r="124" spans="1:8" ht="15">
      <c r="A124" s="130"/>
      <c r="B124" s="131">
        <f>DATE(2019,2,1)</f>
        <v>43497</v>
      </c>
      <c r="C124" s="204">
        <v>12034314</v>
      </c>
      <c r="D124" s="204">
        <v>2581578.12</v>
      </c>
      <c r="E124" s="204">
        <v>2130295.34</v>
      </c>
      <c r="F124" s="132">
        <f t="shared" si="18"/>
        <v>0.2118404765416237</v>
      </c>
      <c r="G124" s="215">
        <f t="shared" si="19"/>
        <v>0.2145180955059009</v>
      </c>
      <c r="H124" s="123"/>
    </row>
    <row r="125" spans="1:8" ht="15">
      <c r="A125" s="130"/>
      <c r="B125" s="131">
        <f>DATE(2019,3,1)</f>
        <v>43525</v>
      </c>
      <c r="C125" s="204">
        <v>14271837</v>
      </c>
      <c r="D125" s="204">
        <v>2833063.37</v>
      </c>
      <c r="E125" s="204">
        <v>2819224.65</v>
      </c>
      <c r="F125" s="132">
        <f t="shared" si="18"/>
        <v>0.004908697148345452</v>
      </c>
      <c r="G125" s="215">
        <f t="shared" si="19"/>
        <v>0.19850726784505737</v>
      </c>
      <c r="H125" s="123"/>
    </row>
    <row r="126" spans="1:8" ht="15" thickBot="1">
      <c r="A126" s="133"/>
      <c r="B126" s="131"/>
      <c r="C126" s="204"/>
      <c r="D126" s="204"/>
      <c r="E126" s="204"/>
      <c r="F126" s="132"/>
      <c r="G126" s="215"/>
      <c r="H126" s="123"/>
    </row>
    <row r="127" spans="1:8" ht="16.5" thickBot="1" thickTop="1">
      <c r="A127" s="141" t="s">
        <v>14</v>
      </c>
      <c r="B127" s="142"/>
      <c r="C127" s="207">
        <f>SUM(C117:C126)</f>
        <v>119675293</v>
      </c>
      <c r="D127" s="207">
        <f>SUM(D117:D126)</f>
        <v>23532879.130000003</v>
      </c>
      <c r="E127" s="207">
        <f>SUM(E117:E126)</f>
        <v>20449359.14</v>
      </c>
      <c r="F127" s="143">
        <f>(+D127-E127)/E127</f>
        <v>0.1507880989760935</v>
      </c>
      <c r="G127" s="267">
        <f>D127/C127</f>
        <v>0.19663941102696947</v>
      </c>
      <c r="H127" s="123"/>
    </row>
    <row r="128" spans="1:8" ht="15.75" customHeight="1" thickTop="1">
      <c r="A128" s="138"/>
      <c r="B128" s="139"/>
      <c r="C128" s="205"/>
      <c r="D128" s="205"/>
      <c r="E128" s="205"/>
      <c r="F128" s="140"/>
      <c r="G128" s="219"/>
      <c r="H128" s="123"/>
    </row>
    <row r="129" spans="1:8" ht="15">
      <c r="A129" s="130" t="s">
        <v>59</v>
      </c>
      <c r="B129" s="131">
        <f>DATE(2018,7,1)</f>
        <v>43282</v>
      </c>
      <c r="C129" s="204">
        <v>623996.5</v>
      </c>
      <c r="D129" s="204">
        <v>154554.5</v>
      </c>
      <c r="E129" s="204">
        <v>185261.5</v>
      </c>
      <c r="F129" s="132">
        <f aca="true" t="shared" si="20" ref="F129:F137">(+D129-E129)/E129</f>
        <v>-0.16574949463326163</v>
      </c>
      <c r="G129" s="215">
        <f aca="true" t="shared" si="21" ref="G129:G137">D129/C129</f>
        <v>0.24768488284790058</v>
      </c>
      <c r="H129" s="123"/>
    </row>
    <row r="130" spans="1:8" ht="15">
      <c r="A130" s="130"/>
      <c r="B130" s="131">
        <f>DATE(2018,8,1)</f>
        <v>43313</v>
      </c>
      <c r="C130" s="204">
        <v>653768</v>
      </c>
      <c r="D130" s="204">
        <v>228200</v>
      </c>
      <c r="E130" s="204">
        <v>131840.5</v>
      </c>
      <c r="F130" s="132">
        <f t="shared" si="20"/>
        <v>0.7308793580121434</v>
      </c>
      <c r="G130" s="215">
        <f t="shared" si="21"/>
        <v>0.34905348686384163</v>
      </c>
      <c r="H130" s="123"/>
    </row>
    <row r="131" spans="1:8" ht="15">
      <c r="A131" s="130"/>
      <c r="B131" s="131">
        <f>DATE(2018,9,1)</f>
        <v>43344</v>
      </c>
      <c r="C131" s="204">
        <v>648238</v>
      </c>
      <c r="D131" s="204">
        <v>133253.5</v>
      </c>
      <c r="E131" s="204">
        <v>130165.5</v>
      </c>
      <c r="F131" s="132">
        <f t="shared" si="20"/>
        <v>0.023723644129972996</v>
      </c>
      <c r="G131" s="215">
        <f t="shared" si="21"/>
        <v>0.20556261743372034</v>
      </c>
      <c r="H131" s="123"/>
    </row>
    <row r="132" spans="1:8" ht="15">
      <c r="A132" s="130"/>
      <c r="B132" s="131">
        <f>DATE(2018,10,1)</f>
        <v>43374</v>
      </c>
      <c r="C132" s="204">
        <v>607581</v>
      </c>
      <c r="D132" s="204">
        <v>183569.5</v>
      </c>
      <c r="E132" s="204">
        <v>213032.5</v>
      </c>
      <c r="F132" s="132">
        <f t="shared" si="20"/>
        <v>-0.1383028411157922</v>
      </c>
      <c r="G132" s="215">
        <f t="shared" si="21"/>
        <v>0.30213173222994133</v>
      </c>
      <c r="H132" s="123"/>
    </row>
    <row r="133" spans="1:8" ht="15">
      <c r="A133" s="130"/>
      <c r="B133" s="131">
        <f>DATE(2018,11,1)</f>
        <v>43405</v>
      </c>
      <c r="C133" s="204">
        <v>590853</v>
      </c>
      <c r="D133" s="204">
        <v>134566.5</v>
      </c>
      <c r="E133" s="204">
        <v>120661.5</v>
      </c>
      <c r="F133" s="132">
        <f t="shared" si="20"/>
        <v>0.11523974092813366</v>
      </c>
      <c r="G133" s="215">
        <f t="shared" si="21"/>
        <v>0.22774954176419515</v>
      </c>
      <c r="H133" s="123"/>
    </row>
    <row r="134" spans="1:8" ht="15">
      <c r="A134" s="130"/>
      <c r="B134" s="131">
        <f>DATE(2018,12,1)</f>
        <v>43435</v>
      </c>
      <c r="C134" s="204">
        <v>630365</v>
      </c>
      <c r="D134" s="204">
        <v>155643.5</v>
      </c>
      <c r="E134" s="204">
        <v>179648.5</v>
      </c>
      <c r="F134" s="132">
        <f t="shared" si="20"/>
        <v>-0.133622045271739</v>
      </c>
      <c r="G134" s="215">
        <f t="shared" si="21"/>
        <v>0.24691012349987707</v>
      </c>
      <c r="H134" s="123"/>
    </row>
    <row r="135" spans="1:8" ht="15">
      <c r="A135" s="130"/>
      <c r="B135" s="131">
        <f>DATE(2019,1,1)</f>
        <v>43466</v>
      </c>
      <c r="C135" s="204">
        <v>555811</v>
      </c>
      <c r="D135" s="204">
        <v>147951.5</v>
      </c>
      <c r="E135" s="204">
        <v>161078</v>
      </c>
      <c r="F135" s="132">
        <f t="shared" si="20"/>
        <v>-0.08149157551000137</v>
      </c>
      <c r="G135" s="215">
        <f t="shared" si="21"/>
        <v>0.26619030569744034</v>
      </c>
      <c r="H135" s="123"/>
    </row>
    <row r="136" spans="1:8" ht="15">
      <c r="A136" s="130"/>
      <c r="B136" s="131">
        <f>DATE(2019,2,1)</f>
        <v>43497</v>
      </c>
      <c r="C136" s="204">
        <v>613996</v>
      </c>
      <c r="D136" s="204">
        <v>187673.5</v>
      </c>
      <c r="E136" s="204">
        <v>179952.5</v>
      </c>
      <c r="F136" s="132">
        <f t="shared" si="20"/>
        <v>0.04290576679957211</v>
      </c>
      <c r="G136" s="215">
        <f t="shared" si="21"/>
        <v>0.30565915738864746</v>
      </c>
      <c r="H136" s="123"/>
    </row>
    <row r="137" spans="1:8" ht="15">
      <c r="A137" s="130"/>
      <c r="B137" s="131">
        <f>DATE(2019,3,1)</f>
        <v>43525</v>
      </c>
      <c r="C137" s="204">
        <v>733394</v>
      </c>
      <c r="D137" s="204">
        <v>187433.5</v>
      </c>
      <c r="E137" s="204">
        <v>201152</v>
      </c>
      <c r="F137" s="132">
        <f t="shared" si="20"/>
        <v>-0.06819966990136812</v>
      </c>
      <c r="G137" s="215">
        <f t="shared" si="21"/>
        <v>0.25556999375506206</v>
      </c>
      <c r="H137" s="123"/>
    </row>
    <row r="138" spans="1:8" ht="15" thickBot="1">
      <c r="A138" s="133"/>
      <c r="B138" s="134"/>
      <c r="C138" s="204"/>
      <c r="D138" s="204"/>
      <c r="E138" s="204"/>
      <c r="F138" s="132"/>
      <c r="G138" s="215"/>
      <c r="H138" s="123"/>
    </row>
    <row r="139" spans="1:8" ht="16.5" thickBot="1" thickTop="1">
      <c r="A139" s="144" t="s">
        <v>14</v>
      </c>
      <c r="B139" s="145"/>
      <c r="C139" s="207">
        <f>SUM(C129:C138)</f>
        <v>5658002.5</v>
      </c>
      <c r="D139" s="207">
        <f>SUM(D129:D138)</f>
        <v>1512846</v>
      </c>
      <c r="E139" s="207">
        <f>SUM(E129:E138)</f>
        <v>1502792.5</v>
      </c>
      <c r="F139" s="143">
        <f>(+D139-E139)/E139</f>
        <v>0.006689879008579029</v>
      </c>
      <c r="G139" s="217">
        <f>D139/C139</f>
        <v>0.2673816421961637</v>
      </c>
      <c r="H139" s="123"/>
    </row>
    <row r="140" spans="1:8" ht="15.75" customHeight="1" thickTop="1">
      <c r="A140" s="130"/>
      <c r="B140" s="134"/>
      <c r="C140" s="204"/>
      <c r="D140" s="204"/>
      <c r="E140" s="204"/>
      <c r="F140" s="132"/>
      <c r="G140" s="218"/>
      <c r="H140" s="123"/>
    </row>
    <row r="141" spans="1:8" ht="15">
      <c r="A141" s="130" t="s">
        <v>40</v>
      </c>
      <c r="B141" s="131">
        <f>DATE(2018,7,1)</f>
        <v>43282</v>
      </c>
      <c r="C141" s="204">
        <v>18395528</v>
      </c>
      <c r="D141" s="204">
        <v>4013253.36</v>
      </c>
      <c r="E141" s="204">
        <v>3485005.33</v>
      </c>
      <c r="F141" s="132">
        <f aca="true" t="shared" si="22" ref="F141:F149">(+D141-E141)/E141</f>
        <v>0.15157739514848886</v>
      </c>
      <c r="G141" s="215">
        <f aca="true" t="shared" si="23" ref="G141:G149">D141/C141</f>
        <v>0.21816461914004315</v>
      </c>
      <c r="H141" s="123"/>
    </row>
    <row r="142" spans="1:8" ht="15">
      <c r="A142" s="130"/>
      <c r="B142" s="131">
        <f>DATE(2018,8,1)</f>
        <v>43313</v>
      </c>
      <c r="C142" s="204">
        <v>18105989</v>
      </c>
      <c r="D142" s="204">
        <v>4154776.6</v>
      </c>
      <c r="E142" s="204">
        <v>2756152.9</v>
      </c>
      <c r="F142" s="132">
        <f t="shared" si="22"/>
        <v>0.5074550472145433</v>
      </c>
      <c r="G142" s="215">
        <f t="shared" si="23"/>
        <v>0.229469740647694</v>
      </c>
      <c r="H142" s="123"/>
    </row>
    <row r="143" spans="1:8" ht="15">
      <c r="A143" s="130"/>
      <c r="B143" s="131">
        <f>DATE(2018,9,1)</f>
        <v>43344</v>
      </c>
      <c r="C143" s="204">
        <v>15238679</v>
      </c>
      <c r="D143" s="204">
        <v>3317290.2</v>
      </c>
      <c r="E143" s="204">
        <v>3555670.84</v>
      </c>
      <c r="F143" s="132">
        <f t="shared" si="22"/>
        <v>-0.06704238123459136</v>
      </c>
      <c r="G143" s="215">
        <f t="shared" si="23"/>
        <v>0.2176888298519839</v>
      </c>
      <c r="H143" s="123"/>
    </row>
    <row r="144" spans="1:8" ht="15">
      <c r="A144" s="130"/>
      <c r="B144" s="131">
        <f>DATE(2018,10,1)</f>
        <v>43374</v>
      </c>
      <c r="C144" s="204">
        <v>14568891</v>
      </c>
      <c r="D144" s="204">
        <v>3010473</v>
      </c>
      <c r="E144" s="204">
        <v>3109647.95</v>
      </c>
      <c r="F144" s="132">
        <f t="shared" si="22"/>
        <v>-0.03189266167573734</v>
      </c>
      <c r="G144" s="215">
        <f t="shared" si="23"/>
        <v>0.2066370734738835</v>
      </c>
      <c r="H144" s="123"/>
    </row>
    <row r="145" spans="1:8" ht="15">
      <c r="A145" s="130"/>
      <c r="B145" s="131">
        <f>DATE(2018,11,1)</f>
        <v>43405</v>
      </c>
      <c r="C145" s="204">
        <v>15484724</v>
      </c>
      <c r="D145" s="204">
        <v>3636412.28</v>
      </c>
      <c r="E145" s="204">
        <v>3185542.02</v>
      </c>
      <c r="F145" s="132">
        <f t="shared" si="22"/>
        <v>0.1415364346692874</v>
      </c>
      <c r="G145" s="215">
        <f t="shared" si="23"/>
        <v>0.23483868876190495</v>
      </c>
      <c r="H145" s="123"/>
    </row>
    <row r="146" spans="1:8" ht="15">
      <c r="A146" s="130"/>
      <c r="B146" s="131">
        <f>DATE(2018,12,1)</f>
        <v>43435</v>
      </c>
      <c r="C146" s="204">
        <v>17368026</v>
      </c>
      <c r="D146" s="204">
        <v>3158388.6</v>
      </c>
      <c r="E146" s="204">
        <v>3702278.99</v>
      </c>
      <c r="F146" s="132">
        <f t="shared" si="22"/>
        <v>-0.14690691638017267</v>
      </c>
      <c r="G146" s="215">
        <f t="shared" si="23"/>
        <v>0.18185075264166464</v>
      </c>
      <c r="H146" s="123"/>
    </row>
    <row r="147" spans="1:8" ht="15">
      <c r="A147" s="130"/>
      <c r="B147" s="131">
        <f>DATE(2019,1,1)</f>
        <v>43466</v>
      </c>
      <c r="C147" s="204">
        <v>14705779</v>
      </c>
      <c r="D147" s="204">
        <v>3469211.92</v>
      </c>
      <c r="E147" s="204">
        <v>3099858.41</v>
      </c>
      <c r="F147" s="132">
        <f t="shared" si="22"/>
        <v>0.11915173570782536</v>
      </c>
      <c r="G147" s="215">
        <f t="shared" si="23"/>
        <v>0.23590806852190557</v>
      </c>
      <c r="H147" s="123"/>
    </row>
    <row r="148" spans="1:8" ht="15">
      <c r="A148" s="130"/>
      <c r="B148" s="131">
        <f>DATE(2019,2,1)</f>
        <v>43497</v>
      </c>
      <c r="C148" s="204">
        <v>15048855</v>
      </c>
      <c r="D148" s="204">
        <v>3743256.73</v>
      </c>
      <c r="E148" s="204">
        <v>2392361.25</v>
      </c>
      <c r="F148" s="132">
        <f t="shared" si="22"/>
        <v>0.5646703565358283</v>
      </c>
      <c r="G148" s="215">
        <f t="shared" si="23"/>
        <v>0.24874030150466597</v>
      </c>
      <c r="H148" s="123"/>
    </row>
    <row r="149" spans="1:8" ht="15">
      <c r="A149" s="130"/>
      <c r="B149" s="131">
        <f>DATE(2019,3,1)</f>
        <v>43525</v>
      </c>
      <c r="C149" s="204">
        <v>19114804</v>
      </c>
      <c r="D149" s="204">
        <v>3921104.66</v>
      </c>
      <c r="E149" s="204">
        <v>3826628.2</v>
      </c>
      <c r="F149" s="132">
        <f t="shared" si="22"/>
        <v>0.024689218565838184</v>
      </c>
      <c r="G149" s="215">
        <f t="shared" si="23"/>
        <v>0.20513444239344542</v>
      </c>
      <c r="H149" s="123"/>
    </row>
    <row r="150" spans="1:8" ht="15" thickBot="1">
      <c r="A150" s="133"/>
      <c r="B150" s="134"/>
      <c r="C150" s="204"/>
      <c r="D150" s="204"/>
      <c r="E150" s="204"/>
      <c r="F150" s="132"/>
      <c r="G150" s="215"/>
      <c r="H150" s="123"/>
    </row>
    <row r="151" spans="1:8" ht="16.5" thickBot="1" thickTop="1">
      <c r="A151" s="141" t="s">
        <v>14</v>
      </c>
      <c r="B151" s="142"/>
      <c r="C151" s="206">
        <f>SUM(C141:C150)</f>
        <v>148031275</v>
      </c>
      <c r="D151" s="207">
        <f>SUM(D141:D150)</f>
        <v>32424167.35</v>
      </c>
      <c r="E151" s="206">
        <f>SUM(E141:E150)</f>
        <v>29113145.89</v>
      </c>
      <c r="F151" s="143">
        <f>(+D151-E151)/E151</f>
        <v>0.11372942905278041</v>
      </c>
      <c r="G151" s="217">
        <f>D151/C151</f>
        <v>0.21903592568529862</v>
      </c>
      <c r="H151" s="123"/>
    </row>
    <row r="152" spans="1:8" ht="15.75" customHeight="1" thickTop="1">
      <c r="A152" s="130"/>
      <c r="B152" s="134"/>
      <c r="C152" s="204"/>
      <c r="D152" s="204"/>
      <c r="E152" s="204"/>
      <c r="F152" s="132"/>
      <c r="G152" s="218"/>
      <c r="H152" s="123"/>
    </row>
    <row r="153" spans="1:8" ht="15">
      <c r="A153" s="130" t="s">
        <v>64</v>
      </c>
      <c r="B153" s="131">
        <f>DATE(2018,7,1)</f>
        <v>43282</v>
      </c>
      <c r="C153" s="204">
        <v>835189</v>
      </c>
      <c r="D153" s="204">
        <v>171143.5</v>
      </c>
      <c r="E153" s="204">
        <v>283672</v>
      </c>
      <c r="F153" s="132">
        <f aca="true" t="shared" si="24" ref="F153:F161">(+D153-E153)/E153</f>
        <v>-0.3966852562113991</v>
      </c>
      <c r="G153" s="215">
        <f aca="true" t="shared" si="25" ref="G153:G161">D153/C153</f>
        <v>0.20491589328882445</v>
      </c>
      <c r="H153" s="123"/>
    </row>
    <row r="154" spans="1:8" ht="15">
      <c r="A154" s="130"/>
      <c r="B154" s="131">
        <f>DATE(2018,8,1)</f>
        <v>43313</v>
      </c>
      <c r="C154" s="204">
        <v>795370</v>
      </c>
      <c r="D154" s="204">
        <v>217353.5</v>
      </c>
      <c r="E154" s="204">
        <v>213515</v>
      </c>
      <c r="F154" s="132">
        <f t="shared" si="24"/>
        <v>0.017977659649204975</v>
      </c>
      <c r="G154" s="215">
        <f t="shared" si="25"/>
        <v>0.27327344506330387</v>
      </c>
      <c r="H154" s="123"/>
    </row>
    <row r="155" spans="1:8" ht="15">
      <c r="A155" s="130"/>
      <c r="B155" s="131">
        <f>DATE(2018,9,1)</f>
        <v>43344</v>
      </c>
      <c r="C155" s="204">
        <v>769718</v>
      </c>
      <c r="D155" s="204">
        <v>169120</v>
      </c>
      <c r="E155" s="204">
        <v>213772.5</v>
      </c>
      <c r="F155" s="132">
        <f t="shared" si="24"/>
        <v>-0.20887859757452432</v>
      </c>
      <c r="G155" s="215">
        <f t="shared" si="25"/>
        <v>0.2197168313590172</v>
      </c>
      <c r="H155" s="123"/>
    </row>
    <row r="156" spans="1:8" ht="15">
      <c r="A156" s="130"/>
      <c r="B156" s="131">
        <f>DATE(2018,10,1)</f>
        <v>43374</v>
      </c>
      <c r="C156" s="204">
        <v>707919</v>
      </c>
      <c r="D156" s="204">
        <v>142213.5</v>
      </c>
      <c r="E156" s="204">
        <v>244828.5</v>
      </c>
      <c r="F156" s="132">
        <f t="shared" si="24"/>
        <v>-0.4191301257819249</v>
      </c>
      <c r="G156" s="215">
        <f t="shared" si="25"/>
        <v>0.2008895085454692</v>
      </c>
      <c r="H156" s="123"/>
    </row>
    <row r="157" spans="1:8" ht="15">
      <c r="A157" s="130"/>
      <c r="B157" s="131">
        <f>DATE(2018,11,1)</f>
        <v>43405</v>
      </c>
      <c r="C157" s="204">
        <v>684493</v>
      </c>
      <c r="D157" s="204">
        <v>170858.5</v>
      </c>
      <c r="E157" s="204">
        <v>214514.5</v>
      </c>
      <c r="F157" s="132">
        <f t="shared" si="24"/>
        <v>-0.20351071838966597</v>
      </c>
      <c r="G157" s="215">
        <f t="shared" si="25"/>
        <v>0.2496132173740272</v>
      </c>
      <c r="H157" s="123"/>
    </row>
    <row r="158" spans="1:8" ht="15">
      <c r="A158" s="130"/>
      <c r="B158" s="131">
        <f>DATE(2018,12,1)</f>
        <v>43435</v>
      </c>
      <c r="C158" s="204">
        <v>823658</v>
      </c>
      <c r="D158" s="204">
        <v>191894</v>
      </c>
      <c r="E158" s="204">
        <v>251086</v>
      </c>
      <c r="F158" s="132">
        <f t="shared" si="24"/>
        <v>-0.2357439283751384</v>
      </c>
      <c r="G158" s="215">
        <f t="shared" si="25"/>
        <v>0.23297776504325823</v>
      </c>
      <c r="H158" s="123"/>
    </row>
    <row r="159" spans="1:8" ht="15">
      <c r="A159" s="130"/>
      <c r="B159" s="131">
        <f>DATE(2019,1,1)</f>
        <v>43466</v>
      </c>
      <c r="C159" s="204">
        <v>677788</v>
      </c>
      <c r="D159" s="204">
        <v>225159.5</v>
      </c>
      <c r="E159" s="204">
        <v>161802.5</v>
      </c>
      <c r="F159" s="132">
        <f t="shared" si="24"/>
        <v>0.39156996956165696</v>
      </c>
      <c r="G159" s="215">
        <f t="shared" si="25"/>
        <v>0.3321975307913389</v>
      </c>
      <c r="H159" s="123"/>
    </row>
    <row r="160" spans="1:8" ht="15">
      <c r="A160" s="130"/>
      <c r="B160" s="131">
        <f>DATE(2019,2,1)</f>
        <v>43497</v>
      </c>
      <c r="C160" s="204">
        <v>688470</v>
      </c>
      <c r="D160" s="204">
        <v>203977</v>
      </c>
      <c r="E160" s="204">
        <v>227252.5</v>
      </c>
      <c r="F160" s="132">
        <f t="shared" si="24"/>
        <v>-0.10242131549707924</v>
      </c>
      <c r="G160" s="215">
        <f t="shared" si="25"/>
        <v>0.2962757999622351</v>
      </c>
      <c r="H160" s="123"/>
    </row>
    <row r="161" spans="1:8" ht="15">
      <c r="A161" s="130"/>
      <c r="B161" s="131">
        <f>DATE(2019,3,1)</f>
        <v>43525</v>
      </c>
      <c r="C161" s="204">
        <v>409378</v>
      </c>
      <c r="D161" s="204">
        <v>120427</v>
      </c>
      <c r="E161" s="204">
        <v>241108.5</v>
      </c>
      <c r="F161" s="132">
        <f t="shared" si="24"/>
        <v>-0.5005277706924476</v>
      </c>
      <c r="G161" s="215">
        <f t="shared" si="25"/>
        <v>0.2941706686729624</v>
      </c>
      <c r="H161" s="123"/>
    </row>
    <row r="162" spans="1:8" ht="15" thickBot="1">
      <c r="A162" s="133"/>
      <c r="B162" s="134"/>
      <c r="C162" s="204"/>
      <c r="D162" s="204"/>
      <c r="E162" s="204"/>
      <c r="F162" s="132"/>
      <c r="G162" s="215"/>
      <c r="H162" s="123"/>
    </row>
    <row r="163" spans="1:8" ht="16.5" thickBot="1" thickTop="1">
      <c r="A163" s="135" t="s">
        <v>14</v>
      </c>
      <c r="B163" s="136"/>
      <c r="C163" s="201">
        <f>SUM(C153:C162)</f>
        <v>6391983</v>
      </c>
      <c r="D163" s="207">
        <f>SUM(D153:D162)</f>
        <v>1612146.5</v>
      </c>
      <c r="E163" s="207">
        <f>SUM(E153:E162)</f>
        <v>2051552</v>
      </c>
      <c r="F163" s="143">
        <f>(+D163-E163)/E163</f>
        <v>-0.21418199489947123</v>
      </c>
      <c r="G163" s="217">
        <f>D163/C163</f>
        <v>0.2522138278527962</v>
      </c>
      <c r="H163" s="123"/>
    </row>
    <row r="164" spans="1:8" ht="15.75" thickBot="1" thickTop="1">
      <c r="A164" s="146"/>
      <c r="B164" s="139"/>
      <c r="C164" s="205"/>
      <c r="D164" s="205"/>
      <c r="E164" s="205"/>
      <c r="F164" s="140"/>
      <c r="G164" s="216"/>
      <c r="H164" s="123"/>
    </row>
    <row r="165" spans="1:8" ht="16.5" thickBot="1" thickTop="1">
      <c r="A165" s="147" t="s">
        <v>41</v>
      </c>
      <c r="B165" s="121"/>
      <c r="C165" s="201">
        <f>C163+C151+C115+C91+C67+C43+C19+C55+C139+C31+C103+C127+C79</f>
        <v>943975868.38</v>
      </c>
      <c r="D165" s="201">
        <f>D163+D151+D115+D91+D67+D43+D19+D55+D139+D31+D103+D127+D79</f>
        <v>196842620.93999997</v>
      </c>
      <c r="E165" s="201">
        <f>E163+E151+E115+E91+E67+E43+E19+E55+E139+E31+E103+E127+E79</f>
        <v>187401483.01999998</v>
      </c>
      <c r="F165" s="137">
        <f>(+D165-E165)/E165</f>
        <v>0.05037920601189908</v>
      </c>
      <c r="G165" s="212">
        <f>D165/C165</f>
        <v>0.2085250561307362</v>
      </c>
      <c r="H165" s="123"/>
    </row>
    <row r="166" spans="1:8" ht="16.5" thickBot="1" thickTop="1">
      <c r="A166" s="147"/>
      <c r="B166" s="121"/>
      <c r="C166" s="201"/>
      <c r="D166" s="201"/>
      <c r="E166" s="201"/>
      <c r="F166" s="137"/>
      <c r="G166" s="212"/>
      <c r="H166" s="123"/>
    </row>
    <row r="167" spans="1:8" ht="16.5" thickBot="1" thickTop="1">
      <c r="A167" s="265" t="s">
        <v>42</v>
      </c>
      <c r="B167" s="266"/>
      <c r="C167" s="206">
        <f>+C17+C29+C41+C53+C65+C77+C89+C101+C113+C125+C137+C149+C161</f>
        <v>120110498.31</v>
      </c>
      <c r="D167" s="206">
        <f>+D17+D29+D41+D53+D65+D77+D89+D101+D113+D125+D137+D149+D161</f>
        <v>25581050.340000004</v>
      </c>
      <c r="E167" s="206">
        <f>+E17+E29+E41+E53+E65+E77+E89+E101+E113+E125+E137+E149+E161</f>
        <v>22929716.939999998</v>
      </c>
      <c r="F167" s="143">
        <f>(+D167-E167)/E167</f>
        <v>0.1156287016947365</v>
      </c>
      <c r="G167" s="217">
        <f>D167/C167</f>
        <v>0.21297930405697277</v>
      </c>
      <c r="H167" s="123"/>
    </row>
    <row r="168" spans="1:8" ht="15.75" thickTop="1">
      <c r="A168" s="256"/>
      <c r="B168" s="258"/>
      <c r="C168" s="259"/>
      <c r="D168" s="259"/>
      <c r="E168" s="259"/>
      <c r="F168" s="260"/>
      <c r="G168" s="257"/>
      <c r="H168" s="257"/>
    </row>
    <row r="169" spans="1:7" ht="17.25">
      <c r="A169" s="263" t="s">
        <v>43</v>
      </c>
      <c r="B169" s="117"/>
      <c r="C169" s="208"/>
      <c r="D169" s="208"/>
      <c r="E169" s="208"/>
      <c r="F169" s="148"/>
      <c r="G169" s="220"/>
    </row>
    <row r="170" ht="15">
      <c r="A170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6" r:id="rId1"/>
  <rowBreaks count="3" manualBreakCount="3">
    <brk id="55" max="7" man="1"/>
    <brk id="103" max="7" man="1"/>
    <brk id="15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2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7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7.2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7.25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7.25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5.7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5.7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5.7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">
      <c r="A10" s="164" t="s">
        <v>38</v>
      </c>
      <c r="B10" s="165">
        <f>DATE(18,7,1)</f>
        <v>6757</v>
      </c>
      <c r="C10" s="226">
        <v>116623713.71</v>
      </c>
      <c r="D10" s="226">
        <v>11548721.09</v>
      </c>
      <c r="E10" s="226">
        <v>12399454.65</v>
      </c>
      <c r="F10" s="166">
        <f aca="true" t="shared" si="0" ref="F10:F18">(+D10-E10)/E10</f>
        <v>-0.06861056264276917</v>
      </c>
      <c r="G10" s="241">
        <f aca="true" t="shared" si="1" ref="G10:G18">D10/C10</f>
        <v>0.0990254959528848</v>
      </c>
      <c r="H10" s="242">
        <f aca="true" t="shared" si="2" ref="H10:H18">1-G10</f>
        <v>0.9009745040471152</v>
      </c>
      <c r="I10" s="157"/>
    </row>
    <row r="11" spans="1:9" ht="15">
      <c r="A11" s="164"/>
      <c r="B11" s="165">
        <f>DATE(18,8,1)</f>
        <v>6788</v>
      </c>
      <c r="C11" s="226">
        <v>117765018.3</v>
      </c>
      <c r="D11" s="226">
        <v>12278666.34</v>
      </c>
      <c r="E11" s="226">
        <v>11441719.54</v>
      </c>
      <c r="F11" s="166">
        <f t="shared" si="0"/>
        <v>0.07314869037595732</v>
      </c>
      <c r="G11" s="241">
        <f t="shared" si="1"/>
        <v>0.10426412288851994</v>
      </c>
      <c r="H11" s="242">
        <f t="shared" si="2"/>
        <v>0.8957358771114801</v>
      </c>
      <c r="I11" s="157"/>
    </row>
    <row r="12" spans="1:9" ht="15">
      <c r="A12" s="164"/>
      <c r="B12" s="165">
        <f>DATE(18,9,1)</f>
        <v>6819</v>
      </c>
      <c r="C12" s="226">
        <v>114244738.3</v>
      </c>
      <c r="D12" s="226">
        <v>11479851.3</v>
      </c>
      <c r="E12" s="226">
        <v>11813160.59</v>
      </c>
      <c r="F12" s="166">
        <f t="shared" si="0"/>
        <v>-0.028215081599936086</v>
      </c>
      <c r="G12" s="241">
        <f t="shared" si="1"/>
        <v>0.10048472665633477</v>
      </c>
      <c r="H12" s="242">
        <f t="shared" si="2"/>
        <v>0.8995152733436652</v>
      </c>
      <c r="I12" s="157"/>
    </row>
    <row r="13" spans="1:9" ht="15">
      <c r="A13" s="164"/>
      <c r="B13" s="165">
        <f>DATE(18,10,1)</f>
        <v>6849</v>
      </c>
      <c r="C13" s="226">
        <v>118499471.82</v>
      </c>
      <c r="D13" s="226">
        <v>11766741.38</v>
      </c>
      <c r="E13" s="226">
        <v>11558139.69</v>
      </c>
      <c r="F13" s="166">
        <f t="shared" si="0"/>
        <v>0.018048033299033553</v>
      </c>
      <c r="G13" s="241">
        <f t="shared" si="1"/>
        <v>0.09929783820364713</v>
      </c>
      <c r="H13" s="242">
        <f t="shared" si="2"/>
        <v>0.9007021617963529</v>
      </c>
      <c r="I13" s="157"/>
    </row>
    <row r="14" spans="1:9" ht="15">
      <c r="A14" s="164"/>
      <c r="B14" s="165">
        <f>DATE(18,11,1)</f>
        <v>6880</v>
      </c>
      <c r="C14" s="226">
        <v>109285129.77</v>
      </c>
      <c r="D14" s="226">
        <v>11316404.94</v>
      </c>
      <c r="E14" s="226">
        <v>11896579.67</v>
      </c>
      <c r="F14" s="166">
        <f t="shared" si="0"/>
        <v>-0.04876819607765468</v>
      </c>
      <c r="G14" s="241">
        <f t="shared" si="1"/>
        <v>0.10354935720730123</v>
      </c>
      <c r="H14" s="242">
        <f t="shared" si="2"/>
        <v>0.8964506427926988</v>
      </c>
      <c r="I14" s="157"/>
    </row>
    <row r="15" spans="1:9" ht="15">
      <c r="A15" s="164"/>
      <c r="B15" s="165">
        <f>DATE(18,12,1)</f>
        <v>6910</v>
      </c>
      <c r="C15" s="226">
        <v>125344851.37</v>
      </c>
      <c r="D15" s="226">
        <v>12753886.49</v>
      </c>
      <c r="E15" s="226">
        <v>12607302.66</v>
      </c>
      <c r="F15" s="166">
        <f t="shared" si="0"/>
        <v>0.011626898627973453</v>
      </c>
      <c r="G15" s="241">
        <f t="shared" si="1"/>
        <v>0.10175038185136427</v>
      </c>
      <c r="H15" s="242">
        <f t="shared" si="2"/>
        <v>0.8982496181486357</v>
      </c>
      <c r="I15" s="157"/>
    </row>
    <row r="16" spans="1:9" ht="15">
      <c r="A16" s="164"/>
      <c r="B16" s="165">
        <f>DATE(19,1,1)</f>
        <v>6941</v>
      </c>
      <c r="C16" s="226">
        <v>102861347.3</v>
      </c>
      <c r="D16" s="226">
        <v>10438169.56</v>
      </c>
      <c r="E16" s="226">
        <v>10938098.37</v>
      </c>
      <c r="F16" s="166">
        <f t="shared" si="0"/>
        <v>-0.0457052764647973</v>
      </c>
      <c r="G16" s="241">
        <f t="shared" si="1"/>
        <v>0.10147805598498126</v>
      </c>
      <c r="H16" s="242">
        <f t="shared" si="2"/>
        <v>0.8985219440150187</v>
      </c>
      <c r="I16" s="157"/>
    </row>
    <row r="17" spans="1:9" ht="15">
      <c r="A17" s="164"/>
      <c r="B17" s="165">
        <f>DATE(19,2,1)</f>
        <v>6972</v>
      </c>
      <c r="C17" s="226">
        <v>105294414.88</v>
      </c>
      <c r="D17" s="226">
        <v>10577892.76</v>
      </c>
      <c r="E17" s="226">
        <v>11694255.24</v>
      </c>
      <c r="F17" s="166">
        <f t="shared" si="0"/>
        <v>-0.095462469143097</v>
      </c>
      <c r="G17" s="241">
        <f t="shared" si="1"/>
        <v>0.10046015044630068</v>
      </c>
      <c r="H17" s="242">
        <f t="shared" si="2"/>
        <v>0.8995398495536994</v>
      </c>
      <c r="I17" s="157"/>
    </row>
    <row r="18" spans="1:9" ht="15">
      <c r="A18" s="164"/>
      <c r="B18" s="165">
        <f>DATE(19,3,1)</f>
        <v>7000</v>
      </c>
      <c r="C18" s="226">
        <v>132040916.5</v>
      </c>
      <c r="D18" s="226">
        <v>13564921.23</v>
      </c>
      <c r="E18" s="226">
        <v>13457679.79</v>
      </c>
      <c r="F18" s="166">
        <f t="shared" si="0"/>
        <v>0.007968791178973455</v>
      </c>
      <c r="G18" s="241">
        <f t="shared" si="1"/>
        <v>0.10273271035649015</v>
      </c>
      <c r="H18" s="242">
        <f t="shared" si="2"/>
        <v>0.8972672896435099</v>
      </c>
      <c r="I18" s="157"/>
    </row>
    <row r="19" spans="1:9" ht="15" thickBot="1">
      <c r="A19" s="167"/>
      <c r="B19" s="168"/>
      <c r="C19" s="226"/>
      <c r="D19" s="226"/>
      <c r="E19" s="226"/>
      <c r="F19" s="166"/>
      <c r="G19" s="241"/>
      <c r="H19" s="242"/>
      <c r="I19" s="157"/>
    </row>
    <row r="20" spans="1:9" ht="16.5" thickBot="1" thickTop="1">
      <c r="A20" s="169" t="s">
        <v>14</v>
      </c>
      <c r="B20" s="155"/>
      <c r="C20" s="223">
        <f>SUM(C10:C19)</f>
        <v>1041959601.9499999</v>
      </c>
      <c r="D20" s="223">
        <f>SUM(D10:D19)</f>
        <v>105725255.09000002</v>
      </c>
      <c r="E20" s="223">
        <f>SUM(E10:E19)</f>
        <v>107806390.19999999</v>
      </c>
      <c r="F20" s="170">
        <f>(+D20-E20)/E20</f>
        <v>-0.019304376170457934</v>
      </c>
      <c r="G20" s="236">
        <f>D20/C20</f>
        <v>0.10146771035281789</v>
      </c>
      <c r="H20" s="237">
        <f>1-G20</f>
        <v>0.8985322896471821</v>
      </c>
      <c r="I20" s="157"/>
    </row>
    <row r="21" spans="1:9" ht="15" thickTop="1">
      <c r="A21" s="171"/>
      <c r="B21" s="172"/>
      <c r="C21" s="227"/>
      <c r="D21" s="227"/>
      <c r="E21" s="227"/>
      <c r="F21" s="173"/>
      <c r="G21" s="243"/>
      <c r="H21" s="244"/>
      <c r="I21" s="157"/>
    </row>
    <row r="22" spans="1:9" ht="15">
      <c r="A22" s="19" t="s">
        <v>51</v>
      </c>
      <c r="B22" s="165">
        <f>DATE(18,7,1)</f>
        <v>6757</v>
      </c>
      <c r="C22" s="226">
        <v>65541726.2</v>
      </c>
      <c r="D22" s="226">
        <v>6830347.76</v>
      </c>
      <c r="E22" s="226">
        <v>6811001.46</v>
      </c>
      <c r="F22" s="166">
        <f aca="true" t="shared" si="3" ref="F22:F30">(+D22-E22)/E22</f>
        <v>0.0028404486643583563</v>
      </c>
      <c r="G22" s="241">
        <f aca="true" t="shared" si="4" ref="G22:G30">D22/C22</f>
        <v>0.10421373003141927</v>
      </c>
      <c r="H22" s="242">
        <f aca="true" t="shared" si="5" ref="H22:H30">1-G22</f>
        <v>0.8957862699685807</v>
      </c>
      <c r="I22" s="157"/>
    </row>
    <row r="23" spans="1:9" ht="15">
      <c r="A23" s="19"/>
      <c r="B23" s="165">
        <f>DATE(18,8,1)</f>
        <v>6788</v>
      </c>
      <c r="C23" s="226">
        <v>63796111.6</v>
      </c>
      <c r="D23" s="226">
        <v>6442436.26</v>
      </c>
      <c r="E23" s="226">
        <v>6396602.31</v>
      </c>
      <c r="F23" s="166">
        <f t="shared" si="3"/>
        <v>0.00716535869806172</v>
      </c>
      <c r="G23" s="241">
        <f t="shared" si="4"/>
        <v>0.100984779454803</v>
      </c>
      <c r="H23" s="242">
        <f t="shared" si="5"/>
        <v>0.899015220545197</v>
      </c>
      <c r="I23" s="157"/>
    </row>
    <row r="24" spans="1:9" ht="15">
      <c r="A24" s="19"/>
      <c r="B24" s="165">
        <f>DATE(18,9,1)</f>
        <v>6819</v>
      </c>
      <c r="C24" s="226">
        <v>63301750.79</v>
      </c>
      <c r="D24" s="226">
        <v>6263081.72</v>
      </c>
      <c r="E24" s="226">
        <v>6148408.09</v>
      </c>
      <c r="F24" s="166">
        <f t="shared" si="3"/>
        <v>0.0186509464436021</v>
      </c>
      <c r="G24" s="241">
        <f t="shared" si="4"/>
        <v>0.09894010263282324</v>
      </c>
      <c r="H24" s="242">
        <f t="shared" si="5"/>
        <v>0.9010598973671767</v>
      </c>
      <c r="I24" s="157"/>
    </row>
    <row r="25" spans="1:9" ht="15">
      <c r="A25" s="19"/>
      <c r="B25" s="165">
        <f>DATE(18,10,1)</f>
        <v>6849</v>
      </c>
      <c r="C25" s="226">
        <v>57076488.57</v>
      </c>
      <c r="D25" s="226">
        <v>5583864.37</v>
      </c>
      <c r="E25" s="226">
        <v>5734526.36</v>
      </c>
      <c r="F25" s="166">
        <f t="shared" si="3"/>
        <v>-0.026272787069375372</v>
      </c>
      <c r="G25" s="241">
        <f t="shared" si="4"/>
        <v>0.09783125258576152</v>
      </c>
      <c r="H25" s="242">
        <f t="shared" si="5"/>
        <v>0.9021687474142385</v>
      </c>
      <c r="I25" s="157"/>
    </row>
    <row r="26" spans="1:9" ht="15">
      <c r="A26" s="19"/>
      <c r="B26" s="165">
        <f>DATE(18,11,1)</f>
        <v>6880</v>
      </c>
      <c r="C26" s="226">
        <v>54722610.23</v>
      </c>
      <c r="D26" s="226">
        <v>5280741.69</v>
      </c>
      <c r="E26" s="226">
        <v>5714351.85</v>
      </c>
      <c r="F26" s="166">
        <f t="shared" si="3"/>
        <v>-0.07588089977343611</v>
      </c>
      <c r="G26" s="241">
        <f t="shared" si="4"/>
        <v>0.09650017913628314</v>
      </c>
      <c r="H26" s="242">
        <f t="shared" si="5"/>
        <v>0.9034998208637168</v>
      </c>
      <c r="I26" s="157"/>
    </row>
    <row r="27" spans="1:9" ht="15">
      <c r="A27" s="19"/>
      <c r="B27" s="165">
        <f>DATE(18,12,1)</f>
        <v>6910</v>
      </c>
      <c r="C27" s="226">
        <v>63275121.4</v>
      </c>
      <c r="D27" s="226">
        <v>6010123.42</v>
      </c>
      <c r="E27" s="226">
        <v>5911955.46</v>
      </c>
      <c r="F27" s="166">
        <f t="shared" si="3"/>
        <v>0.01660498978116455</v>
      </c>
      <c r="G27" s="241">
        <f t="shared" si="4"/>
        <v>0.0949839887624459</v>
      </c>
      <c r="H27" s="242">
        <f t="shared" si="5"/>
        <v>0.905016011237554</v>
      </c>
      <c r="I27" s="157"/>
    </row>
    <row r="28" spans="1:9" ht="15">
      <c r="A28" s="19"/>
      <c r="B28" s="165">
        <f>DATE(19,1,1)</f>
        <v>6941</v>
      </c>
      <c r="C28" s="226">
        <v>50059923.17</v>
      </c>
      <c r="D28" s="226">
        <v>4663941.57</v>
      </c>
      <c r="E28" s="226">
        <v>5394556.31</v>
      </c>
      <c r="F28" s="166">
        <f t="shared" si="3"/>
        <v>-0.1354355572571638</v>
      </c>
      <c r="G28" s="241">
        <f t="shared" si="4"/>
        <v>0.09316717395193717</v>
      </c>
      <c r="H28" s="242">
        <f t="shared" si="5"/>
        <v>0.9068328260480628</v>
      </c>
      <c r="I28" s="157"/>
    </row>
    <row r="29" spans="1:9" ht="15">
      <c r="A29" s="19"/>
      <c r="B29" s="165">
        <f>DATE(19,2,1)</f>
        <v>6972</v>
      </c>
      <c r="C29" s="226">
        <v>56015887.23</v>
      </c>
      <c r="D29" s="226">
        <v>5430626.47</v>
      </c>
      <c r="E29" s="226">
        <v>5898754.5</v>
      </c>
      <c r="F29" s="166">
        <f t="shared" si="3"/>
        <v>-0.0793604870316268</v>
      </c>
      <c r="G29" s="241">
        <f t="shared" si="4"/>
        <v>0.09694796848797498</v>
      </c>
      <c r="H29" s="242">
        <f t="shared" si="5"/>
        <v>0.9030520315120251</v>
      </c>
      <c r="I29" s="157"/>
    </row>
    <row r="30" spans="1:9" ht="15">
      <c r="A30" s="19"/>
      <c r="B30" s="165">
        <f>DATE(19,3,1)</f>
        <v>7000</v>
      </c>
      <c r="C30" s="226">
        <v>73025261.24</v>
      </c>
      <c r="D30" s="226">
        <v>7415577.38</v>
      </c>
      <c r="E30" s="226">
        <v>7025004.26</v>
      </c>
      <c r="F30" s="166">
        <f t="shared" si="3"/>
        <v>0.05559756343834589</v>
      </c>
      <c r="G30" s="241">
        <f t="shared" si="4"/>
        <v>0.10154811162713206</v>
      </c>
      <c r="H30" s="242">
        <f t="shared" si="5"/>
        <v>0.8984518883728679</v>
      </c>
      <c r="I30" s="157"/>
    </row>
    <row r="31" spans="1:9" ht="15" thickBot="1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6.5" thickBot="1" thickTop="1">
      <c r="A32" s="169" t="s">
        <v>14</v>
      </c>
      <c r="B32" s="155"/>
      <c r="C32" s="223">
        <f>SUM(C22:C31)</f>
        <v>546814880.43</v>
      </c>
      <c r="D32" s="223">
        <f>SUM(D22:D31)</f>
        <v>53920740.64</v>
      </c>
      <c r="E32" s="223">
        <f>SUM(E22:E31)</f>
        <v>55035160.6</v>
      </c>
      <c r="F32" s="170">
        <f>(+D32-E32)/E32</f>
        <v>-0.020249236085630697</v>
      </c>
      <c r="G32" s="236">
        <f>D32/C32</f>
        <v>0.09860876609209726</v>
      </c>
      <c r="H32" s="237">
        <f>1-G32</f>
        <v>0.9013912339079028</v>
      </c>
      <c r="I32" s="157"/>
    </row>
    <row r="33" spans="1:9" ht="15" thickTop="1">
      <c r="A33" s="171"/>
      <c r="B33" s="172"/>
      <c r="C33" s="227"/>
      <c r="D33" s="227"/>
      <c r="E33" s="227"/>
      <c r="F33" s="173"/>
      <c r="G33" s="243"/>
      <c r="H33" s="244"/>
      <c r="I33" s="157"/>
    </row>
    <row r="34" spans="1:9" ht="15">
      <c r="A34" s="19" t="s">
        <v>60</v>
      </c>
      <c r="B34" s="165">
        <f>DATE(18,7,1)</f>
        <v>6757</v>
      </c>
      <c r="C34" s="226">
        <v>27451989.68</v>
      </c>
      <c r="D34" s="226">
        <v>2891699.85</v>
      </c>
      <c r="E34" s="226">
        <v>2951015.74</v>
      </c>
      <c r="F34" s="166">
        <f aca="true" t="shared" si="6" ref="F34:F42">(+D34-E34)/E34</f>
        <v>-0.020100160495924745</v>
      </c>
      <c r="G34" s="241">
        <f aca="true" t="shared" si="7" ref="G34:G42">D34/C34</f>
        <v>0.10533662163317556</v>
      </c>
      <c r="H34" s="242">
        <f aca="true" t="shared" si="8" ref="H34:H42">1-G34</f>
        <v>0.8946633783668244</v>
      </c>
      <c r="I34" s="157"/>
    </row>
    <row r="35" spans="1:9" ht="15">
      <c r="A35" s="19"/>
      <c r="B35" s="165">
        <f>DATE(18,8,1)</f>
        <v>6788</v>
      </c>
      <c r="C35" s="226">
        <v>25957318.24</v>
      </c>
      <c r="D35" s="226">
        <v>2785511.76</v>
      </c>
      <c r="E35" s="226">
        <v>2587760.59</v>
      </c>
      <c r="F35" s="166">
        <f t="shared" si="6"/>
        <v>0.07641787681757684</v>
      </c>
      <c r="G35" s="241">
        <f t="shared" si="7"/>
        <v>0.10731123046862179</v>
      </c>
      <c r="H35" s="242">
        <f t="shared" si="8"/>
        <v>0.8926887695313782</v>
      </c>
      <c r="I35" s="157"/>
    </row>
    <row r="36" spans="1:9" ht="15">
      <c r="A36" s="19"/>
      <c r="B36" s="165">
        <f>DATE(18,9,1)</f>
        <v>6819</v>
      </c>
      <c r="C36" s="226">
        <v>26244468.76</v>
      </c>
      <c r="D36" s="226">
        <v>2777720.64</v>
      </c>
      <c r="E36" s="226">
        <v>2789987.56</v>
      </c>
      <c r="F36" s="166">
        <f t="shared" si="6"/>
        <v>-0.004396765123927623</v>
      </c>
      <c r="G36" s="241">
        <f t="shared" si="7"/>
        <v>0.10584023115124393</v>
      </c>
      <c r="H36" s="242">
        <f t="shared" si="8"/>
        <v>0.894159768848756</v>
      </c>
      <c r="I36" s="157"/>
    </row>
    <row r="37" spans="1:9" ht="15">
      <c r="A37" s="19"/>
      <c r="B37" s="165">
        <f>DATE(18,10,1)</f>
        <v>6849</v>
      </c>
      <c r="C37" s="226">
        <v>24694763.75</v>
      </c>
      <c r="D37" s="226">
        <v>2633608.28</v>
      </c>
      <c r="E37" s="226">
        <v>2567921.26</v>
      </c>
      <c r="F37" s="166">
        <f t="shared" si="6"/>
        <v>0.025579841961353607</v>
      </c>
      <c r="G37" s="241">
        <f t="shared" si="7"/>
        <v>0.10664642539858271</v>
      </c>
      <c r="H37" s="242">
        <f t="shared" si="8"/>
        <v>0.8933535746014173</v>
      </c>
      <c r="I37" s="157"/>
    </row>
    <row r="38" spans="1:9" ht="15">
      <c r="A38" s="19"/>
      <c r="B38" s="165">
        <f>DATE(18,11,1)</f>
        <v>6880</v>
      </c>
      <c r="C38" s="226">
        <v>23994134.84</v>
      </c>
      <c r="D38" s="226">
        <v>2551021.51</v>
      </c>
      <c r="E38" s="226">
        <v>2542392.68</v>
      </c>
      <c r="F38" s="166">
        <f t="shared" si="6"/>
        <v>0.0033939800361601135</v>
      </c>
      <c r="G38" s="241">
        <f t="shared" si="7"/>
        <v>0.10631854521994509</v>
      </c>
      <c r="H38" s="242">
        <f t="shared" si="8"/>
        <v>0.8936814547800549</v>
      </c>
      <c r="I38" s="157"/>
    </row>
    <row r="39" spans="1:9" ht="15">
      <c r="A39" s="19"/>
      <c r="B39" s="165">
        <f>DATE(18,12,1)</f>
        <v>6910</v>
      </c>
      <c r="C39" s="226">
        <v>26510723.73</v>
      </c>
      <c r="D39" s="226">
        <v>2786245.45</v>
      </c>
      <c r="E39" s="226">
        <v>2721371.75</v>
      </c>
      <c r="F39" s="166">
        <f t="shared" si="6"/>
        <v>0.023838602719382308</v>
      </c>
      <c r="G39" s="241">
        <f t="shared" si="7"/>
        <v>0.10509880750056763</v>
      </c>
      <c r="H39" s="242">
        <f t="shared" si="8"/>
        <v>0.8949011924994323</v>
      </c>
      <c r="I39" s="157"/>
    </row>
    <row r="40" spans="1:9" ht="15">
      <c r="A40" s="19"/>
      <c r="B40" s="165">
        <f>DATE(19,1,1)</f>
        <v>6941</v>
      </c>
      <c r="C40" s="226">
        <v>22778766.55</v>
      </c>
      <c r="D40" s="226">
        <v>2442891.35</v>
      </c>
      <c r="E40" s="226">
        <v>2149317.95</v>
      </c>
      <c r="F40" s="166">
        <f t="shared" si="6"/>
        <v>0.1365890979508173</v>
      </c>
      <c r="G40" s="241">
        <f t="shared" si="7"/>
        <v>0.10724423311674003</v>
      </c>
      <c r="H40" s="242">
        <f t="shared" si="8"/>
        <v>0.89275576688326</v>
      </c>
      <c r="I40" s="157"/>
    </row>
    <row r="41" spans="1:9" ht="15">
      <c r="A41" s="19"/>
      <c r="B41" s="165">
        <f>DATE(19,2,1)</f>
        <v>6972</v>
      </c>
      <c r="C41" s="226">
        <v>24810301.69</v>
      </c>
      <c r="D41" s="226">
        <v>2630594.64</v>
      </c>
      <c r="E41" s="226">
        <v>2669700.18</v>
      </c>
      <c r="F41" s="166">
        <f t="shared" si="6"/>
        <v>-0.014647914508512352</v>
      </c>
      <c r="G41" s="241">
        <f t="shared" si="7"/>
        <v>0.10602832133477375</v>
      </c>
      <c r="H41" s="242">
        <f t="shared" si="8"/>
        <v>0.8939716786652263</v>
      </c>
      <c r="I41" s="157"/>
    </row>
    <row r="42" spans="1:9" ht="15">
      <c r="A42" s="19"/>
      <c r="B42" s="165">
        <f>DATE(19,3,1)</f>
        <v>7000</v>
      </c>
      <c r="C42" s="226">
        <v>31240200.56</v>
      </c>
      <c r="D42" s="226">
        <v>3403749.63</v>
      </c>
      <c r="E42" s="226">
        <v>3445390.71</v>
      </c>
      <c r="F42" s="166">
        <f t="shared" si="6"/>
        <v>-0.012086025506233536</v>
      </c>
      <c r="G42" s="241">
        <f t="shared" si="7"/>
        <v>0.10895415423030819</v>
      </c>
      <c r="H42" s="242">
        <f t="shared" si="8"/>
        <v>0.8910458457696918</v>
      </c>
      <c r="I42" s="157"/>
    </row>
    <row r="43" spans="1:9" ht="15" thickBot="1">
      <c r="A43" s="167"/>
      <c r="B43" s="165"/>
      <c r="C43" s="226"/>
      <c r="D43" s="226"/>
      <c r="E43" s="226"/>
      <c r="F43" s="166"/>
      <c r="G43" s="241"/>
      <c r="H43" s="242"/>
      <c r="I43" s="157"/>
    </row>
    <row r="44" spans="1:9" ht="16.5" thickBot="1" thickTop="1">
      <c r="A44" s="174" t="s">
        <v>14</v>
      </c>
      <c r="B44" s="175"/>
      <c r="C44" s="228">
        <f>SUM(C34:C43)</f>
        <v>233682667.8</v>
      </c>
      <c r="D44" s="228">
        <f>SUM(D34:D43)</f>
        <v>24903043.11</v>
      </c>
      <c r="E44" s="228">
        <f>SUM(E34:E43)</f>
        <v>24424858.42</v>
      </c>
      <c r="F44" s="176">
        <f>(+D44-E44)/E44</f>
        <v>0.019577787587437633</v>
      </c>
      <c r="G44" s="245">
        <f>D44/C44</f>
        <v>0.10656777990618266</v>
      </c>
      <c r="H44" s="246">
        <f>1-G44</f>
        <v>0.8934322200938174</v>
      </c>
      <c r="I44" s="157"/>
    </row>
    <row r="45" spans="1:9" ht="15" thickTop="1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">
      <c r="A46" s="177" t="s">
        <v>65</v>
      </c>
      <c r="B46" s="165">
        <f>DATE(18,7,1)</f>
        <v>6757</v>
      </c>
      <c r="C46" s="226">
        <v>184818671</v>
      </c>
      <c r="D46" s="226">
        <v>17539246.18</v>
      </c>
      <c r="E46" s="226">
        <v>17796071.33</v>
      </c>
      <c r="F46" s="166">
        <f aca="true" t="shared" si="9" ref="F46:F54">(+D46-E46)/E46</f>
        <v>-0.014431564430012797</v>
      </c>
      <c r="G46" s="241">
        <f aca="true" t="shared" si="10" ref="G46:G54">D46/C46</f>
        <v>0.0948997527419727</v>
      </c>
      <c r="H46" s="242">
        <f aca="true" t="shared" si="11" ref="H46:H54">1-G46</f>
        <v>0.9051002472580273</v>
      </c>
      <c r="I46" s="157"/>
    </row>
    <row r="47" spans="1:9" ht="15">
      <c r="A47" s="177"/>
      <c r="B47" s="165">
        <f>DATE(18,8,1)</f>
        <v>6788</v>
      </c>
      <c r="C47" s="226">
        <v>185402170.61</v>
      </c>
      <c r="D47" s="226">
        <v>17390823.88</v>
      </c>
      <c r="E47" s="226">
        <v>17013833.45</v>
      </c>
      <c r="F47" s="166">
        <f t="shared" si="9"/>
        <v>0.02215787706561802</v>
      </c>
      <c r="G47" s="241">
        <f t="shared" si="10"/>
        <v>0.09380054086088457</v>
      </c>
      <c r="H47" s="242">
        <f t="shared" si="11"/>
        <v>0.9061994591391154</v>
      </c>
      <c r="I47" s="157"/>
    </row>
    <row r="48" spans="1:9" ht="15">
      <c r="A48" s="177"/>
      <c r="B48" s="165">
        <f>DATE(18,9,1)</f>
        <v>6819</v>
      </c>
      <c r="C48" s="226">
        <v>169616120.73</v>
      </c>
      <c r="D48" s="226">
        <v>16350217.75</v>
      </c>
      <c r="E48" s="226">
        <v>16916276.07</v>
      </c>
      <c r="F48" s="166">
        <f t="shared" si="9"/>
        <v>-0.03346234819398997</v>
      </c>
      <c r="G48" s="241">
        <f t="shared" si="10"/>
        <v>0.09639542326302089</v>
      </c>
      <c r="H48" s="242">
        <f t="shared" si="11"/>
        <v>0.9036045767369791</v>
      </c>
      <c r="I48" s="157"/>
    </row>
    <row r="49" spans="1:9" ht="15">
      <c r="A49" s="177"/>
      <c r="B49" s="165">
        <f>DATE(18,10,1)</f>
        <v>6849</v>
      </c>
      <c r="C49" s="226">
        <v>166482334.12</v>
      </c>
      <c r="D49" s="226">
        <v>15575678.63</v>
      </c>
      <c r="E49" s="226">
        <v>15553875.56</v>
      </c>
      <c r="F49" s="166">
        <f t="shared" si="9"/>
        <v>0.001401777320121513</v>
      </c>
      <c r="G49" s="241">
        <f t="shared" si="10"/>
        <v>0.09355754598426698</v>
      </c>
      <c r="H49" s="242">
        <f t="shared" si="11"/>
        <v>0.906442454015733</v>
      </c>
      <c r="I49" s="157"/>
    </row>
    <row r="50" spans="1:9" ht="15">
      <c r="A50" s="177"/>
      <c r="B50" s="165">
        <f>DATE(18,11,1)</f>
        <v>6880</v>
      </c>
      <c r="C50" s="226">
        <v>162436599.85</v>
      </c>
      <c r="D50" s="226">
        <v>14866628.69</v>
      </c>
      <c r="E50" s="226">
        <v>15514479.14</v>
      </c>
      <c r="F50" s="166">
        <f t="shared" si="9"/>
        <v>-0.041757795679372135</v>
      </c>
      <c r="G50" s="241">
        <f t="shared" si="10"/>
        <v>0.09152265378448206</v>
      </c>
      <c r="H50" s="242">
        <f t="shared" si="11"/>
        <v>0.9084773462155179</v>
      </c>
      <c r="I50" s="157"/>
    </row>
    <row r="51" spans="1:9" ht="15">
      <c r="A51" s="177"/>
      <c r="B51" s="165">
        <f>DATE(18,12,1)</f>
        <v>6910</v>
      </c>
      <c r="C51" s="226">
        <v>179551074.19</v>
      </c>
      <c r="D51" s="226">
        <v>16436113.14</v>
      </c>
      <c r="E51" s="226">
        <v>16895433.95</v>
      </c>
      <c r="F51" s="166">
        <f t="shared" si="9"/>
        <v>-0.02718609130486398</v>
      </c>
      <c r="G51" s="241">
        <f t="shared" si="10"/>
        <v>0.09154004348983952</v>
      </c>
      <c r="H51" s="242">
        <f t="shared" si="11"/>
        <v>0.9084599565101605</v>
      </c>
      <c r="I51" s="157"/>
    </row>
    <row r="52" spans="1:9" ht="15">
      <c r="A52" s="177"/>
      <c r="B52" s="165">
        <f>DATE(19,1,1)</f>
        <v>6941</v>
      </c>
      <c r="C52" s="226">
        <v>146567355.46</v>
      </c>
      <c r="D52" s="226">
        <v>13439931.69</v>
      </c>
      <c r="E52" s="226">
        <v>14722625.03</v>
      </c>
      <c r="F52" s="166">
        <f t="shared" si="9"/>
        <v>-0.08712395631799909</v>
      </c>
      <c r="G52" s="241">
        <f t="shared" si="10"/>
        <v>0.09169798859929569</v>
      </c>
      <c r="H52" s="242">
        <f t="shared" si="11"/>
        <v>0.9083020114007043</v>
      </c>
      <c r="I52" s="157"/>
    </row>
    <row r="53" spans="1:9" ht="15">
      <c r="A53" s="177"/>
      <c r="B53" s="165">
        <f>DATE(19,2,1)</f>
        <v>6972</v>
      </c>
      <c r="C53" s="226">
        <v>162305515.59</v>
      </c>
      <c r="D53" s="226">
        <v>15398690.67</v>
      </c>
      <c r="E53" s="226">
        <v>16321322.12</v>
      </c>
      <c r="F53" s="166">
        <f t="shared" si="9"/>
        <v>-0.05652921026963956</v>
      </c>
      <c r="G53" s="241">
        <f t="shared" si="10"/>
        <v>0.09487472199588481</v>
      </c>
      <c r="H53" s="242">
        <f t="shared" si="11"/>
        <v>0.9051252780041152</v>
      </c>
      <c r="I53" s="157"/>
    </row>
    <row r="54" spans="1:9" ht="15">
      <c r="A54" s="177"/>
      <c r="B54" s="165">
        <f>DATE(19,3,1)</f>
        <v>7000</v>
      </c>
      <c r="C54" s="226">
        <v>197401131</v>
      </c>
      <c r="D54" s="226">
        <v>18771751.93</v>
      </c>
      <c r="E54" s="226">
        <v>19040351.65</v>
      </c>
      <c r="F54" s="166">
        <f t="shared" si="9"/>
        <v>-0.014106867611344711</v>
      </c>
      <c r="G54" s="241">
        <f t="shared" si="10"/>
        <v>0.0950944497374739</v>
      </c>
      <c r="H54" s="242">
        <f t="shared" si="11"/>
        <v>0.9049055502625261</v>
      </c>
      <c r="I54" s="157"/>
    </row>
    <row r="55" spans="1:9" ht="15" thickBot="1">
      <c r="A55" s="167"/>
      <c r="B55" s="168"/>
      <c r="C55" s="226"/>
      <c r="D55" s="226"/>
      <c r="E55" s="226"/>
      <c r="F55" s="166"/>
      <c r="G55" s="241"/>
      <c r="H55" s="242"/>
      <c r="I55" s="157"/>
    </row>
    <row r="56" spans="1:9" ht="16.5" thickBot="1" thickTop="1">
      <c r="A56" s="174" t="s">
        <v>14</v>
      </c>
      <c r="B56" s="178"/>
      <c r="C56" s="228">
        <f>SUM(C46:C55)</f>
        <v>1554580972.55</v>
      </c>
      <c r="D56" s="228">
        <f>SUM(D46:D55)</f>
        <v>145769082.56</v>
      </c>
      <c r="E56" s="228">
        <f>SUM(E46:E55)</f>
        <v>149774268.3</v>
      </c>
      <c r="F56" s="176">
        <f>(+D56-E56)/E56</f>
        <v>-0.026741480933010233</v>
      </c>
      <c r="G56" s="245">
        <f>D56/C56</f>
        <v>0.09376744288905906</v>
      </c>
      <c r="H56" s="246">
        <f>1-G56</f>
        <v>0.906232557110941</v>
      </c>
      <c r="I56" s="157"/>
    </row>
    <row r="57" spans="1:9" ht="15" thickTop="1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">
      <c r="A58" s="164" t="s">
        <v>16</v>
      </c>
      <c r="B58" s="165">
        <f>DATE(18,7,1)</f>
        <v>6757</v>
      </c>
      <c r="C58" s="226">
        <v>111478358.27</v>
      </c>
      <c r="D58" s="226">
        <v>11381105.73</v>
      </c>
      <c r="E58" s="226">
        <v>12386204.68</v>
      </c>
      <c r="F58" s="166">
        <f aca="true" t="shared" si="12" ref="F58:F66">(+D58-E58)/E58</f>
        <v>-0.08114664467178814</v>
      </c>
      <c r="G58" s="241">
        <f aca="true" t="shared" si="13" ref="G58:G66">D58/C58</f>
        <v>0.10209251290223545</v>
      </c>
      <c r="H58" s="242">
        <f aca="true" t="shared" si="14" ref="H58:H66">1-G58</f>
        <v>0.8979074870977646</v>
      </c>
      <c r="I58" s="157"/>
    </row>
    <row r="59" spans="1:9" ht="15">
      <c r="A59" s="164"/>
      <c r="B59" s="165">
        <f>DATE(18,8,1)</f>
        <v>6788</v>
      </c>
      <c r="C59" s="226">
        <v>118354764.09</v>
      </c>
      <c r="D59" s="226">
        <v>11018606.25</v>
      </c>
      <c r="E59" s="226">
        <v>11735802.96</v>
      </c>
      <c r="F59" s="166">
        <f t="shared" si="12"/>
        <v>-0.0611118568064303</v>
      </c>
      <c r="G59" s="241">
        <f t="shared" si="13"/>
        <v>0.09309812186031792</v>
      </c>
      <c r="H59" s="242">
        <f t="shared" si="14"/>
        <v>0.906901878139682</v>
      </c>
      <c r="I59" s="157"/>
    </row>
    <row r="60" spans="1:9" ht="15">
      <c r="A60" s="164"/>
      <c r="B60" s="165">
        <f>DATE(18,9,1)</f>
        <v>6819</v>
      </c>
      <c r="C60" s="226">
        <v>117946300.34</v>
      </c>
      <c r="D60" s="226">
        <v>11865007.26</v>
      </c>
      <c r="E60" s="226">
        <v>11892155.97</v>
      </c>
      <c r="F60" s="166">
        <f t="shared" si="12"/>
        <v>-0.002282909008970969</v>
      </c>
      <c r="G60" s="241">
        <f t="shared" si="13"/>
        <v>0.10059668871170291</v>
      </c>
      <c r="H60" s="242">
        <f t="shared" si="14"/>
        <v>0.8994033112882971</v>
      </c>
      <c r="I60" s="157"/>
    </row>
    <row r="61" spans="1:9" ht="15">
      <c r="A61" s="164"/>
      <c r="B61" s="165">
        <f>DATE(18,10,1)</f>
        <v>6849</v>
      </c>
      <c r="C61" s="226">
        <v>111145625.37</v>
      </c>
      <c r="D61" s="226">
        <v>11049162.11</v>
      </c>
      <c r="E61" s="226">
        <v>11365393.67</v>
      </c>
      <c r="F61" s="166">
        <f t="shared" si="12"/>
        <v>-0.02782407448276277</v>
      </c>
      <c r="G61" s="241">
        <f t="shared" si="13"/>
        <v>0.09941157893725205</v>
      </c>
      <c r="H61" s="242">
        <f t="shared" si="14"/>
        <v>0.900588421062748</v>
      </c>
      <c r="I61" s="157"/>
    </row>
    <row r="62" spans="1:9" ht="15">
      <c r="A62" s="164"/>
      <c r="B62" s="165">
        <f>DATE(18,11,1)</f>
        <v>6880</v>
      </c>
      <c r="C62" s="226">
        <v>103133163.15</v>
      </c>
      <c r="D62" s="226">
        <v>10320344.72</v>
      </c>
      <c r="E62" s="226">
        <v>10423173.18</v>
      </c>
      <c r="F62" s="166">
        <f t="shared" si="12"/>
        <v>-0.00986537000050104</v>
      </c>
      <c r="G62" s="241">
        <f t="shared" si="13"/>
        <v>0.10006814883578988</v>
      </c>
      <c r="H62" s="242">
        <f t="shared" si="14"/>
        <v>0.8999318511642102</v>
      </c>
      <c r="I62" s="157"/>
    </row>
    <row r="63" spans="1:9" ht="15">
      <c r="A63" s="164"/>
      <c r="B63" s="165">
        <f>DATE(18,12,1)</f>
        <v>6910</v>
      </c>
      <c r="C63" s="226">
        <v>121311765.33</v>
      </c>
      <c r="D63" s="226">
        <v>11723908.33</v>
      </c>
      <c r="E63" s="226">
        <v>11374202.05</v>
      </c>
      <c r="F63" s="166">
        <f t="shared" si="12"/>
        <v>0.030745566015331977</v>
      </c>
      <c r="G63" s="241">
        <f t="shared" si="13"/>
        <v>0.09664279716075252</v>
      </c>
      <c r="H63" s="242">
        <f t="shared" si="14"/>
        <v>0.9033572028392475</v>
      </c>
      <c r="I63" s="157"/>
    </row>
    <row r="64" spans="1:9" ht="15">
      <c r="A64" s="164"/>
      <c r="B64" s="165">
        <f>DATE(19,1,1)</f>
        <v>6941</v>
      </c>
      <c r="C64" s="226">
        <v>101897085.93</v>
      </c>
      <c r="D64" s="226">
        <v>10040856.29</v>
      </c>
      <c r="E64" s="226">
        <v>9601370.92</v>
      </c>
      <c r="F64" s="166">
        <f t="shared" si="12"/>
        <v>0.045773189439492996</v>
      </c>
      <c r="G64" s="241">
        <f t="shared" si="13"/>
        <v>0.09853918979486559</v>
      </c>
      <c r="H64" s="242">
        <f t="shared" si="14"/>
        <v>0.9014608102051345</v>
      </c>
      <c r="I64" s="157"/>
    </row>
    <row r="65" spans="1:9" ht="15">
      <c r="A65" s="164"/>
      <c r="B65" s="165">
        <f>DATE(19,2,1)</f>
        <v>6972</v>
      </c>
      <c r="C65" s="226">
        <v>98535626.56</v>
      </c>
      <c r="D65" s="226">
        <v>9810243.7</v>
      </c>
      <c r="E65" s="226">
        <v>9958011.36</v>
      </c>
      <c r="F65" s="166">
        <f t="shared" si="12"/>
        <v>-0.014839073250464756</v>
      </c>
      <c r="G65" s="241">
        <f t="shared" si="13"/>
        <v>0.09956037265390885</v>
      </c>
      <c r="H65" s="242">
        <f t="shared" si="14"/>
        <v>0.9004396273460912</v>
      </c>
      <c r="I65" s="157"/>
    </row>
    <row r="66" spans="1:9" ht="15">
      <c r="A66" s="164"/>
      <c r="B66" s="165">
        <f>DATE(19,3,1)</f>
        <v>7000</v>
      </c>
      <c r="C66" s="226">
        <v>125771606.76</v>
      </c>
      <c r="D66" s="226">
        <v>12873586.44</v>
      </c>
      <c r="E66" s="226">
        <v>11915524.59</v>
      </c>
      <c r="F66" s="166">
        <f t="shared" si="12"/>
        <v>0.08040450445665184</v>
      </c>
      <c r="G66" s="241">
        <f t="shared" si="13"/>
        <v>0.10235685757410769</v>
      </c>
      <c r="H66" s="242">
        <f t="shared" si="14"/>
        <v>0.8976431424258923</v>
      </c>
      <c r="I66" s="157"/>
    </row>
    <row r="67" spans="1:9" ht="15" thickBot="1">
      <c r="A67" s="167"/>
      <c r="B67" s="165"/>
      <c r="C67" s="226"/>
      <c r="D67" s="226"/>
      <c r="E67" s="226"/>
      <c r="F67" s="166"/>
      <c r="G67" s="241"/>
      <c r="H67" s="242"/>
      <c r="I67" s="157"/>
    </row>
    <row r="68" spans="1:9" ht="16.5" thickBot="1" thickTop="1">
      <c r="A68" s="174" t="s">
        <v>14</v>
      </c>
      <c r="B68" s="175"/>
      <c r="C68" s="228">
        <f>SUM(C58:C67)</f>
        <v>1009574295.8</v>
      </c>
      <c r="D68" s="230">
        <f>SUM(D58:D67)</f>
        <v>100082820.83</v>
      </c>
      <c r="E68" s="271">
        <f>SUM(E58:E67)</f>
        <v>100651839.38000001</v>
      </c>
      <c r="F68" s="272">
        <f>(+D68-E68)/E68</f>
        <v>-0.0056533348372476795</v>
      </c>
      <c r="G68" s="249">
        <f>D68/C68</f>
        <v>0.09913368560031835</v>
      </c>
      <c r="H68" s="270">
        <f>1-G68</f>
        <v>0.9008663143996817</v>
      </c>
      <c r="I68" s="157"/>
    </row>
    <row r="69" spans="1:9" ht="15" thickTop="1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">
      <c r="A70" s="164" t="s">
        <v>66</v>
      </c>
      <c r="B70" s="165">
        <f>DATE(18,7,1)</f>
        <v>6757</v>
      </c>
      <c r="C70" s="226">
        <v>43839500.54</v>
      </c>
      <c r="D70" s="226">
        <v>4536017.05</v>
      </c>
      <c r="E70" s="226">
        <v>4991725.48</v>
      </c>
      <c r="F70" s="166">
        <f aca="true" t="shared" si="15" ref="F70:F78">(+D70-E70)/E70</f>
        <v>-0.0912927667648904</v>
      </c>
      <c r="G70" s="241">
        <f aca="true" t="shared" si="16" ref="G70:G78">D70/C70</f>
        <v>0.10346872099651891</v>
      </c>
      <c r="H70" s="242">
        <f aca="true" t="shared" si="17" ref="H70:H78">1-G70</f>
        <v>0.8965312790034811</v>
      </c>
      <c r="I70" s="157"/>
    </row>
    <row r="71" spans="1:9" ht="15">
      <c r="A71" s="164"/>
      <c r="B71" s="165">
        <f>DATE(18,8,1)</f>
        <v>6788</v>
      </c>
      <c r="C71" s="226">
        <v>43029880.97</v>
      </c>
      <c r="D71" s="226">
        <v>4611969.17</v>
      </c>
      <c r="E71" s="226">
        <v>4592418.47</v>
      </c>
      <c r="F71" s="166">
        <f t="shared" si="15"/>
        <v>0.004257168663464632</v>
      </c>
      <c r="G71" s="241">
        <f t="shared" si="16"/>
        <v>0.1071806164933484</v>
      </c>
      <c r="H71" s="242">
        <f t="shared" si="17"/>
        <v>0.8928193835066516</v>
      </c>
      <c r="I71" s="157"/>
    </row>
    <row r="72" spans="1:9" ht="15">
      <c r="A72" s="164"/>
      <c r="B72" s="165">
        <f>DATE(18,9,1)</f>
        <v>6819</v>
      </c>
      <c r="C72" s="226">
        <v>42955268.14</v>
      </c>
      <c r="D72" s="226">
        <v>4472303.22</v>
      </c>
      <c r="E72" s="226">
        <v>5151289.25</v>
      </c>
      <c r="F72" s="166">
        <f t="shared" si="15"/>
        <v>-0.13180895054572994</v>
      </c>
      <c r="G72" s="241">
        <f t="shared" si="16"/>
        <v>0.104115360319108</v>
      </c>
      <c r="H72" s="242">
        <f t="shared" si="17"/>
        <v>0.895884639680892</v>
      </c>
      <c r="I72" s="157"/>
    </row>
    <row r="73" spans="1:9" ht="15">
      <c r="A73" s="164"/>
      <c r="B73" s="165">
        <f>DATE(18,10,1)</f>
        <v>6849</v>
      </c>
      <c r="C73" s="226">
        <v>40582774.37</v>
      </c>
      <c r="D73" s="226">
        <v>4257625.94</v>
      </c>
      <c r="E73" s="226">
        <v>4567525</v>
      </c>
      <c r="F73" s="166">
        <f t="shared" si="15"/>
        <v>-0.06784835550982198</v>
      </c>
      <c r="G73" s="241">
        <f t="shared" si="16"/>
        <v>0.10491214575875239</v>
      </c>
      <c r="H73" s="242">
        <f t="shared" si="17"/>
        <v>0.8950878542412476</v>
      </c>
      <c r="I73" s="157"/>
    </row>
    <row r="74" spans="1:9" ht="15">
      <c r="A74" s="164"/>
      <c r="B74" s="165">
        <f>DATE(18,11,1)</f>
        <v>6880</v>
      </c>
      <c r="C74" s="226">
        <v>42459394.16</v>
      </c>
      <c r="D74" s="226">
        <v>4366684.07</v>
      </c>
      <c r="E74" s="226">
        <v>4348004.21</v>
      </c>
      <c r="F74" s="166">
        <f t="shared" si="15"/>
        <v>0.004296191792325872</v>
      </c>
      <c r="G74" s="241">
        <f t="shared" si="16"/>
        <v>0.1028437677076832</v>
      </c>
      <c r="H74" s="242">
        <f t="shared" si="17"/>
        <v>0.8971562322923168</v>
      </c>
      <c r="I74" s="157"/>
    </row>
    <row r="75" spans="1:9" ht="15">
      <c r="A75" s="164"/>
      <c r="B75" s="165">
        <f>DATE(18,12,1)</f>
        <v>6910</v>
      </c>
      <c r="C75" s="226">
        <v>48679067.11</v>
      </c>
      <c r="D75" s="226">
        <v>4828790.12</v>
      </c>
      <c r="E75" s="226">
        <v>4903510.72</v>
      </c>
      <c r="F75" s="166">
        <f t="shared" si="15"/>
        <v>-0.015238184286053653</v>
      </c>
      <c r="G75" s="241">
        <f t="shared" si="16"/>
        <v>0.09919643918172039</v>
      </c>
      <c r="H75" s="242">
        <f t="shared" si="17"/>
        <v>0.9008035608182796</v>
      </c>
      <c r="I75" s="157"/>
    </row>
    <row r="76" spans="1:9" ht="15">
      <c r="A76" s="164"/>
      <c r="B76" s="165">
        <f>DATE(19,1,1)</f>
        <v>6941</v>
      </c>
      <c r="C76" s="226">
        <v>39173781.12</v>
      </c>
      <c r="D76" s="226">
        <v>4076690.38</v>
      </c>
      <c r="E76" s="226">
        <v>4062330.47</v>
      </c>
      <c r="F76" s="166">
        <f t="shared" si="15"/>
        <v>0.003534894589705717</v>
      </c>
      <c r="G76" s="241">
        <f t="shared" si="16"/>
        <v>0.10406680855013671</v>
      </c>
      <c r="H76" s="242">
        <f t="shared" si="17"/>
        <v>0.8959331914498633</v>
      </c>
      <c r="I76" s="157"/>
    </row>
    <row r="77" spans="1:9" ht="15">
      <c r="A77" s="164"/>
      <c r="B77" s="165">
        <f>DATE(19,2,1)</f>
        <v>6972</v>
      </c>
      <c r="C77" s="226">
        <v>45205373.26</v>
      </c>
      <c r="D77" s="226">
        <v>4582840.96</v>
      </c>
      <c r="E77" s="226">
        <v>4744487.69</v>
      </c>
      <c r="F77" s="166">
        <f t="shared" si="15"/>
        <v>-0.03407042879270289</v>
      </c>
      <c r="G77" s="241">
        <f t="shared" si="16"/>
        <v>0.10137823514124436</v>
      </c>
      <c r="H77" s="242">
        <f t="shared" si="17"/>
        <v>0.8986217648587557</v>
      </c>
      <c r="I77" s="157"/>
    </row>
    <row r="78" spans="1:9" ht="15">
      <c r="A78" s="164"/>
      <c r="B78" s="165">
        <f>DATE(19,3,1)</f>
        <v>7000</v>
      </c>
      <c r="C78" s="226">
        <v>53688161.08</v>
      </c>
      <c r="D78" s="226">
        <v>5571169.22</v>
      </c>
      <c r="E78" s="226">
        <v>5877350.31</v>
      </c>
      <c r="F78" s="166">
        <f t="shared" si="15"/>
        <v>-0.052095089428147404</v>
      </c>
      <c r="G78" s="241">
        <f t="shared" si="16"/>
        <v>0.10376904531519483</v>
      </c>
      <c r="H78" s="242">
        <f t="shared" si="17"/>
        <v>0.8962309546848052</v>
      </c>
      <c r="I78" s="157"/>
    </row>
    <row r="79" spans="1:9" ht="15" thickBot="1">
      <c r="A79" s="167"/>
      <c r="B79" s="165"/>
      <c r="C79" s="226"/>
      <c r="D79" s="226"/>
      <c r="E79" s="226"/>
      <c r="F79" s="166"/>
      <c r="G79" s="241"/>
      <c r="H79" s="242"/>
      <c r="I79" s="157"/>
    </row>
    <row r="80" spans="1:9" ht="16.5" thickBot="1" thickTop="1">
      <c r="A80" s="174" t="s">
        <v>14</v>
      </c>
      <c r="B80" s="175"/>
      <c r="C80" s="228">
        <f>SUM(C70:C79)</f>
        <v>399613200.74999994</v>
      </c>
      <c r="D80" s="230">
        <f>SUM(D70:D79)</f>
        <v>41304090.129999995</v>
      </c>
      <c r="E80" s="271">
        <f>SUM(E70:E79)</f>
        <v>43238641.6</v>
      </c>
      <c r="F80" s="272">
        <f>(+D80-E80)/E80</f>
        <v>-0.04474126379585445</v>
      </c>
      <c r="G80" s="249">
        <f>D80/C80</f>
        <v>0.10336017441986368</v>
      </c>
      <c r="H80" s="270">
        <f>1-G80</f>
        <v>0.8966398255801363</v>
      </c>
      <c r="I80" s="157"/>
    </row>
    <row r="81" spans="1:9" ht="15" thickTop="1">
      <c r="A81" s="167"/>
      <c r="B81" s="168"/>
      <c r="C81" s="226"/>
      <c r="D81" s="226"/>
      <c r="E81" s="226"/>
      <c r="F81" s="166"/>
      <c r="G81" s="241"/>
      <c r="H81" s="242"/>
      <c r="I81" s="157"/>
    </row>
    <row r="82" spans="1:9" ht="15">
      <c r="A82" s="164" t="s">
        <v>17</v>
      </c>
      <c r="B82" s="165">
        <f>DATE(18,7,1)</f>
        <v>6757</v>
      </c>
      <c r="C82" s="226">
        <v>49505917.04</v>
      </c>
      <c r="D82" s="226">
        <v>5381167.31</v>
      </c>
      <c r="E82" s="226">
        <v>5822170.92</v>
      </c>
      <c r="F82" s="166">
        <f aca="true" t="shared" si="18" ref="F82:F90">(+D82-E82)/E82</f>
        <v>-0.07574556227559193</v>
      </c>
      <c r="G82" s="241">
        <f aca="true" t="shared" si="19" ref="G82:G90">D82/C82</f>
        <v>0.10869745743023206</v>
      </c>
      <c r="H82" s="242">
        <f aca="true" t="shared" si="20" ref="H82:H90">1-G82</f>
        <v>0.8913025425697679</v>
      </c>
      <c r="I82" s="157"/>
    </row>
    <row r="83" spans="1:9" ht="15">
      <c r="A83" s="164"/>
      <c r="B83" s="165">
        <f>DATE(18,8,1)</f>
        <v>6788</v>
      </c>
      <c r="C83" s="226">
        <v>49219766.57</v>
      </c>
      <c r="D83" s="226">
        <v>5291596.82</v>
      </c>
      <c r="E83" s="226">
        <v>5584923.33</v>
      </c>
      <c r="F83" s="166">
        <f t="shared" si="18"/>
        <v>-0.05252113460973864</v>
      </c>
      <c r="G83" s="241">
        <f t="shared" si="19"/>
        <v>0.10750958789035152</v>
      </c>
      <c r="H83" s="242">
        <f t="shared" si="20"/>
        <v>0.8924904121096485</v>
      </c>
      <c r="I83" s="157"/>
    </row>
    <row r="84" spans="1:9" ht="15">
      <c r="A84" s="164"/>
      <c r="B84" s="165">
        <f>DATE(18,9,1)</f>
        <v>6819</v>
      </c>
      <c r="C84" s="226">
        <v>46813151.35</v>
      </c>
      <c r="D84" s="226">
        <v>5027629.3</v>
      </c>
      <c r="E84" s="226">
        <v>5571414.24</v>
      </c>
      <c r="F84" s="166">
        <f t="shared" si="18"/>
        <v>-0.09760267619231995</v>
      </c>
      <c r="G84" s="241">
        <f t="shared" si="19"/>
        <v>0.10739779645276967</v>
      </c>
      <c r="H84" s="242">
        <f t="shared" si="20"/>
        <v>0.8926022035472303</v>
      </c>
      <c r="I84" s="157"/>
    </row>
    <row r="85" spans="1:9" ht="15">
      <c r="A85" s="164"/>
      <c r="B85" s="165">
        <f>DATE(18,10,1)</f>
        <v>6849</v>
      </c>
      <c r="C85" s="226">
        <v>46725704.26</v>
      </c>
      <c r="D85" s="226">
        <v>5016135.3</v>
      </c>
      <c r="E85" s="226">
        <v>5441119.06</v>
      </c>
      <c r="F85" s="166">
        <f t="shared" si="18"/>
        <v>-0.07810594756586704</v>
      </c>
      <c r="G85" s="241">
        <f t="shared" si="19"/>
        <v>0.10735280247651852</v>
      </c>
      <c r="H85" s="242">
        <f t="shared" si="20"/>
        <v>0.8926471975234815</v>
      </c>
      <c r="I85" s="157"/>
    </row>
    <row r="86" spans="1:9" ht="15">
      <c r="A86" s="164"/>
      <c r="B86" s="165">
        <f>DATE(18,11,1)</f>
        <v>6880</v>
      </c>
      <c r="C86" s="226">
        <v>42300709.46</v>
      </c>
      <c r="D86" s="226">
        <v>4899996.98</v>
      </c>
      <c r="E86" s="226">
        <v>5393254.4</v>
      </c>
      <c r="F86" s="166">
        <f t="shared" si="18"/>
        <v>-0.09145821491380045</v>
      </c>
      <c r="G86" s="241">
        <f t="shared" si="19"/>
        <v>0.11583722926996035</v>
      </c>
      <c r="H86" s="242">
        <f t="shared" si="20"/>
        <v>0.8841627707300397</v>
      </c>
      <c r="I86" s="157"/>
    </row>
    <row r="87" spans="1:9" ht="15">
      <c r="A87" s="164"/>
      <c r="B87" s="165">
        <f>DATE(18,12,1)</f>
        <v>6910</v>
      </c>
      <c r="C87" s="226">
        <v>46873294.24</v>
      </c>
      <c r="D87" s="226">
        <v>5247804.62</v>
      </c>
      <c r="E87" s="226">
        <v>5595361.43</v>
      </c>
      <c r="F87" s="166">
        <f t="shared" si="18"/>
        <v>-0.062115167062585915</v>
      </c>
      <c r="G87" s="241">
        <f t="shared" si="19"/>
        <v>0.11195723929985084</v>
      </c>
      <c r="H87" s="242">
        <f t="shared" si="20"/>
        <v>0.8880427607001492</v>
      </c>
      <c r="I87" s="157"/>
    </row>
    <row r="88" spans="1:9" ht="15">
      <c r="A88" s="164"/>
      <c r="B88" s="165">
        <f>DATE(19,1,1)</f>
        <v>6941</v>
      </c>
      <c r="C88" s="226">
        <v>41050062.55</v>
      </c>
      <c r="D88" s="226">
        <v>4476117.81</v>
      </c>
      <c r="E88" s="226">
        <v>5047120.87</v>
      </c>
      <c r="F88" s="166">
        <f t="shared" si="18"/>
        <v>-0.11313441360083784</v>
      </c>
      <c r="G88" s="241">
        <f t="shared" si="19"/>
        <v>0.1090404625948615</v>
      </c>
      <c r="H88" s="242">
        <f t="shared" si="20"/>
        <v>0.8909595374051384</v>
      </c>
      <c r="I88" s="157"/>
    </row>
    <row r="89" spans="1:9" ht="15">
      <c r="A89" s="164"/>
      <c r="B89" s="165">
        <f>DATE(19,2,1)</f>
        <v>6972</v>
      </c>
      <c r="C89" s="226">
        <v>43373573.41</v>
      </c>
      <c r="D89" s="226">
        <v>4898275.77</v>
      </c>
      <c r="E89" s="226">
        <v>5208050.55</v>
      </c>
      <c r="F89" s="166">
        <f t="shared" si="18"/>
        <v>-0.059479987190216556</v>
      </c>
      <c r="G89" s="241">
        <f t="shared" si="19"/>
        <v>0.11293226231783515</v>
      </c>
      <c r="H89" s="242">
        <f t="shared" si="20"/>
        <v>0.8870677376821648</v>
      </c>
      <c r="I89" s="157"/>
    </row>
    <row r="90" spans="1:9" ht="15">
      <c r="A90" s="164"/>
      <c r="B90" s="165">
        <f>DATE(19,3,1)</f>
        <v>7000</v>
      </c>
      <c r="C90" s="226">
        <v>56103618.45</v>
      </c>
      <c r="D90" s="226">
        <v>6230162.59</v>
      </c>
      <c r="E90" s="226">
        <v>6546343.56</v>
      </c>
      <c r="F90" s="166">
        <f t="shared" si="18"/>
        <v>-0.04829886593975214</v>
      </c>
      <c r="G90" s="241">
        <f t="shared" si="19"/>
        <v>0.11104742906292882</v>
      </c>
      <c r="H90" s="242">
        <f t="shared" si="20"/>
        <v>0.8889525709370711</v>
      </c>
      <c r="I90" s="157"/>
    </row>
    <row r="91" spans="1:9" ht="15" thickBot="1">
      <c r="A91" s="167"/>
      <c r="B91" s="165"/>
      <c r="C91" s="226"/>
      <c r="D91" s="226"/>
      <c r="E91" s="226"/>
      <c r="F91" s="166"/>
      <c r="G91" s="241"/>
      <c r="H91" s="242"/>
      <c r="I91" s="157"/>
    </row>
    <row r="92" spans="1:9" ht="16.5" thickBot="1" thickTop="1">
      <c r="A92" s="174" t="s">
        <v>14</v>
      </c>
      <c r="B92" s="175"/>
      <c r="C92" s="228">
        <f>SUM(C82:C91)</f>
        <v>421965797.33</v>
      </c>
      <c r="D92" s="230">
        <f>SUM(D82:D91)</f>
        <v>46468886.5</v>
      </c>
      <c r="E92" s="271">
        <f>SUM(E82:E91)</f>
        <v>50209758.36</v>
      </c>
      <c r="F92" s="272">
        <f>(+D92-E92)/E92</f>
        <v>-0.0745048767846729</v>
      </c>
      <c r="G92" s="249">
        <f>D92/C92</f>
        <v>0.11012477028714919</v>
      </c>
      <c r="H92" s="270">
        <f>1-G92</f>
        <v>0.8898752297128508</v>
      </c>
      <c r="I92" s="157"/>
    </row>
    <row r="93" spans="1:9" ht="15" thickTop="1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">
      <c r="A94" s="164" t="s">
        <v>67</v>
      </c>
      <c r="B94" s="165">
        <f>DATE(18,7,1)</f>
        <v>6757</v>
      </c>
      <c r="C94" s="226">
        <v>116042592.23</v>
      </c>
      <c r="D94" s="226">
        <v>11368416.64</v>
      </c>
      <c r="E94" s="226">
        <v>10117966.68</v>
      </c>
      <c r="F94" s="166">
        <f aca="true" t="shared" si="21" ref="F94:F102">(+D94-E94)/E94</f>
        <v>0.12358708024525743</v>
      </c>
      <c r="G94" s="241">
        <f aca="true" t="shared" si="22" ref="G94:G102">D94/C94</f>
        <v>0.09796762052219109</v>
      </c>
      <c r="H94" s="242">
        <f aca="true" t="shared" si="23" ref="H94:H102">1-G94</f>
        <v>0.9020323794778089</v>
      </c>
      <c r="I94" s="157"/>
    </row>
    <row r="95" spans="1:9" ht="15">
      <c r="A95" s="164"/>
      <c r="B95" s="165">
        <f>DATE(18,8,1)</f>
        <v>6788</v>
      </c>
      <c r="C95" s="226">
        <v>116465353.84</v>
      </c>
      <c r="D95" s="226">
        <v>11900739.72</v>
      </c>
      <c r="E95" s="226">
        <v>10081520.41</v>
      </c>
      <c r="F95" s="166">
        <f t="shared" si="21"/>
        <v>0.18045088796284056</v>
      </c>
      <c r="G95" s="241">
        <f t="shared" si="22"/>
        <v>0.10218266057345454</v>
      </c>
      <c r="H95" s="242">
        <f t="shared" si="23"/>
        <v>0.8978173394265454</v>
      </c>
      <c r="I95" s="157"/>
    </row>
    <row r="96" spans="1:9" ht="15">
      <c r="A96" s="164"/>
      <c r="B96" s="165">
        <f>DATE(18,9,1)</f>
        <v>6819</v>
      </c>
      <c r="C96" s="226">
        <v>111448034.52</v>
      </c>
      <c r="D96" s="226">
        <v>10737435.65</v>
      </c>
      <c r="E96" s="226">
        <v>9642813.36</v>
      </c>
      <c r="F96" s="166">
        <f t="shared" si="21"/>
        <v>0.11351690104681245</v>
      </c>
      <c r="G96" s="241">
        <f t="shared" si="22"/>
        <v>0.09634477356415923</v>
      </c>
      <c r="H96" s="242">
        <f t="shared" si="23"/>
        <v>0.9036552264358407</v>
      </c>
      <c r="I96" s="157"/>
    </row>
    <row r="97" spans="1:9" ht="15">
      <c r="A97" s="164"/>
      <c r="B97" s="165">
        <f>DATE(18,10,1)</f>
        <v>6849</v>
      </c>
      <c r="C97" s="226">
        <v>108094900.66</v>
      </c>
      <c r="D97" s="226">
        <v>10634805.06</v>
      </c>
      <c r="E97" s="226">
        <v>9440836.54</v>
      </c>
      <c r="F97" s="166">
        <f t="shared" si="21"/>
        <v>0.12646850890186068</v>
      </c>
      <c r="G97" s="241">
        <f t="shared" si="22"/>
        <v>0.09838396626544438</v>
      </c>
      <c r="H97" s="242">
        <f t="shared" si="23"/>
        <v>0.9016160337345556</v>
      </c>
      <c r="I97" s="157"/>
    </row>
    <row r="98" spans="1:9" ht="15">
      <c r="A98" s="164"/>
      <c r="B98" s="165">
        <f>DATE(18,11,1)</f>
        <v>6880</v>
      </c>
      <c r="C98" s="226">
        <v>109404617.43</v>
      </c>
      <c r="D98" s="226">
        <v>10364939.92</v>
      </c>
      <c r="E98" s="226">
        <v>9748688.07</v>
      </c>
      <c r="F98" s="166">
        <f t="shared" si="21"/>
        <v>0.06321382380634522</v>
      </c>
      <c r="G98" s="241">
        <f t="shared" si="22"/>
        <v>0.09473951066673914</v>
      </c>
      <c r="H98" s="242">
        <f t="shared" si="23"/>
        <v>0.9052604893332609</v>
      </c>
      <c r="I98" s="157"/>
    </row>
    <row r="99" spans="1:9" ht="15">
      <c r="A99" s="164"/>
      <c r="B99" s="165">
        <f>DATE(18,12,1)</f>
        <v>6910</v>
      </c>
      <c r="C99" s="226">
        <v>117265837.39</v>
      </c>
      <c r="D99" s="226">
        <v>11597435.08</v>
      </c>
      <c r="E99" s="226">
        <v>10597064.9</v>
      </c>
      <c r="F99" s="166">
        <f t="shared" si="21"/>
        <v>0.09440068447632133</v>
      </c>
      <c r="G99" s="241">
        <f t="shared" si="22"/>
        <v>0.09889866766080832</v>
      </c>
      <c r="H99" s="242">
        <f t="shared" si="23"/>
        <v>0.9011013323391917</v>
      </c>
      <c r="I99" s="157"/>
    </row>
    <row r="100" spans="1:9" ht="15">
      <c r="A100" s="164"/>
      <c r="B100" s="165">
        <f>DATE(19,1,1)</f>
        <v>6941</v>
      </c>
      <c r="C100" s="226">
        <v>99792067.16</v>
      </c>
      <c r="D100" s="226">
        <v>9957125.17</v>
      </c>
      <c r="E100" s="226">
        <v>10120620.01</v>
      </c>
      <c r="F100" s="166">
        <f t="shared" si="21"/>
        <v>-0.016154626874485316</v>
      </c>
      <c r="G100" s="241">
        <f t="shared" si="22"/>
        <v>0.09977872443543438</v>
      </c>
      <c r="H100" s="242">
        <f t="shared" si="23"/>
        <v>0.9002212755645657</v>
      </c>
      <c r="I100" s="157"/>
    </row>
    <row r="101" spans="1:9" ht="15">
      <c r="A101" s="164"/>
      <c r="B101" s="165">
        <f>DATE(19,2,1)</f>
        <v>6972</v>
      </c>
      <c r="C101" s="226">
        <v>99240269.22</v>
      </c>
      <c r="D101" s="226">
        <v>10422099.2</v>
      </c>
      <c r="E101" s="226">
        <v>11560671.16</v>
      </c>
      <c r="F101" s="166">
        <f t="shared" si="21"/>
        <v>-0.0984866660630801</v>
      </c>
      <c r="G101" s="241">
        <f t="shared" si="22"/>
        <v>0.10501885254760698</v>
      </c>
      <c r="H101" s="242">
        <f t="shared" si="23"/>
        <v>0.894981147452393</v>
      </c>
      <c r="I101" s="157"/>
    </row>
    <row r="102" spans="1:9" ht="15">
      <c r="A102" s="164"/>
      <c r="B102" s="165">
        <f>DATE(19,3,1)</f>
        <v>7000</v>
      </c>
      <c r="C102" s="226">
        <v>128530416.45</v>
      </c>
      <c r="D102" s="226">
        <v>13240355.48</v>
      </c>
      <c r="E102" s="226">
        <v>13834359.94</v>
      </c>
      <c r="F102" s="166">
        <f t="shared" si="21"/>
        <v>-0.042936894990170324</v>
      </c>
      <c r="G102" s="241">
        <f t="shared" si="22"/>
        <v>0.10301340216345344</v>
      </c>
      <c r="H102" s="242">
        <f t="shared" si="23"/>
        <v>0.8969865978365466</v>
      </c>
      <c r="I102" s="157"/>
    </row>
    <row r="103" spans="1:9" ht="15" thickBot="1">
      <c r="A103" s="167"/>
      <c r="B103" s="165"/>
      <c r="C103" s="226"/>
      <c r="D103" s="226"/>
      <c r="E103" s="226"/>
      <c r="F103" s="166"/>
      <c r="G103" s="241"/>
      <c r="H103" s="242"/>
      <c r="I103" s="157"/>
    </row>
    <row r="104" spans="1:9" ht="16.5" thickBot="1" thickTop="1">
      <c r="A104" s="174" t="s">
        <v>14</v>
      </c>
      <c r="B104" s="175"/>
      <c r="C104" s="228">
        <f>SUM(C94:C103)</f>
        <v>1006284088.9000001</v>
      </c>
      <c r="D104" s="230">
        <f>SUM(D94:D103)</f>
        <v>100223351.92</v>
      </c>
      <c r="E104" s="271">
        <f>SUM(E94:E103)</f>
        <v>95144541.07</v>
      </c>
      <c r="F104" s="176">
        <f>(+D104-E104)/E104</f>
        <v>0.05337995005161056</v>
      </c>
      <c r="G104" s="249">
        <f>D104/C104</f>
        <v>0.09959747254829122</v>
      </c>
      <c r="H104" s="270">
        <f>1-G104</f>
        <v>0.9004025274517088</v>
      </c>
      <c r="I104" s="157"/>
    </row>
    <row r="105" spans="1:9" ht="15" thickTop="1">
      <c r="A105" s="167"/>
      <c r="B105" s="179"/>
      <c r="C105" s="229"/>
      <c r="D105" s="229"/>
      <c r="E105" s="229"/>
      <c r="F105" s="180"/>
      <c r="G105" s="247"/>
      <c r="H105" s="248"/>
      <c r="I105" s="157"/>
    </row>
    <row r="106" spans="1:9" ht="15">
      <c r="A106" s="164" t="s">
        <v>18</v>
      </c>
      <c r="B106" s="165">
        <f>DATE(18,7,1)</f>
        <v>6757</v>
      </c>
      <c r="C106" s="226">
        <v>150620962.91</v>
      </c>
      <c r="D106" s="226">
        <v>14899456.87</v>
      </c>
      <c r="E106" s="226">
        <v>13990899.67</v>
      </c>
      <c r="F106" s="166">
        <f aca="true" t="shared" si="24" ref="F106:F114">(+D106-E106)/E106</f>
        <v>0.06493915483849648</v>
      </c>
      <c r="G106" s="241">
        <f aca="true" t="shared" si="25" ref="G106:G114">D106/C106</f>
        <v>0.09892020726824605</v>
      </c>
      <c r="H106" s="242">
        <f aca="true" t="shared" si="26" ref="H106:H114">1-G106</f>
        <v>0.901079792731754</v>
      </c>
      <c r="I106" s="157"/>
    </row>
    <row r="107" spans="1:9" ht="15">
      <c r="A107" s="164"/>
      <c r="B107" s="165">
        <f>DATE(18,8,1)</f>
        <v>6788</v>
      </c>
      <c r="C107" s="226">
        <v>151491190.93</v>
      </c>
      <c r="D107" s="226">
        <v>14829432.53</v>
      </c>
      <c r="E107" s="226">
        <v>13373041.55</v>
      </c>
      <c r="F107" s="166">
        <f t="shared" si="24"/>
        <v>0.10890499177429075</v>
      </c>
      <c r="G107" s="241">
        <f t="shared" si="25"/>
        <v>0.09788973496717891</v>
      </c>
      <c r="H107" s="242">
        <f t="shared" si="26"/>
        <v>0.9021102650328211</v>
      </c>
      <c r="I107" s="157"/>
    </row>
    <row r="108" spans="1:9" ht="15">
      <c r="A108" s="164"/>
      <c r="B108" s="165">
        <f>DATE(18,9,1)</f>
        <v>6819</v>
      </c>
      <c r="C108" s="226">
        <v>146030772.52</v>
      </c>
      <c r="D108" s="226">
        <v>13962276.2</v>
      </c>
      <c r="E108" s="226">
        <v>13392030.43</v>
      </c>
      <c r="F108" s="166">
        <f t="shared" si="24"/>
        <v>0.042580979260812474</v>
      </c>
      <c r="G108" s="241">
        <f t="shared" si="25"/>
        <v>0.09561187658640757</v>
      </c>
      <c r="H108" s="242">
        <f t="shared" si="26"/>
        <v>0.9043881234135924</v>
      </c>
      <c r="I108" s="157"/>
    </row>
    <row r="109" spans="1:9" ht="15">
      <c r="A109" s="164"/>
      <c r="B109" s="165">
        <f>DATE(18,10,1)</f>
        <v>6849</v>
      </c>
      <c r="C109" s="226">
        <v>136339674.75</v>
      </c>
      <c r="D109" s="226">
        <v>13179828.55</v>
      </c>
      <c r="E109" s="226">
        <v>12769108.56</v>
      </c>
      <c r="F109" s="166">
        <f t="shared" si="24"/>
        <v>0.032165126333611516</v>
      </c>
      <c r="G109" s="241">
        <f t="shared" si="25"/>
        <v>0.0966690625760056</v>
      </c>
      <c r="H109" s="242">
        <f t="shared" si="26"/>
        <v>0.9033309374239944</v>
      </c>
      <c r="I109" s="157"/>
    </row>
    <row r="110" spans="1:9" ht="15">
      <c r="A110" s="164"/>
      <c r="B110" s="165">
        <f>DATE(18,11,1)</f>
        <v>6880</v>
      </c>
      <c r="C110" s="226">
        <v>130209291.22</v>
      </c>
      <c r="D110" s="226">
        <v>12404366.57</v>
      </c>
      <c r="E110" s="226">
        <v>12739975.57</v>
      </c>
      <c r="F110" s="166">
        <f t="shared" si="24"/>
        <v>-0.026342986150639847</v>
      </c>
      <c r="G110" s="241">
        <f t="shared" si="25"/>
        <v>0.09526483443521505</v>
      </c>
      <c r="H110" s="242">
        <f t="shared" si="26"/>
        <v>0.904735165564785</v>
      </c>
      <c r="I110" s="157"/>
    </row>
    <row r="111" spans="1:9" ht="15">
      <c r="A111" s="164"/>
      <c r="B111" s="165">
        <f>DATE(18,12,1)</f>
        <v>6910</v>
      </c>
      <c r="C111" s="226">
        <v>148668507.31</v>
      </c>
      <c r="D111" s="226">
        <v>14279714.56</v>
      </c>
      <c r="E111" s="226">
        <v>13705331.41</v>
      </c>
      <c r="F111" s="166">
        <f t="shared" si="24"/>
        <v>0.04190946813448857</v>
      </c>
      <c r="G111" s="241">
        <f t="shared" si="25"/>
        <v>0.0960507024545843</v>
      </c>
      <c r="H111" s="242">
        <f t="shared" si="26"/>
        <v>0.9039492975454158</v>
      </c>
      <c r="I111" s="157"/>
    </row>
    <row r="112" spans="1:9" ht="15">
      <c r="A112" s="164"/>
      <c r="B112" s="165">
        <f>DATE(19,1,1)</f>
        <v>6941</v>
      </c>
      <c r="C112" s="226">
        <v>125103165.66</v>
      </c>
      <c r="D112" s="226">
        <v>12070419.86</v>
      </c>
      <c r="E112" s="226">
        <v>12314929.47</v>
      </c>
      <c r="F112" s="166">
        <f t="shared" si="24"/>
        <v>-0.019854730844837007</v>
      </c>
      <c r="G112" s="241">
        <f t="shared" si="25"/>
        <v>0.09648372841982646</v>
      </c>
      <c r="H112" s="242">
        <f t="shared" si="26"/>
        <v>0.9035162715801736</v>
      </c>
      <c r="I112" s="157"/>
    </row>
    <row r="113" spans="1:9" ht="15">
      <c r="A113" s="164"/>
      <c r="B113" s="165">
        <f>DATE(19,2,1)</f>
        <v>6972</v>
      </c>
      <c r="C113" s="226">
        <v>129874405.7</v>
      </c>
      <c r="D113" s="226">
        <v>12585263.32</v>
      </c>
      <c r="E113" s="226">
        <v>12905800.56</v>
      </c>
      <c r="F113" s="166">
        <f t="shared" si="24"/>
        <v>-0.02483668010440727</v>
      </c>
      <c r="G113" s="241">
        <f t="shared" si="25"/>
        <v>0.09690333712918772</v>
      </c>
      <c r="H113" s="242">
        <f t="shared" si="26"/>
        <v>0.9030966628708123</v>
      </c>
      <c r="I113" s="157"/>
    </row>
    <row r="114" spans="1:9" ht="15">
      <c r="A114" s="164"/>
      <c r="B114" s="165">
        <f>DATE(19,3,1)</f>
        <v>7000</v>
      </c>
      <c r="C114" s="226">
        <v>165812175.85</v>
      </c>
      <c r="D114" s="226">
        <v>15794237.7</v>
      </c>
      <c r="E114" s="226">
        <v>15707751.75</v>
      </c>
      <c r="F114" s="166">
        <f t="shared" si="24"/>
        <v>0.0055059407212747205</v>
      </c>
      <c r="G114" s="241">
        <f t="shared" si="25"/>
        <v>0.09525378711807067</v>
      </c>
      <c r="H114" s="242">
        <f t="shared" si="26"/>
        <v>0.9047462128819294</v>
      </c>
      <c r="I114" s="157"/>
    </row>
    <row r="115" spans="1:9" ht="15.75" customHeight="1" thickBot="1">
      <c r="A115" s="164"/>
      <c r="B115" s="165"/>
      <c r="C115" s="226"/>
      <c r="D115" s="226"/>
      <c r="E115" s="226"/>
      <c r="F115" s="166"/>
      <c r="G115" s="241"/>
      <c r="H115" s="242"/>
      <c r="I115" s="157"/>
    </row>
    <row r="116" spans="1:9" ht="16.5" thickBot="1" thickTop="1">
      <c r="A116" s="174" t="s">
        <v>14</v>
      </c>
      <c r="B116" s="181"/>
      <c r="C116" s="228">
        <f>SUM(C106:C115)</f>
        <v>1284150146.85</v>
      </c>
      <c r="D116" s="228">
        <f>SUM(D106:D115)</f>
        <v>124004996.16000001</v>
      </c>
      <c r="E116" s="228">
        <f>SUM(E106:E115)</f>
        <v>120898868.97</v>
      </c>
      <c r="F116" s="176">
        <f>(+D116-E116)/E116</f>
        <v>0.025691945809441532</v>
      </c>
      <c r="G116" s="245">
        <f>D116/C116</f>
        <v>0.09656580771663058</v>
      </c>
      <c r="H116" s="246">
        <f>1-G116</f>
        <v>0.9034341922833694</v>
      </c>
      <c r="I116" s="157"/>
    </row>
    <row r="117" spans="1:9" ht="15" thickTop="1">
      <c r="A117" s="171"/>
      <c r="B117" s="172"/>
      <c r="C117" s="227"/>
      <c r="D117" s="227"/>
      <c r="E117" s="227"/>
      <c r="F117" s="173"/>
      <c r="G117" s="243"/>
      <c r="H117" s="244"/>
      <c r="I117" s="157"/>
    </row>
    <row r="118" spans="1:9" ht="15">
      <c r="A118" s="164" t="s">
        <v>58</v>
      </c>
      <c r="B118" s="165">
        <f>DATE(18,7,1)</f>
        <v>6757</v>
      </c>
      <c r="C118" s="226">
        <v>178050719.09</v>
      </c>
      <c r="D118" s="226">
        <v>16699225.8</v>
      </c>
      <c r="E118" s="226">
        <v>17449857.02</v>
      </c>
      <c r="F118" s="166">
        <f aca="true" t="shared" si="27" ref="F118:F126">(+D118-E118)/E118</f>
        <v>-0.0430164682231877</v>
      </c>
      <c r="G118" s="241">
        <f aca="true" t="shared" si="28" ref="G118:G126">D118/C118</f>
        <v>0.09378915112136658</v>
      </c>
      <c r="H118" s="242">
        <f aca="true" t="shared" si="29" ref="H118:H126">1-G118</f>
        <v>0.9062108488786335</v>
      </c>
      <c r="I118" s="157"/>
    </row>
    <row r="119" spans="1:9" ht="15">
      <c r="A119" s="164"/>
      <c r="B119" s="165">
        <f>DATE(18,8,1)</f>
        <v>6788</v>
      </c>
      <c r="C119" s="226">
        <v>177417877.38</v>
      </c>
      <c r="D119" s="226">
        <v>16622760.62</v>
      </c>
      <c r="E119" s="226">
        <v>16610228.17</v>
      </c>
      <c r="F119" s="166">
        <f t="shared" si="27"/>
        <v>0.0007545019774402807</v>
      </c>
      <c r="G119" s="241">
        <f t="shared" si="28"/>
        <v>0.09369270372002463</v>
      </c>
      <c r="H119" s="242">
        <f t="shared" si="29"/>
        <v>0.9063072962799754</v>
      </c>
      <c r="I119" s="157"/>
    </row>
    <row r="120" spans="1:9" ht="15">
      <c r="A120" s="164"/>
      <c r="B120" s="165">
        <f>DATE(18,9,1)</f>
        <v>6819</v>
      </c>
      <c r="C120" s="226">
        <v>176309993.38</v>
      </c>
      <c r="D120" s="226">
        <v>16260476.05</v>
      </c>
      <c r="E120" s="226">
        <v>16301470.13</v>
      </c>
      <c r="F120" s="166">
        <f t="shared" si="27"/>
        <v>-0.002514747422967555</v>
      </c>
      <c r="G120" s="241">
        <f t="shared" si="28"/>
        <v>0.09222662730724447</v>
      </c>
      <c r="H120" s="242">
        <f t="shared" si="29"/>
        <v>0.9077733726927555</v>
      </c>
      <c r="I120" s="157"/>
    </row>
    <row r="121" spans="1:9" ht="15">
      <c r="A121" s="164"/>
      <c r="B121" s="165">
        <f>DATE(18,10,1)</f>
        <v>6849</v>
      </c>
      <c r="C121" s="226">
        <v>165733376.61</v>
      </c>
      <c r="D121" s="226">
        <v>15649969.25</v>
      </c>
      <c r="E121" s="226">
        <v>15646297.04</v>
      </c>
      <c r="F121" s="166">
        <f t="shared" si="27"/>
        <v>0.00023470153932351104</v>
      </c>
      <c r="G121" s="241">
        <f t="shared" si="28"/>
        <v>0.0944285910907804</v>
      </c>
      <c r="H121" s="242">
        <f t="shared" si="29"/>
        <v>0.9055714089092196</v>
      </c>
      <c r="I121" s="157"/>
    </row>
    <row r="122" spans="1:9" ht="15">
      <c r="A122" s="164"/>
      <c r="B122" s="165">
        <f>DATE(18,11,1)</f>
        <v>6880</v>
      </c>
      <c r="C122" s="226">
        <v>164845336.98</v>
      </c>
      <c r="D122" s="226">
        <v>15252914.51</v>
      </c>
      <c r="E122" s="226">
        <v>15321390.57</v>
      </c>
      <c r="F122" s="166">
        <f t="shared" si="27"/>
        <v>-0.004469311038521519</v>
      </c>
      <c r="G122" s="241">
        <f t="shared" si="28"/>
        <v>0.09252863799144391</v>
      </c>
      <c r="H122" s="242">
        <f t="shared" si="29"/>
        <v>0.907471362008556</v>
      </c>
      <c r="I122" s="157"/>
    </row>
    <row r="123" spans="1:9" ht="15">
      <c r="A123" s="164"/>
      <c r="B123" s="165">
        <f>DATE(18,12,1)</f>
        <v>6910</v>
      </c>
      <c r="C123" s="226">
        <v>182628317.28</v>
      </c>
      <c r="D123" s="226">
        <v>17347128.27</v>
      </c>
      <c r="E123" s="226">
        <v>17108418.35</v>
      </c>
      <c r="F123" s="166">
        <f t="shared" si="27"/>
        <v>0.013952775476758087</v>
      </c>
      <c r="G123" s="241">
        <f t="shared" si="28"/>
        <v>0.09498597221045368</v>
      </c>
      <c r="H123" s="242">
        <f t="shared" si="29"/>
        <v>0.9050140277895463</v>
      </c>
      <c r="I123" s="157"/>
    </row>
    <row r="124" spans="1:9" ht="15">
      <c r="A124" s="164"/>
      <c r="B124" s="165">
        <f>DATE(19,1,1)</f>
        <v>6941</v>
      </c>
      <c r="C124" s="226">
        <v>146589870.57</v>
      </c>
      <c r="D124" s="226">
        <v>13808864.72</v>
      </c>
      <c r="E124" s="226">
        <v>14386363.66</v>
      </c>
      <c r="F124" s="166">
        <f t="shared" si="27"/>
        <v>-0.04014210634794974</v>
      </c>
      <c r="G124" s="241">
        <f t="shared" si="28"/>
        <v>0.09420067475539487</v>
      </c>
      <c r="H124" s="242">
        <f t="shared" si="29"/>
        <v>0.9057993252446052</v>
      </c>
      <c r="I124" s="157"/>
    </row>
    <row r="125" spans="1:9" ht="15">
      <c r="A125" s="164"/>
      <c r="B125" s="165">
        <f>DATE(19,2,1)</f>
        <v>6972</v>
      </c>
      <c r="C125" s="226">
        <v>157370469.43</v>
      </c>
      <c r="D125" s="226">
        <v>14872520.16</v>
      </c>
      <c r="E125" s="226">
        <v>15815880.54</v>
      </c>
      <c r="F125" s="166">
        <f t="shared" si="27"/>
        <v>-0.05964640271619041</v>
      </c>
      <c r="G125" s="241">
        <f t="shared" si="28"/>
        <v>0.09450642305299502</v>
      </c>
      <c r="H125" s="242">
        <f t="shared" si="29"/>
        <v>0.9054935769470049</v>
      </c>
      <c r="I125" s="157"/>
    </row>
    <row r="126" spans="1:9" ht="15">
      <c r="A126" s="164"/>
      <c r="B126" s="165">
        <f>DATE(19,3,1)</f>
        <v>7000</v>
      </c>
      <c r="C126" s="226">
        <v>192721538.64</v>
      </c>
      <c r="D126" s="226">
        <v>18016167.01</v>
      </c>
      <c r="E126" s="226">
        <v>19279509.88</v>
      </c>
      <c r="F126" s="166">
        <f t="shared" si="27"/>
        <v>-0.06552774826037214</v>
      </c>
      <c r="G126" s="241">
        <f t="shared" si="28"/>
        <v>0.0934828931791264</v>
      </c>
      <c r="H126" s="242">
        <f t="shared" si="29"/>
        <v>0.9065171068208736</v>
      </c>
      <c r="I126" s="157"/>
    </row>
    <row r="127" spans="1:9" ht="15" thickBot="1">
      <c r="A127" s="167"/>
      <c r="B127" s="168"/>
      <c r="C127" s="226"/>
      <c r="D127" s="226"/>
      <c r="E127" s="226"/>
      <c r="F127" s="166"/>
      <c r="G127" s="241"/>
      <c r="H127" s="242"/>
      <c r="I127" s="157"/>
    </row>
    <row r="128" spans="1:9" ht="16.5" thickBot="1" thickTop="1">
      <c r="A128" s="174" t="s">
        <v>14</v>
      </c>
      <c r="B128" s="175"/>
      <c r="C128" s="228">
        <f>SUM(C118:C127)</f>
        <v>1541667499.3600001</v>
      </c>
      <c r="D128" s="228">
        <f>SUM(D118:D127)</f>
        <v>144530026.39</v>
      </c>
      <c r="E128" s="228">
        <f>SUM(E118:E127)</f>
        <v>147919415.35999998</v>
      </c>
      <c r="F128" s="176">
        <f>(+D128-E128)/E128</f>
        <v>-0.022913753152356966</v>
      </c>
      <c r="G128" s="249">
        <f>D128/C128</f>
        <v>0.0937491556707263</v>
      </c>
      <c r="H128" s="270">
        <f>1-G128</f>
        <v>0.9062508443292737</v>
      </c>
      <c r="I128" s="157"/>
    </row>
    <row r="129" spans="1:9" ht="15" thickTop="1">
      <c r="A129" s="167"/>
      <c r="B129" s="168"/>
      <c r="C129" s="226"/>
      <c r="D129" s="226"/>
      <c r="E129" s="226"/>
      <c r="F129" s="166"/>
      <c r="G129" s="241"/>
      <c r="H129" s="242"/>
      <c r="I129" s="157"/>
    </row>
    <row r="130" spans="1:9" ht="15">
      <c r="A130" s="164" t="s">
        <v>59</v>
      </c>
      <c r="B130" s="165">
        <f>DATE(18,7,1)</f>
        <v>6757</v>
      </c>
      <c r="C130" s="226">
        <v>24024603.44</v>
      </c>
      <c r="D130" s="226">
        <v>2665233.29</v>
      </c>
      <c r="E130" s="226">
        <v>2744349.13</v>
      </c>
      <c r="F130" s="166">
        <f aca="true" t="shared" si="30" ref="F130:F138">(+D130-E130)/E130</f>
        <v>-0.028828635225431342</v>
      </c>
      <c r="G130" s="241">
        <f aca="true" t="shared" si="31" ref="G130:G138">D130/C130</f>
        <v>0.11093766008068602</v>
      </c>
      <c r="H130" s="242">
        <f aca="true" t="shared" si="32" ref="H130:H138">1-G130</f>
        <v>0.8890623399193139</v>
      </c>
      <c r="I130" s="157"/>
    </row>
    <row r="131" spans="1:9" ht="15">
      <c r="A131" s="164"/>
      <c r="B131" s="165">
        <f>DATE(18,8,1)</f>
        <v>6788</v>
      </c>
      <c r="C131" s="226">
        <v>22943875.77</v>
      </c>
      <c r="D131" s="226">
        <v>2551392.61</v>
      </c>
      <c r="E131" s="226">
        <v>2540959.26</v>
      </c>
      <c r="F131" s="166">
        <f t="shared" si="30"/>
        <v>0.004106067406999707</v>
      </c>
      <c r="G131" s="241">
        <f t="shared" si="31"/>
        <v>0.11120146550549423</v>
      </c>
      <c r="H131" s="242">
        <f t="shared" si="32"/>
        <v>0.8887985344945057</v>
      </c>
      <c r="I131" s="157"/>
    </row>
    <row r="132" spans="1:9" ht="15">
      <c r="A132" s="164"/>
      <c r="B132" s="165">
        <f>DATE(18,9,1)</f>
        <v>6819</v>
      </c>
      <c r="C132" s="226">
        <v>21572518.82</v>
      </c>
      <c r="D132" s="226">
        <v>2483855.77</v>
      </c>
      <c r="E132" s="226">
        <v>2634253.17</v>
      </c>
      <c r="F132" s="166">
        <f t="shared" si="30"/>
        <v>-0.057092993837035</v>
      </c>
      <c r="G132" s="241">
        <f t="shared" si="31"/>
        <v>0.11513981240323239</v>
      </c>
      <c r="H132" s="242">
        <f t="shared" si="32"/>
        <v>0.8848601875967677</v>
      </c>
      <c r="I132" s="157"/>
    </row>
    <row r="133" spans="1:9" ht="15">
      <c r="A133" s="164"/>
      <c r="B133" s="165">
        <f>DATE(18,10,1)</f>
        <v>6849</v>
      </c>
      <c r="C133" s="226">
        <v>20179012.58</v>
      </c>
      <c r="D133" s="226">
        <v>2351894.38</v>
      </c>
      <c r="E133" s="226">
        <v>2351008.96</v>
      </c>
      <c r="F133" s="166">
        <f t="shared" si="30"/>
        <v>0.0003766127713949357</v>
      </c>
      <c r="G133" s="241">
        <f t="shared" si="31"/>
        <v>0.11655150967748691</v>
      </c>
      <c r="H133" s="242">
        <f t="shared" si="32"/>
        <v>0.883448490322513</v>
      </c>
      <c r="I133" s="157"/>
    </row>
    <row r="134" spans="1:9" ht="15">
      <c r="A134" s="164"/>
      <c r="B134" s="165">
        <f>DATE(18,11,1)</f>
        <v>6880</v>
      </c>
      <c r="C134" s="226">
        <v>19644269.84</v>
      </c>
      <c r="D134" s="226">
        <v>2270138.19</v>
      </c>
      <c r="E134" s="226">
        <v>2370134.99</v>
      </c>
      <c r="F134" s="166">
        <f t="shared" si="30"/>
        <v>-0.0421903395468628</v>
      </c>
      <c r="G134" s="241">
        <f t="shared" si="31"/>
        <v>0.11556236034680736</v>
      </c>
      <c r="H134" s="242">
        <f t="shared" si="32"/>
        <v>0.8844376396531927</v>
      </c>
      <c r="I134" s="157"/>
    </row>
    <row r="135" spans="1:9" ht="15">
      <c r="A135" s="164"/>
      <c r="B135" s="165">
        <f>DATE(18,12,1)</f>
        <v>6910</v>
      </c>
      <c r="C135" s="226">
        <v>22250868.33</v>
      </c>
      <c r="D135" s="226">
        <v>2456280.23</v>
      </c>
      <c r="E135" s="226">
        <v>2474390.43</v>
      </c>
      <c r="F135" s="166">
        <f t="shared" si="30"/>
        <v>-0.007319055141997209</v>
      </c>
      <c r="G135" s="241">
        <f t="shared" si="31"/>
        <v>0.11039030897901143</v>
      </c>
      <c r="H135" s="242">
        <f t="shared" si="32"/>
        <v>0.8896096910209885</v>
      </c>
      <c r="I135" s="157"/>
    </row>
    <row r="136" spans="1:9" ht="15">
      <c r="A136" s="164"/>
      <c r="B136" s="165">
        <f>DATE(19,1,1)</f>
        <v>6941</v>
      </c>
      <c r="C136" s="226">
        <v>16631867.08</v>
      </c>
      <c r="D136" s="226">
        <v>1907536.47</v>
      </c>
      <c r="E136" s="226">
        <v>2393011.98</v>
      </c>
      <c r="F136" s="166">
        <f t="shared" si="30"/>
        <v>-0.20287216029733374</v>
      </c>
      <c r="G136" s="241">
        <f t="shared" si="31"/>
        <v>0.11469166154495265</v>
      </c>
      <c r="H136" s="242">
        <f t="shared" si="32"/>
        <v>0.8853083384550473</v>
      </c>
      <c r="I136" s="157"/>
    </row>
    <row r="137" spans="1:9" ht="15">
      <c r="A137" s="164"/>
      <c r="B137" s="165">
        <f>DATE(19,2,1)</f>
        <v>6972</v>
      </c>
      <c r="C137" s="226">
        <v>19618686.47</v>
      </c>
      <c r="D137" s="226">
        <v>2252695.42</v>
      </c>
      <c r="E137" s="226">
        <v>2447889.15</v>
      </c>
      <c r="F137" s="166">
        <f t="shared" si="30"/>
        <v>-0.07973961157514015</v>
      </c>
      <c r="G137" s="241">
        <f t="shared" si="31"/>
        <v>0.11482396762111058</v>
      </c>
      <c r="H137" s="242">
        <f t="shared" si="32"/>
        <v>0.8851760323788894</v>
      </c>
      <c r="I137" s="157"/>
    </row>
    <row r="138" spans="1:9" ht="15">
      <c r="A138" s="164"/>
      <c r="B138" s="165">
        <f>DATE(19,3,1)</f>
        <v>7000</v>
      </c>
      <c r="C138" s="226">
        <v>25238075.46</v>
      </c>
      <c r="D138" s="226">
        <v>2891984.6</v>
      </c>
      <c r="E138" s="226">
        <v>3412980.94</v>
      </c>
      <c r="F138" s="166">
        <f t="shared" si="30"/>
        <v>-0.15265140625133403</v>
      </c>
      <c r="G138" s="241">
        <f t="shared" si="31"/>
        <v>0.11458815885480358</v>
      </c>
      <c r="H138" s="242">
        <f t="shared" si="32"/>
        <v>0.8854118411451964</v>
      </c>
      <c r="I138" s="157"/>
    </row>
    <row r="139" spans="1:9" ht="15" thickBot="1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6.5" thickBot="1" thickTop="1">
      <c r="A140" s="182" t="s">
        <v>14</v>
      </c>
      <c r="B140" s="183"/>
      <c r="C140" s="230">
        <f>SUM(C130:C139)</f>
        <v>192103777.79000002</v>
      </c>
      <c r="D140" s="230">
        <f>SUM(D130:D139)</f>
        <v>21831010.96</v>
      </c>
      <c r="E140" s="230">
        <f>SUM(E130:E139)</f>
        <v>23368978.009999998</v>
      </c>
      <c r="F140" s="176">
        <f>(+D140-E140)/E140</f>
        <v>-0.06581233673727083</v>
      </c>
      <c r="G140" s="249">
        <f>D140/C140</f>
        <v>0.11364175765384878</v>
      </c>
      <c r="H140" s="246">
        <f>1-G140</f>
        <v>0.8863582423461512</v>
      </c>
      <c r="I140" s="157"/>
    </row>
    <row r="141" spans="1:9" ht="15" thickTop="1">
      <c r="A141" s="167"/>
      <c r="B141" s="168"/>
      <c r="C141" s="226"/>
      <c r="D141" s="226"/>
      <c r="E141" s="226"/>
      <c r="F141" s="166"/>
      <c r="G141" s="241"/>
      <c r="H141" s="242"/>
      <c r="I141" s="157"/>
    </row>
    <row r="142" spans="1:9" ht="15">
      <c r="A142" s="164" t="s">
        <v>40</v>
      </c>
      <c r="B142" s="165">
        <f>DATE(18,7,1)</f>
        <v>6757</v>
      </c>
      <c r="C142" s="226">
        <v>216736742.84</v>
      </c>
      <c r="D142" s="226">
        <v>19406302.42</v>
      </c>
      <c r="E142" s="226">
        <v>20250233.59</v>
      </c>
      <c r="F142" s="166">
        <f aca="true" t="shared" si="33" ref="F142:F150">(+D142-E142)/E142</f>
        <v>-0.04167513259781603</v>
      </c>
      <c r="G142" s="241">
        <f aca="true" t="shared" si="34" ref="G142:G150">D142/C142</f>
        <v>0.08953859029950531</v>
      </c>
      <c r="H142" s="242">
        <f aca="true" t="shared" si="35" ref="H142:H150">1-G142</f>
        <v>0.9104614097004947</v>
      </c>
      <c r="I142" s="157"/>
    </row>
    <row r="143" spans="1:9" ht="15">
      <c r="A143" s="164"/>
      <c r="B143" s="165">
        <f>DATE(18,8,1)</f>
        <v>6788</v>
      </c>
      <c r="C143" s="226">
        <v>217223700.98</v>
      </c>
      <c r="D143" s="226">
        <v>19632454.71</v>
      </c>
      <c r="E143" s="226">
        <v>18649872.98</v>
      </c>
      <c r="F143" s="166">
        <f t="shared" si="33"/>
        <v>0.05268570628088001</v>
      </c>
      <c r="G143" s="241">
        <f t="shared" si="34"/>
        <v>0.09037897163812517</v>
      </c>
      <c r="H143" s="242">
        <f t="shared" si="35"/>
        <v>0.9096210283618749</v>
      </c>
      <c r="I143" s="157"/>
    </row>
    <row r="144" spans="1:9" ht="15">
      <c r="A144" s="164"/>
      <c r="B144" s="165">
        <f>DATE(18,9,1)</f>
        <v>6819</v>
      </c>
      <c r="C144" s="226">
        <v>205256989.51</v>
      </c>
      <c r="D144" s="226">
        <v>18357005.34</v>
      </c>
      <c r="E144" s="226">
        <v>18449653.52</v>
      </c>
      <c r="F144" s="166">
        <f t="shared" si="33"/>
        <v>-0.0050216758758946985</v>
      </c>
      <c r="G144" s="241">
        <f t="shared" si="34"/>
        <v>0.08943425207503425</v>
      </c>
      <c r="H144" s="242">
        <f t="shared" si="35"/>
        <v>0.9105657479249658</v>
      </c>
      <c r="I144" s="157"/>
    </row>
    <row r="145" spans="1:9" ht="15">
      <c r="A145" s="164"/>
      <c r="B145" s="165">
        <f>DATE(18,10,1)</f>
        <v>6849</v>
      </c>
      <c r="C145" s="226">
        <v>197988846.7</v>
      </c>
      <c r="D145" s="226">
        <v>17743741.07</v>
      </c>
      <c r="E145" s="226">
        <v>17943427.35</v>
      </c>
      <c r="F145" s="166">
        <f t="shared" si="33"/>
        <v>-0.011128658762062042</v>
      </c>
      <c r="G145" s="241">
        <f t="shared" si="34"/>
        <v>0.08961990215987253</v>
      </c>
      <c r="H145" s="242">
        <f t="shared" si="35"/>
        <v>0.9103800978401275</v>
      </c>
      <c r="I145" s="157"/>
    </row>
    <row r="146" spans="1:9" ht="15">
      <c r="A146" s="164"/>
      <c r="B146" s="165">
        <f>DATE(18,11,1)</f>
        <v>6880</v>
      </c>
      <c r="C146" s="226">
        <v>200122811.33</v>
      </c>
      <c r="D146" s="226">
        <v>17751037.91</v>
      </c>
      <c r="E146" s="226">
        <v>17723437.11</v>
      </c>
      <c r="F146" s="166">
        <f t="shared" si="33"/>
        <v>0.001557305156369906</v>
      </c>
      <c r="G146" s="241">
        <f t="shared" si="34"/>
        <v>0.08870072228162316</v>
      </c>
      <c r="H146" s="242">
        <f t="shared" si="35"/>
        <v>0.9112992777183768</v>
      </c>
      <c r="I146" s="157"/>
    </row>
    <row r="147" spans="1:9" ht="15">
      <c r="A147" s="164"/>
      <c r="B147" s="165">
        <f>DATE(18,12,1)</f>
        <v>6910</v>
      </c>
      <c r="C147" s="226">
        <v>215473575.27</v>
      </c>
      <c r="D147" s="226">
        <v>19880708.1</v>
      </c>
      <c r="E147" s="226">
        <v>18728361.25</v>
      </c>
      <c r="F147" s="166">
        <f t="shared" si="33"/>
        <v>0.061529507820658975</v>
      </c>
      <c r="G147" s="241">
        <f t="shared" si="34"/>
        <v>0.09226517950095924</v>
      </c>
      <c r="H147" s="242">
        <f t="shared" si="35"/>
        <v>0.9077348204990408</v>
      </c>
      <c r="I147" s="157"/>
    </row>
    <row r="148" spans="1:9" ht="15">
      <c r="A148" s="164"/>
      <c r="B148" s="165">
        <f>DATE(19,1,1)</f>
        <v>6941</v>
      </c>
      <c r="C148" s="226">
        <v>178812274.35</v>
      </c>
      <c r="D148" s="226">
        <v>15585305.41</v>
      </c>
      <c r="E148" s="226">
        <v>16953191</v>
      </c>
      <c r="F148" s="166">
        <f t="shared" si="33"/>
        <v>-0.08068602483154941</v>
      </c>
      <c r="G148" s="241">
        <f t="shared" si="34"/>
        <v>0.08716015422685104</v>
      </c>
      <c r="H148" s="242">
        <f t="shared" si="35"/>
        <v>0.9128398457731489</v>
      </c>
      <c r="I148" s="157"/>
    </row>
    <row r="149" spans="1:9" ht="15">
      <c r="A149" s="164"/>
      <c r="B149" s="165">
        <f>DATE(19,2,1)</f>
        <v>6972</v>
      </c>
      <c r="C149" s="226">
        <v>189779653.38</v>
      </c>
      <c r="D149" s="226">
        <v>17148799.08</v>
      </c>
      <c r="E149" s="226">
        <v>18138655.68</v>
      </c>
      <c r="F149" s="166">
        <f t="shared" si="33"/>
        <v>-0.05457166272203043</v>
      </c>
      <c r="G149" s="241">
        <f t="shared" si="34"/>
        <v>0.09036163136868303</v>
      </c>
      <c r="H149" s="242">
        <f t="shared" si="35"/>
        <v>0.909638368631317</v>
      </c>
      <c r="I149" s="157"/>
    </row>
    <row r="150" spans="1:9" ht="15">
      <c r="A150" s="164"/>
      <c r="B150" s="165">
        <f>DATE(19,3,1)</f>
        <v>7000</v>
      </c>
      <c r="C150" s="226">
        <v>233670448.15</v>
      </c>
      <c r="D150" s="226">
        <v>20916752.15</v>
      </c>
      <c r="E150" s="226">
        <v>21744558.07</v>
      </c>
      <c r="F150" s="166">
        <f t="shared" si="33"/>
        <v>-0.0380695674446513</v>
      </c>
      <c r="G150" s="241">
        <f t="shared" si="34"/>
        <v>0.08951389581181833</v>
      </c>
      <c r="H150" s="242">
        <f t="shared" si="35"/>
        <v>0.9104861041881817</v>
      </c>
      <c r="I150" s="157"/>
    </row>
    <row r="151" spans="1:9" ht="15" thickBot="1">
      <c r="A151" s="167"/>
      <c r="B151" s="168"/>
      <c r="C151" s="226"/>
      <c r="D151" s="226"/>
      <c r="E151" s="226"/>
      <c r="F151" s="166"/>
      <c r="G151" s="241"/>
      <c r="H151" s="242"/>
      <c r="I151" s="157"/>
    </row>
    <row r="152" spans="1:9" ht="16.5" thickBot="1" thickTop="1">
      <c r="A152" s="174" t="s">
        <v>14</v>
      </c>
      <c r="B152" s="175"/>
      <c r="C152" s="228">
        <f>SUM(C142:C151)</f>
        <v>1855065042.5100002</v>
      </c>
      <c r="D152" s="228">
        <f>SUM(D142:D151)</f>
        <v>166422106.18999997</v>
      </c>
      <c r="E152" s="228">
        <f>SUM(E142:E151)</f>
        <v>168581390.54999998</v>
      </c>
      <c r="F152" s="176">
        <f>(+D152-E152)/E152</f>
        <v>-0.012808557059324923</v>
      </c>
      <c r="G152" s="245">
        <f>D152/C152</f>
        <v>0.08971227551397451</v>
      </c>
      <c r="H152" s="246">
        <f>1-G152</f>
        <v>0.9102877244860255</v>
      </c>
      <c r="I152" s="157"/>
    </row>
    <row r="153" spans="1:9" ht="15" thickTop="1">
      <c r="A153" s="167"/>
      <c r="B153" s="168"/>
      <c r="C153" s="226"/>
      <c r="D153" s="226"/>
      <c r="E153" s="226"/>
      <c r="F153" s="166"/>
      <c r="G153" s="241"/>
      <c r="H153" s="242"/>
      <c r="I153" s="157"/>
    </row>
    <row r="154" spans="1:9" ht="15">
      <c r="A154" s="164" t="s">
        <v>64</v>
      </c>
      <c r="B154" s="165">
        <f>DATE(18,7,1)</f>
        <v>6757</v>
      </c>
      <c r="C154" s="226">
        <v>30178966.07</v>
      </c>
      <c r="D154" s="226">
        <v>3425449</v>
      </c>
      <c r="E154" s="226">
        <v>3031134.15</v>
      </c>
      <c r="F154" s="166">
        <f aca="true" t="shared" si="36" ref="F154:F162">(+D154-E154)/E154</f>
        <v>0.13008822126859682</v>
      </c>
      <c r="G154" s="241">
        <f aca="true" t="shared" si="37" ref="G154:G162">D154/C154</f>
        <v>0.11350451808238506</v>
      </c>
      <c r="H154" s="242">
        <f aca="true" t="shared" si="38" ref="H154:H162">1-G154</f>
        <v>0.886495481917615</v>
      </c>
      <c r="I154" s="157"/>
    </row>
    <row r="155" spans="1:9" ht="15">
      <c r="A155" s="164"/>
      <c r="B155" s="165">
        <f>DATE(18,8,1)</f>
        <v>6788</v>
      </c>
      <c r="C155" s="226">
        <v>31687944.14</v>
      </c>
      <c r="D155" s="226">
        <v>3421840.59</v>
      </c>
      <c r="E155" s="226">
        <v>3021204.93</v>
      </c>
      <c r="F155" s="166">
        <f t="shared" si="36"/>
        <v>0.13260790621045349</v>
      </c>
      <c r="G155" s="241">
        <f t="shared" si="37"/>
        <v>0.10798556621035497</v>
      </c>
      <c r="H155" s="242">
        <f t="shared" si="38"/>
        <v>0.8920144337896451</v>
      </c>
      <c r="I155" s="157"/>
    </row>
    <row r="156" spans="1:9" ht="15">
      <c r="A156" s="164"/>
      <c r="B156" s="165">
        <f>DATE(18,9,1)</f>
        <v>6819</v>
      </c>
      <c r="C156" s="226">
        <v>28817033.2</v>
      </c>
      <c r="D156" s="226">
        <v>3252949</v>
      </c>
      <c r="E156" s="226">
        <v>3254625.5</v>
      </c>
      <c r="F156" s="166">
        <f t="shared" si="36"/>
        <v>-0.0005151130291334594</v>
      </c>
      <c r="G156" s="241">
        <f t="shared" si="37"/>
        <v>0.11288285568550478</v>
      </c>
      <c r="H156" s="242">
        <f t="shared" si="38"/>
        <v>0.8871171443144952</v>
      </c>
      <c r="I156" s="157"/>
    </row>
    <row r="157" spans="1:9" ht="15">
      <c r="A157" s="164"/>
      <c r="B157" s="165">
        <f>DATE(18,10,1)</f>
        <v>6849</v>
      </c>
      <c r="C157" s="226">
        <v>29906173.86</v>
      </c>
      <c r="D157" s="226">
        <v>3250399.43</v>
      </c>
      <c r="E157" s="226">
        <v>3125463.3</v>
      </c>
      <c r="F157" s="166">
        <f t="shared" si="36"/>
        <v>0.03997363526872971</v>
      </c>
      <c r="G157" s="241">
        <f t="shared" si="37"/>
        <v>0.10868656904143338</v>
      </c>
      <c r="H157" s="242">
        <f t="shared" si="38"/>
        <v>0.8913134309585666</v>
      </c>
      <c r="I157" s="157"/>
    </row>
    <row r="158" spans="1:9" ht="15">
      <c r="A158" s="164"/>
      <c r="B158" s="165">
        <f>DATE(18,11,1)</f>
        <v>6880</v>
      </c>
      <c r="C158" s="226">
        <v>28831016.57</v>
      </c>
      <c r="D158" s="226">
        <v>3195617.35</v>
      </c>
      <c r="E158" s="226">
        <v>3210022.57</v>
      </c>
      <c r="F158" s="166">
        <f t="shared" si="36"/>
        <v>-0.004487575923804094</v>
      </c>
      <c r="G158" s="241">
        <f t="shared" si="37"/>
        <v>0.11083956551588219</v>
      </c>
      <c r="H158" s="242">
        <f t="shared" si="38"/>
        <v>0.8891604344841179</v>
      </c>
      <c r="I158" s="157"/>
    </row>
    <row r="159" spans="1:9" ht="15">
      <c r="A159" s="164"/>
      <c r="B159" s="165">
        <f>DATE(18,12,1)</f>
        <v>6910</v>
      </c>
      <c r="C159" s="226">
        <v>32019263.8</v>
      </c>
      <c r="D159" s="226">
        <v>3572083.96</v>
      </c>
      <c r="E159" s="226">
        <v>3515871.15</v>
      </c>
      <c r="F159" s="166">
        <f t="shared" si="36"/>
        <v>0.015988302074153103</v>
      </c>
      <c r="G159" s="241">
        <f t="shared" si="37"/>
        <v>0.11156046504729443</v>
      </c>
      <c r="H159" s="242">
        <f t="shared" si="38"/>
        <v>0.8884395349527056</v>
      </c>
      <c r="I159" s="157"/>
    </row>
    <row r="160" spans="1:9" ht="15">
      <c r="A160" s="164"/>
      <c r="B160" s="165">
        <f>DATE(19,1,1)</f>
        <v>6941</v>
      </c>
      <c r="C160" s="226">
        <v>26958137.51</v>
      </c>
      <c r="D160" s="226">
        <v>3109821.23</v>
      </c>
      <c r="E160" s="226">
        <v>3085963.24</v>
      </c>
      <c r="F160" s="166">
        <f t="shared" si="36"/>
        <v>0.007731132273629985</v>
      </c>
      <c r="G160" s="241">
        <f t="shared" si="37"/>
        <v>0.11535742144079596</v>
      </c>
      <c r="H160" s="242">
        <f t="shared" si="38"/>
        <v>0.884642578559204</v>
      </c>
      <c r="I160" s="157"/>
    </row>
    <row r="161" spans="1:9" ht="15">
      <c r="A161" s="164"/>
      <c r="B161" s="165">
        <f>DATE(19,2,1)</f>
        <v>6972</v>
      </c>
      <c r="C161" s="226">
        <v>29682847.85</v>
      </c>
      <c r="D161" s="226">
        <v>3355638.84</v>
      </c>
      <c r="E161" s="226">
        <v>3332057.19</v>
      </c>
      <c r="F161" s="166">
        <f t="shared" si="36"/>
        <v>0.007077204458186358</v>
      </c>
      <c r="G161" s="241">
        <f t="shared" si="37"/>
        <v>0.11304976048650937</v>
      </c>
      <c r="H161" s="242">
        <f t="shared" si="38"/>
        <v>0.8869502395134906</v>
      </c>
      <c r="I161" s="157"/>
    </row>
    <row r="162" spans="1:9" ht="15">
      <c r="A162" s="164"/>
      <c r="B162" s="165">
        <f>DATE(19,3,1)</f>
        <v>7000</v>
      </c>
      <c r="C162" s="226">
        <v>19219452.26</v>
      </c>
      <c r="D162" s="226">
        <v>2148921.34</v>
      </c>
      <c r="E162" s="226">
        <v>4151066.17</v>
      </c>
      <c r="F162" s="166">
        <f t="shared" si="36"/>
        <v>-0.48232062511304175</v>
      </c>
      <c r="G162" s="241">
        <f t="shared" si="37"/>
        <v>0.11180970773409542</v>
      </c>
      <c r="H162" s="242">
        <f t="shared" si="38"/>
        <v>0.8881902922659046</v>
      </c>
      <c r="I162" s="157"/>
    </row>
    <row r="163" spans="1:9" ht="15" thickBot="1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6.5" thickBot="1" thickTop="1">
      <c r="A164" s="169" t="s">
        <v>14</v>
      </c>
      <c r="B164" s="155"/>
      <c r="C164" s="223">
        <f>SUM(C154:C163)</f>
        <v>257300835.26</v>
      </c>
      <c r="D164" s="223">
        <f>SUM(D154:D163)</f>
        <v>28732720.74</v>
      </c>
      <c r="E164" s="223">
        <f>SUM(E154:E163)</f>
        <v>29727408.199999996</v>
      </c>
      <c r="F164" s="176">
        <f>(+D164-E164)/E164</f>
        <v>-0.033460281949504005</v>
      </c>
      <c r="G164" s="245">
        <f>D164/C164</f>
        <v>0.11166975307703865</v>
      </c>
      <c r="H164" s="246">
        <f>1-G164</f>
        <v>0.8883302469229614</v>
      </c>
      <c r="I164" s="157"/>
    </row>
    <row r="165" spans="1:9" ht="15.75" thickBot="1" thickTop="1">
      <c r="A165" s="171"/>
      <c r="B165" s="172"/>
      <c r="C165" s="227"/>
      <c r="D165" s="227"/>
      <c r="E165" s="227"/>
      <c r="F165" s="173"/>
      <c r="G165" s="243"/>
      <c r="H165" s="244"/>
      <c r="I165" s="157"/>
    </row>
    <row r="166" spans="1:9" ht="16.5" thickBot="1" thickTop="1">
      <c r="A166" s="184" t="s">
        <v>41</v>
      </c>
      <c r="B166" s="155"/>
      <c r="C166" s="223">
        <f>C164+C152+C116+C92+C68+C44+C20+C56+C140+C32+C104+C128+C80</f>
        <v>11344762807.28</v>
      </c>
      <c r="D166" s="223">
        <f>D164+D152+D116+D92+D68+D44+D20+D56+D140+D32+D104+D128+D80</f>
        <v>1103918131.22</v>
      </c>
      <c r="E166" s="223">
        <f>E164+E152+E116+E92+E68+E44+E20+E56+E140+E32+E104+E128+E80</f>
        <v>1116781519.02</v>
      </c>
      <c r="F166" s="170">
        <f>(+D166-E166)/E166</f>
        <v>-0.01151826707455533</v>
      </c>
      <c r="G166" s="236">
        <f>D166/C166</f>
        <v>0.09730640913105819</v>
      </c>
      <c r="H166" s="237">
        <f>1-G166</f>
        <v>0.9026935908689419</v>
      </c>
      <c r="I166" s="157"/>
    </row>
    <row r="167" spans="1:9" ht="16.5" thickBot="1" thickTop="1">
      <c r="A167" s="184"/>
      <c r="B167" s="155"/>
      <c r="C167" s="223"/>
      <c r="D167" s="223"/>
      <c r="E167" s="223"/>
      <c r="F167" s="170"/>
      <c r="G167" s="236"/>
      <c r="H167" s="237"/>
      <c r="I167" s="157"/>
    </row>
    <row r="168" spans="1:9" ht="16.5" thickBot="1" thickTop="1">
      <c r="A168" s="184" t="s">
        <v>42</v>
      </c>
      <c r="B168" s="155"/>
      <c r="C168" s="223">
        <f>+C18+C30+C42+C54+C66+C78+C90+C102+C114+C126+C138+C150+C162</f>
        <v>1434463002.4000003</v>
      </c>
      <c r="D168" s="223">
        <f>+D18+D30+D42+D54+D66+D78+D90+D102+D114+D126+D138+D150+D162</f>
        <v>140839336.70000002</v>
      </c>
      <c r="E168" s="223">
        <f>+E18+E30+E42+E54+E66+E78+E90+E102+E114+E126+E138+E150+E162</f>
        <v>145437871.61999997</v>
      </c>
      <c r="F168" s="170">
        <f>(+D168-E168)/E168</f>
        <v>-0.03161855209222951</v>
      </c>
      <c r="G168" s="236">
        <f>D168/C168</f>
        <v>0.09818262057952118</v>
      </c>
      <c r="H168" s="246">
        <f>1-G168</f>
        <v>0.9018173794204788</v>
      </c>
      <c r="I168" s="157"/>
    </row>
    <row r="169" spans="1:9" ht="15.75" thickTop="1">
      <c r="A169" s="185"/>
      <c r="B169" s="186"/>
      <c r="C169" s="231"/>
      <c r="D169" s="231"/>
      <c r="E169" s="231"/>
      <c r="F169" s="187"/>
      <c r="G169" s="250"/>
      <c r="H169" s="250"/>
      <c r="I169" s="151"/>
    </row>
    <row r="170" spans="1:9" ht="16.5" customHeight="1">
      <c r="A170" s="188" t="s">
        <v>52</v>
      </c>
      <c r="B170" s="189"/>
      <c r="C170" s="232"/>
      <c r="D170" s="232"/>
      <c r="E170" s="232"/>
      <c r="F170" s="190"/>
      <c r="G170" s="251"/>
      <c r="H170" s="251"/>
      <c r="I170" s="151"/>
    </row>
    <row r="171" spans="1:9" ht="15">
      <c r="A171" s="191"/>
      <c r="B171" s="189"/>
      <c r="C171" s="232"/>
      <c r="D171" s="232"/>
      <c r="E171" s="232"/>
      <c r="F171" s="190"/>
      <c r="G171" s="257"/>
      <c r="H171" s="257"/>
      <c r="I171" s="151"/>
    </row>
    <row r="172" spans="1:9" ht="15">
      <c r="A172" s="72"/>
      <c r="I172" s="151"/>
    </row>
  </sheetData>
  <sheetProtection/>
  <printOptions horizontalCentered="1"/>
  <pageMargins left="0.75" right="0.25" top="0.3194" bottom="0.2" header="0.5" footer="0.5"/>
  <pageSetup horizontalDpi="600" verticalDpi="600" orientation="landscape" scale="64" r:id="rId1"/>
  <rowBreaks count="3" manualBreakCount="3">
    <brk id="56" max="8" man="1"/>
    <brk id="104" max="8" man="1"/>
    <brk id="1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Jennifer Bruns</cp:lastModifiedBy>
  <cp:lastPrinted>2019-04-09T14:35:49Z</cp:lastPrinted>
  <dcterms:created xsi:type="dcterms:W3CDTF">2003-09-09T14:41:43Z</dcterms:created>
  <dcterms:modified xsi:type="dcterms:W3CDTF">2019-04-09T14:42:01Z</dcterms:modified>
  <cp:category/>
  <cp:version/>
  <cp:contentType/>
  <cp:contentStatus/>
</cp:coreProperties>
</file>