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STATS'!$A$1:$M$104</definedName>
    <definedName name="_xlnm.Print_Area" localSheetId="3">'SLOT STATS'!$A$1:$I$105</definedName>
    <definedName name="_xlnm.Print_Area" localSheetId="2">'TABLE STATS'!$A$1:$H$104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<sst xmlns="http://schemas.openxmlformats.org/spreadsheetml/2006/main" count="192" uniqueCount="75">
  <si>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</si>
  <si>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</si>
  <si>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</si>
  <si>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</si>
  <si>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</si>
  <si>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</si>
  <si>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</si>
  <si>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</si>
  <si>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</si>
  <si>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</si>
  <si>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</si>
  <si>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</si>
  <si>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</si>
  <si>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</si>
  <si>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</si>
  <si>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</si>
  <si>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</si>
  <si>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</si>
  <si>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</si>
  <si>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</si>
  <si>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</si>
  <si>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</si>
  <si>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</si>
  <si>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</si>
  <si>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</si>
  <si>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</si>
  <si>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</si>
  <si>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</si>
  <si>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</si>
  <si>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</si>
  <si>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</si>
  <si>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</si>
  <si>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</si>
  <si>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</si>
  <si>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</si>
  <si>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</si>
  <si>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</si>
  <si>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</si>
  <si>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</si>
  <si>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</si>
  <si>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</si>
  <si>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</si>
  <si>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</si>
  <si>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</si>
  <si>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</si>
  <si>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</si>
  <si>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</si>
  <si>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</si>
  <si>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</si>
  <si>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</si>
  <si>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</si>
  <si>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</si>
  <si>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</si>
  <si>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</si>
  <si>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</si>
  <si>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</si>
  <si>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</si>
  <si>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>RIVER CITY</t>
  </si>
  <si>
    <t xml:space="preserve">RIVER CITY </t>
  </si>
  <si>
    <t xml:space="preserve">MARK TWAIN </t>
  </si>
  <si>
    <t xml:space="preserve">IOC - LADY LUCK </t>
  </si>
  <si>
    <t>IOC - CAPE GIRARDEAU</t>
  </si>
  <si>
    <t>HOLLYWOOD</t>
  </si>
  <si>
    <t>ST. JO FRONTIER</t>
  </si>
  <si>
    <t xml:space="preserve">ST. JO FRONTIER </t>
  </si>
  <si>
    <t xml:space="preserve">HOLLYWOOD </t>
  </si>
  <si>
    <t xml:space="preserve">IOC - CAPE GIRARDEAU </t>
  </si>
  <si>
    <t xml:space="preserve">LUMIERE PLACE </t>
  </si>
  <si>
    <t xml:space="preserve">FISCAL 2018 YTD ADMISSIONS, PATRONS AND AGR SUMMARY </t>
  </si>
  <si>
    <t>MONTH ENDED:   OCTOBER 31, 2017</t>
  </si>
  <si>
    <t>(as reported on the tax remittal database dtd 11/9/17)</t>
  </si>
  <si>
    <t>FOR THE MONTH ENDED:   OCTOBER 31, 2017</t>
  </si>
  <si>
    <t>THRU MONTH ENDED:   OCTOBER 31, 2017</t>
  </si>
  <si>
    <t>(as reported on the tax remittal database as of 11/9/17)</t>
  </si>
  <si>
    <t>THRU MONTH ENDED:     OCTOBER 31, 2017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</si>
</sst>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89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tabSelected="1" showOutlineSymbols="0" workbookViewId="0" topLeftCell="A1">
      <selection activeCell="A5" sqref="A5"/>
    </sheetView>
  </sheetViews>
  <sheetFormatPr defaultColWidth="9.6640625" defaultRowHeight="15"/>
  <cols>
    <col min="1" max="1" width="22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68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69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70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DATE(2017,7,1)</f>
        <v>42917</v>
      </c>
      <c r="C9" s="21">
        <v>295047</v>
      </c>
      <c r="D9" s="22">
        <v>315719</v>
      </c>
      <c r="E9" s="23">
        <f>(+C9-D9)/D9</f>
        <v>-0.06547594538181103</v>
      </c>
      <c r="F9" s="21">
        <f>+C9-138811</f>
        <v>156236</v>
      </c>
      <c r="G9" s="21">
        <f>+D9-154398</f>
        <v>161321</v>
      </c>
      <c r="H9" s="23">
        <f>(+F9-G9)/G9</f>
        <v>-0.031521004704905126</v>
      </c>
      <c r="I9" s="24">
        <f>K9/C9</f>
        <v>47.93787274569814</v>
      </c>
      <c r="J9" s="24">
        <f>K9/F9</f>
        <v>90.52923487544483</v>
      </c>
      <c r="K9" s="21">
        <v>14143925.54</v>
      </c>
      <c r="L9" s="21">
        <v>13957245.75</v>
      </c>
      <c r="M9" s="25">
        <f>(+K9-L9)/L9</f>
        <v>0.013375116648641019</v>
      </c>
      <c r="N9" s="10"/>
      <c r="R9" s="2"/>
    </row>
    <row r="10" spans="1:18" ht="15.75">
      <c r="A10" s="19"/>
      <c r="B10" s="20">
        <f>DATE(2017,8,1)</f>
        <v>42948</v>
      </c>
      <c r="C10" s="21">
        <v>268688</v>
      </c>
      <c r="D10" s="22">
        <v>269746</v>
      </c>
      <c r="E10" s="23">
        <f>(+C10-D10)/D10</f>
        <v>-0.00392220829965968</v>
      </c>
      <c r="F10" s="21">
        <f>+C10-125473</f>
        <v>143215</v>
      </c>
      <c r="G10" s="21">
        <f>+D10-128416</f>
        <v>141330</v>
      </c>
      <c r="H10" s="23">
        <f>(+F10-G10)/G10</f>
        <v>0.013337578716479162</v>
      </c>
      <c r="I10" s="24">
        <f>K10/C10</f>
        <v>48.38335742571309</v>
      </c>
      <c r="J10" s="24">
        <f>K10/F10</f>
        <v>90.7728068987187</v>
      </c>
      <c r="K10" s="21">
        <v>13000027.54</v>
      </c>
      <c r="L10" s="21">
        <v>12325415.85</v>
      </c>
      <c r="M10" s="25">
        <f>(+K10-L10)/L10</f>
        <v>0.05473338167328443</v>
      </c>
      <c r="N10" s="10"/>
      <c r="R10" s="2"/>
    </row>
    <row r="11" spans="1:18" ht="15.75">
      <c r="A11" s="19"/>
      <c r="B11" s="20">
        <f>DATE(2017,9,1)</f>
        <v>42979</v>
      </c>
      <c r="C11" s="21">
        <v>280816</v>
      </c>
      <c r="D11" s="22">
        <v>275432</v>
      </c>
      <c r="E11" s="23">
        <f>(+C11-D11)/D11</f>
        <v>0.019547474512765402</v>
      </c>
      <c r="F11" s="21">
        <f>+C11-133848</f>
        <v>146968</v>
      </c>
      <c r="G11" s="21">
        <f>+D11-130069</f>
        <v>145363</v>
      </c>
      <c r="H11" s="23">
        <f>(+F11-G11)/G11</f>
        <v>0.011041324133376444</v>
      </c>
      <c r="I11" s="24">
        <f>K11/C11</f>
        <v>48.34897972337758</v>
      </c>
      <c r="J11" s="24">
        <f>K11/F11</f>
        <v>92.38179120624898</v>
      </c>
      <c r="K11" s="21">
        <v>13577167.09</v>
      </c>
      <c r="L11" s="21">
        <v>12483472.22</v>
      </c>
      <c r="M11" s="25">
        <f>(+K11-L11)/L11</f>
        <v>0.08761143139708923</v>
      </c>
      <c r="N11" s="10"/>
      <c r="R11" s="2"/>
    </row>
    <row r="12" spans="1:18" ht="15.75">
      <c r="A12" s="19"/>
      <c r="B12" s="20">
        <f>DATE(2017,10,1)</f>
        <v>43009</v>
      </c>
      <c r="C12" s="21">
        <v>266813</v>
      </c>
      <c r="D12" s="22">
        <v>279310</v>
      </c>
      <c r="E12" s="23">
        <f>(+C12-D12)/D12</f>
        <v>-0.04474240091654434</v>
      </c>
      <c r="F12" s="21">
        <f>+C12-124457</f>
        <v>142356</v>
      </c>
      <c r="G12" s="21">
        <f>+D12-132516</f>
        <v>146794</v>
      </c>
      <c r="H12" s="23">
        <f>(+F12-G12)/G12</f>
        <v>-0.030232843304222243</v>
      </c>
      <c r="I12" s="24">
        <f>K12/C12</f>
        <v>49.51069921630505</v>
      </c>
      <c r="J12" s="24">
        <f>K12/F12</f>
        <v>92.79621645733232</v>
      </c>
      <c r="K12" s="21">
        <v>13210098.19</v>
      </c>
      <c r="L12" s="21">
        <v>12897991.17</v>
      </c>
      <c r="M12" s="25">
        <f>(+K12-L12)/L12</f>
        <v>0.024198110844264095</v>
      </c>
      <c r="N12" s="10"/>
      <c r="R12" s="2"/>
    </row>
    <row r="13" spans="1:18" ht="15.75" customHeight="1" thickBot="1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Bot="1" thickTop="1">
      <c r="A14" s="26" t="s">
        <v>14</v>
      </c>
      <c r="B14" s="27"/>
      <c r="C14" s="28">
        <f>SUM(C9:C13)</f>
        <v>1111364</v>
      </c>
      <c r="D14" s="28">
        <f>SUM(D9:D13)</f>
        <v>1140207</v>
      </c>
      <c r="E14" s="279">
        <f>(+C14-D14)/D14</f>
        <v>-0.02529628392037586</v>
      </c>
      <c r="F14" s="28">
        <f>SUM(F9:F13)</f>
        <v>588775</v>
      </c>
      <c r="G14" s="28">
        <f>SUM(G9:G13)</f>
        <v>594808</v>
      </c>
      <c r="H14" s="30">
        <f>(+F14-G14)/G14</f>
        <v>-0.010142768758994499</v>
      </c>
      <c r="I14" s="31">
        <f>K14/C14</f>
        <v>48.527051767017824</v>
      </c>
      <c r="J14" s="31">
        <f>K14/F14</f>
        <v>91.59902910279818</v>
      </c>
      <c r="K14" s="28">
        <f>SUM(K9:K13)</f>
        <v>53931218.36</v>
      </c>
      <c r="L14" s="28">
        <f>SUM(L9:L13)</f>
        <v>51664124.99</v>
      </c>
      <c r="M14" s="32">
        <f>(+K14-L14)/L14</f>
        <v>0.04388138520566856</v>
      </c>
      <c r="N14" s="10"/>
      <c r="R14" s="2"/>
    </row>
    <row r="15" spans="1:18" ht="15.75" customHeight="1" thickTop="1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>
      <c r="A16" s="19" t="s">
        <v>15</v>
      </c>
      <c r="B16" s="20">
        <f>DATE(2017,7,1)</f>
        <v>42917</v>
      </c>
      <c r="C16" s="21">
        <v>154485</v>
      </c>
      <c r="D16" s="21">
        <v>168156</v>
      </c>
      <c r="E16" s="23">
        <f>(+C16-D16)/D16</f>
        <v>-0.08129950760008564</v>
      </c>
      <c r="F16" s="21">
        <f>+C16-74453</f>
        <v>80032</v>
      </c>
      <c r="G16" s="21">
        <f>+D16-80472</f>
        <v>87684</v>
      </c>
      <c r="H16" s="23">
        <f>(+F16-G16)/G16</f>
        <v>-0.08726791660964373</v>
      </c>
      <c r="I16" s="24">
        <f>K16/C16</f>
        <v>48.313623976437846</v>
      </c>
      <c r="J16" s="24">
        <f>K16/F16</f>
        <v>93.2593237704918</v>
      </c>
      <c r="K16" s="21">
        <v>7463730.2</v>
      </c>
      <c r="L16" s="21">
        <v>7571219.54</v>
      </c>
      <c r="M16" s="25">
        <f>(+K16-L16)/L16</f>
        <v>-0.014197097235407845</v>
      </c>
      <c r="N16" s="10"/>
      <c r="R16" s="2"/>
    </row>
    <row r="17" spans="1:18" ht="15.75">
      <c r="A17" s="19"/>
      <c r="B17" s="20">
        <f>DATE(2017,8,1)</f>
        <v>42948</v>
      </c>
      <c r="C17" s="21">
        <v>146885</v>
      </c>
      <c r="D17" s="21">
        <v>156736</v>
      </c>
      <c r="E17" s="23">
        <f>(+C17-D17)/D17</f>
        <v>-0.06285090853409554</v>
      </c>
      <c r="F17" s="21">
        <f>+C17-69501</f>
        <v>77384</v>
      </c>
      <c r="G17" s="21">
        <f>+D17-73885</f>
        <v>82851</v>
      </c>
      <c r="H17" s="23">
        <f>(+F17-G17)/G17</f>
        <v>-0.0659859265428299</v>
      </c>
      <c r="I17" s="24">
        <f>K17/C17</f>
        <v>46.88712468938285</v>
      </c>
      <c r="J17" s="24">
        <f>K17/F17</f>
        <v>88.99792347255246</v>
      </c>
      <c r="K17" s="21">
        <v>6887015.31</v>
      </c>
      <c r="L17" s="21">
        <v>6873490.36</v>
      </c>
      <c r="M17" s="25">
        <f>(+K17-L17)/L17</f>
        <v>0.0019676975294396506</v>
      </c>
      <c r="N17" s="10"/>
      <c r="R17" s="2"/>
    </row>
    <row r="18" spans="1:18" ht="15.75">
      <c r="A18" s="19"/>
      <c r="B18" s="20">
        <f>DATE(2017,9,1)</f>
        <v>42979</v>
      </c>
      <c r="C18" s="21">
        <v>147791</v>
      </c>
      <c r="D18" s="21">
        <v>155294</v>
      </c>
      <c r="E18" s="23">
        <f>(+C18-D18)/D18</f>
        <v>-0.04831480932940101</v>
      </c>
      <c r="F18" s="21">
        <f>+C18-70004</f>
        <v>77787</v>
      </c>
      <c r="G18" s="21">
        <f>+D18-73977</f>
        <v>81317</v>
      </c>
      <c r="H18" s="23">
        <f>(+F18-G18)/G18</f>
        <v>-0.043410356997921715</v>
      </c>
      <c r="I18" s="24">
        <f>K18/C18</f>
        <v>45.22004107151315</v>
      </c>
      <c r="J18" s="24">
        <f>K18/F18</f>
        <v>85.91557831000038</v>
      </c>
      <c r="K18" s="21">
        <v>6683115.09</v>
      </c>
      <c r="L18" s="21">
        <v>6937402.96</v>
      </c>
      <c r="M18" s="25">
        <f>(+K18-L18)/L18</f>
        <v>-0.036654620102967196</v>
      </c>
      <c r="N18" s="10"/>
      <c r="R18" s="2"/>
    </row>
    <row r="19" spans="1:18" ht="15.75">
      <c r="A19" s="19"/>
      <c r="B19" s="20">
        <f>DATE(2017,10,1)</f>
        <v>43009</v>
      </c>
      <c r="C19" s="21">
        <v>137700</v>
      </c>
      <c r="D19" s="21">
        <v>146527</v>
      </c>
      <c r="E19" s="23">
        <f>(+C19-D19)/D19</f>
        <v>-0.0602414572058392</v>
      </c>
      <c r="F19" s="21">
        <f>+C19-65646</f>
        <v>72054</v>
      </c>
      <c r="G19" s="21">
        <f>+D19-70123</f>
        <v>76404</v>
      </c>
      <c r="H19" s="23">
        <f>(+F19-G19)/G19</f>
        <v>-0.056934191927124234</v>
      </c>
      <c r="I19" s="24">
        <f>K19/C19</f>
        <v>45.38843761801017</v>
      </c>
      <c r="J19" s="24">
        <f>K19/F19</f>
        <v>86.7403316956727</v>
      </c>
      <c r="K19" s="21">
        <v>6249987.86</v>
      </c>
      <c r="L19" s="21">
        <v>6669801.07</v>
      </c>
      <c r="M19" s="25">
        <f>(+K19-L19)/L19</f>
        <v>-0.06294238847516331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Bot="1" thickTop="1">
      <c r="A21" s="26" t="s">
        <v>14</v>
      </c>
      <c r="B21" s="27"/>
      <c r="C21" s="28">
        <f>SUM(C16:C20)</f>
        <v>586861</v>
      </c>
      <c r="D21" s="28">
        <f>SUM(D16:D20)</f>
        <v>626713</v>
      </c>
      <c r="E21" s="279">
        <f>(+C21-D21)/D21</f>
        <v>-0.06358891550039651</v>
      </c>
      <c r="F21" s="28">
        <f>SUM(F16:F20)</f>
        <v>307257</v>
      </c>
      <c r="G21" s="28">
        <f>SUM(G16:G20)</f>
        <v>328256</v>
      </c>
      <c r="H21" s="30">
        <f>(+F21-G21)/G21</f>
        <v>-0.0639714125560538</v>
      </c>
      <c r="I21" s="31">
        <f>K21/C21</f>
        <v>46.491159678356546</v>
      </c>
      <c r="J21" s="31">
        <f>K21/F21</f>
        <v>88.79813465600459</v>
      </c>
      <c r="K21" s="28">
        <f>SUM(K16:K20)</f>
        <v>27283848.46</v>
      </c>
      <c r="L21" s="28">
        <f>SUM(L16:L20)</f>
        <v>28051913.93</v>
      </c>
      <c r="M21" s="32">
        <f>(+K21-L21)/L21</f>
        <v>-0.02738014496681435</v>
      </c>
      <c r="N21" s="10"/>
      <c r="R21" s="2"/>
    </row>
    <row r="22" spans="1:18" ht="15.75" customHeight="1" thickTop="1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>
      <c r="A23" s="19" t="s">
        <v>56</v>
      </c>
      <c r="B23" s="20">
        <f>DATE(2017,7,1)</f>
        <v>42917</v>
      </c>
      <c r="C23" s="21">
        <v>74877</v>
      </c>
      <c r="D23" s="21">
        <v>79290</v>
      </c>
      <c r="E23" s="23">
        <f>(+C23-D23)/D23</f>
        <v>-0.0556564510026485</v>
      </c>
      <c r="F23" s="21">
        <f>+C23-41145</f>
        <v>33732</v>
      </c>
      <c r="G23" s="21">
        <f>+D23-44110</f>
        <v>35180</v>
      </c>
      <c r="H23" s="23">
        <f>(+F23-G23)/G23</f>
        <v>-0.041159749857873795</v>
      </c>
      <c r="I23" s="24">
        <f>K23/C23</f>
        <v>43.82963046062209</v>
      </c>
      <c r="J23" s="24">
        <f>K23/F23</f>
        <v>97.29133285900629</v>
      </c>
      <c r="K23" s="21">
        <v>3281831.24</v>
      </c>
      <c r="L23" s="21">
        <v>3381483.62</v>
      </c>
      <c r="M23" s="25">
        <f>(+K23-L23)/L23</f>
        <v>-0.029470017069016554</v>
      </c>
      <c r="N23" s="10"/>
      <c r="R23" s="2"/>
    </row>
    <row r="24" spans="1:18" ht="15.75" customHeight="1">
      <c r="A24" s="19"/>
      <c r="B24" s="20">
        <f>DATE(2017,8,1)</f>
        <v>42948</v>
      </c>
      <c r="C24" s="21">
        <v>67175</v>
      </c>
      <c r="D24" s="21">
        <v>71059</v>
      </c>
      <c r="E24" s="23">
        <f>(+C24-D24)/D24</f>
        <v>-0.054658804655286455</v>
      </c>
      <c r="F24" s="21">
        <f>+C24-36831</f>
        <v>30344</v>
      </c>
      <c r="G24" s="21">
        <f>+D24-39645</f>
        <v>31414</v>
      </c>
      <c r="H24" s="23">
        <f>(+F24-G24)/G24</f>
        <v>-0.03406124657795887</v>
      </c>
      <c r="I24" s="24">
        <f>K24/C24</f>
        <v>43.37994923706736</v>
      </c>
      <c r="J24" s="24">
        <f>K24/F24</f>
        <v>96.0337493408911</v>
      </c>
      <c r="K24" s="21">
        <v>2914048.09</v>
      </c>
      <c r="L24" s="21">
        <v>2856153.4</v>
      </c>
      <c r="M24" s="25">
        <f>(+K24-L24)/L24</f>
        <v>0.020270161259545776</v>
      </c>
      <c r="N24" s="10"/>
      <c r="R24" s="2"/>
    </row>
    <row r="25" spans="1:18" ht="15.75" customHeight="1">
      <c r="A25" s="19"/>
      <c r="B25" s="20">
        <f>DATE(2017,9,1)</f>
        <v>42979</v>
      </c>
      <c r="C25" s="21">
        <v>69904</v>
      </c>
      <c r="D25" s="21">
        <v>74988</v>
      </c>
      <c r="E25" s="23">
        <f>(+C25-D25)/D25</f>
        <v>-0.0677975142689497</v>
      </c>
      <c r="F25" s="21">
        <f>+C25-38362</f>
        <v>31542</v>
      </c>
      <c r="G25" s="21">
        <f>+D25-41297</f>
        <v>33691</v>
      </c>
      <c r="H25" s="23">
        <f>(+F25-G25)/G25</f>
        <v>-0.06378558071888635</v>
      </c>
      <c r="I25" s="24">
        <f>K25/C25</f>
        <v>46.3982827878233</v>
      </c>
      <c r="J25" s="24">
        <f>K25/F25</f>
        <v>102.82878574598948</v>
      </c>
      <c r="K25" s="21">
        <v>3243425.56</v>
      </c>
      <c r="L25" s="21">
        <v>3135290.49</v>
      </c>
      <c r="M25" s="25">
        <f>(+K25-L25)/L25</f>
        <v>0.03448964947423415</v>
      </c>
      <c r="N25" s="10"/>
      <c r="R25" s="2"/>
    </row>
    <row r="26" spans="1:18" ht="15.75" customHeight="1">
      <c r="A26" s="19"/>
      <c r="B26" s="20">
        <f>DATE(2017,10,1)</f>
        <v>43009</v>
      </c>
      <c r="C26" s="21">
        <v>63630</v>
      </c>
      <c r="D26" s="21">
        <v>72346</v>
      </c>
      <c r="E26" s="23">
        <f>(+C26-D26)/D26</f>
        <v>-0.1204765985679927</v>
      </c>
      <c r="F26" s="21">
        <f>+C26-34863</f>
        <v>28767</v>
      </c>
      <c r="G26" s="21">
        <f>+D26-40670</f>
        <v>31676</v>
      </c>
      <c r="H26" s="23">
        <f>(+F26-G26)/G26</f>
        <v>-0.0918360904154565</v>
      </c>
      <c r="I26" s="24">
        <f>K26/C26</f>
        <v>45.47281643878674</v>
      </c>
      <c r="J26" s="24">
        <f>K26/F26</f>
        <v>100.5817537456113</v>
      </c>
      <c r="K26" s="21">
        <v>2893435.31</v>
      </c>
      <c r="L26" s="21">
        <v>2923958.35</v>
      </c>
      <c r="M26" s="25">
        <f>(+K26-L26)/L26</f>
        <v>-0.010438944863903427</v>
      </c>
      <c r="N26" s="10"/>
      <c r="R26" s="2"/>
    </row>
    <row r="27" spans="1:18" ht="15.75" customHeight="1" thickBot="1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Bot="1" thickTop="1">
      <c r="A28" s="39" t="s">
        <v>14</v>
      </c>
      <c r="B28" s="40"/>
      <c r="C28" s="41">
        <f>SUM(C23:C27)</f>
        <v>275586</v>
      </c>
      <c r="D28" s="41">
        <f>SUM(D23:D27)</f>
        <v>297683</v>
      </c>
      <c r="E28" s="280">
        <f>(+C28-D28)/D28</f>
        <v>-0.07422996946416154</v>
      </c>
      <c r="F28" s="41">
        <f>SUM(F23:F27)</f>
        <v>124385</v>
      </c>
      <c r="G28" s="41">
        <f>SUM(G23:G27)</f>
        <v>131961</v>
      </c>
      <c r="H28" s="42">
        <f>(+F28-G28)/G28</f>
        <v>-0.05741090170580702</v>
      </c>
      <c r="I28" s="43">
        <f>K28/C28</f>
        <v>44.750967755981804</v>
      </c>
      <c r="J28" s="43">
        <f>K28/F28</f>
        <v>99.14973831249749</v>
      </c>
      <c r="K28" s="41">
        <f>SUM(K23:K27)</f>
        <v>12332740.200000001</v>
      </c>
      <c r="L28" s="41">
        <f>SUM(L23:L27)</f>
        <v>12296885.86</v>
      </c>
      <c r="M28" s="44">
        <f>(+K28-L28)/L28</f>
        <v>0.002915725201339855</v>
      </c>
      <c r="N28" s="10"/>
      <c r="R28" s="2"/>
    </row>
    <row r="29" spans="1:18" ht="15.75" customHeight="1" thickTop="1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>
      <c r="A30" s="177" t="s">
        <v>65</v>
      </c>
      <c r="B30" s="20">
        <f>DATE(2017,7,1)</f>
        <v>42917</v>
      </c>
      <c r="C30" s="21">
        <v>502707</v>
      </c>
      <c r="D30" s="21">
        <v>511183</v>
      </c>
      <c r="E30" s="23">
        <f>(+C30-D30)/D30</f>
        <v>-0.016581146086626513</v>
      </c>
      <c r="F30" s="21">
        <f>+C30-258518</f>
        <v>244189</v>
      </c>
      <c r="G30" s="21">
        <f>+D30-260995</f>
        <v>250188</v>
      </c>
      <c r="H30" s="23">
        <f>(+F30-G30)/G30</f>
        <v>-0.023977968567637137</v>
      </c>
      <c r="I30" s="24">
        <f>K30/C30</f>
        <v>42.25315102037568</v>
      </c>
      <c r="J30" s="24">
        <f>K30/F30</f>
        <v>86.9857151223028</v>
      </c>
      <c r="K30" s="21">
        <v>21240954.79</v>
      </c>
      <c r="L30" s="21">
        <v>21271913.41</v>
      </c>
      <c r="M30" s="25">
        <f>(+K30-L30)/L30</f>
        <v>-0.0014553754240766742</v>
      </c>
      <c r="N30" s="10"/>
      <c r="R30" s="2"/>
    </row>
    <row r="31" spans="1:18" ht="15.75" customHeight="1">
      <c r="A31" s="177"/>
      <c r="B31" s="20">
        <f>DATE(2017,8,1)</f>
        <v>42948</v>
      </c>
      <c r="C31" s="21">
        <v>453491</v>
      </c>
      <c r="D31" s="21">
        <v>492813</v>
      </c>
      <c r="E31" s="23">
        <f>(+C31-D31)/D31</f>
        <v>-0.07979091460655462</v>
      </c>
      <c r="F31" s="21">
        <f>+C31-231314</f>
        <v>222177</v>
      </c>
      <c r="G31" s="21">
        <f>+D31-254208</f>
        <v>238605</v>
      </c>
      <c r="H31" s="23">
        <f>(+F31-G31)/G31</f>
        <v>-0.06885019173948576</v>
      </c>
      <c r="I31" s="24">
        <f>K31/C31</f>
        <v>43.557037383321834</v>
      </c>
      <c r="J31" s="24">
        <f>K31/F31</f>
        <v>88.9053522191766</v>
      </c>
      <c r="K31" s="21">
        <v>19752724.44</v>
      </c>
      <c r="L31" s="21">
        <v>20322456.8</v>
      </c>
      <c r="M31" s="25">
        <f>(+K31-L31)/L31</f>
        <v>-0.028034620302403564</v>
      </c>
      <c r="N31" s="10"/>
      <c r="R31" s="2"/>
    </row>
    <row r="32" spans="1:18" ht="15.75" customHeight="1">
      <c r="A32" s="177"/>
      <c r="B32" s="20">
        <f>DATE(2017,9,1)</f>
        <v>42979</v>
      </c>
      <c r="C32" s="21">
        <v>440378</v>
      </c>
      <c r="D32" s="21">
        <v>456081</v>
      </c>
      <c r="E32" s="23">
        <f>(+C32-D32)/D32</f>
        <v>-0.0344302876024215</v>
      </c>
      <c r="F32" s="21">
        <f>+C32-224768</f>
        <v>215610</v>
      </c>
      <c r="G32" s="21">
        <f>+D32-233745</f>
        <v>222336</v>
      </c>
      <c r="H32" s="23">
        <f>(+F32-G32)/G32</f>
        <v>-0.030251511226252158</v>
      </c>
      <c r="I32" s="24">
        <f>K32/C32</f>
        <v>45.40048721779926</v>
      </c>
      <c r="J32" s="24">
        <f>K32/F32</f>
        <v>92.72935281294932</v>
      </c>
      <c r="K32" s="21">
        <v>19993375.76</v>
      </c>
      <c r="L32" s="21">
        <v>19442866.91</v>
      </c>
      <c r="M32" s="25">
        <f>(+K32-L32)/L32</f>
        <v>0.028314180853486155</v>
      </c>
      <c r="N32" s="10"/>
      <c r="R32" s="2"/>
    </row>
    <row r="33" spans="1:18" ht="15.75" customHeight="1">
      <c r="A33" s="177"/>
      <c r="B33" s="20">
        <f>DATE(2017,10,1)</f>
        <v>43009</v>
      </c>
      <c r="C33" s="21">
        <v>419713</v>
      </c>
      <c r="D33" s="21">
        <v>454176</v>
      </c>
      <c r="E33" s="23">
        <f>(+C33-D33)/D33</f>
        <v>-0.07588027548791658</v>
      </c>
      <c r="F33" s="21">
        <f>+C33-218072</f>
        <v>201641</v>
      </c>
      <c r="G33" s="21">
        <f>+D33-236207</f>
        <v>217969</v>
      </c>
      <c r="H33" s="23">
        <f>(+F33-G33)/G33</f>
        <v>-0.07490973487055498</v>
      </c>
      <c r="I33" s="24">
        <f>K33/C33</f>
        <v>43.245254471507906</v>
      </c>
      <c r="J33" s="24">
        <f>K33/F33</f>
        <v>90.01440922233077</v>
      </c>
      <c r="K33" s="21">
        <v>18150595.49</v>
      </c>
      <c r="L33" s="21">
        <v>19802463.97</v>
      </c>
      <c r="M33" s="25">
        <f>(+K33-L33)/L33</f>
        <v>-0.08341732031440735</v>
      </c>
      <c r="N33" s="10"/>
      <c r="R33" s="2"/>
    </row>
    <row r="34" spans="1:18" ht="15.75" thickBot="1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Bot="1" thickTop="1">
      <c r="A35" s="39" t="s">
        <v>14</v>
      </c>
      <c r="B35" s="40"/>
      <c r="C35" s="41">
        <f>SUM(C30:C34)</f>
        <v>1816289</v>
      </c>
      <c r="D35" s="41">
        <f>SUM(D30:D34)</f>
        <v>1914253</v>
      </c>
      <c r="E35" s="280">
        <f>(+C35-D35)/D35</f>
        <v>-0.05117609845720498</v>
      </c>
      <c r="F35" s="41">
        <f>SUM(F30:F34)</f>
        <v>883617</v>
      </c>
      <c r="G35" s="41">
        <f>SUM(G30:G34)</f>
        <v>929098</v>
      </c>
      <c r="H35" s="42">
        <f>(+F35-G35)/G35</f>
        <v>-0.04895177903730285</v>
      </c>
      <c r="I35" s="43">
        <f>K35/C35</f>
        <v>43.57106742374149</v>
      </c>
      <c r="J35" s="43">
        <f>K35/F35</f>
        <v>89.56103207611443</v>
      </c>
      <c r="K35" s="41">
        <f>SUM(K30:K34)</f>
        <v>79137650.48</v>
      </c>
      <c r="L35" s="41">
        <f>SUM(L30:L34)</f>
        <v>80839701.09</v>
      </c>
      <c r="M35" s="44">
        <f>(+K35-L35)/L35</f>
        <v>-0.021054637598240028</v>
      </c>
      <c r="N35" s="10"/>
      <c r="R35" s="2"/>
    </row>
    <row r="36" spans="1:18" ht="15.75" thickTop="1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>
      <c r="A37" s="19" t="s">
        <v>16</v>
      </c>
      <c r="B37" s="20">
        <f>DATE(2017,7,1)</f>
        <v>42917</v>
      </c>
      <c r="C37" s="21">
        <v>332127</v>
      </c>
      <c r="D37" s="21">
        <v>323462</v>
      </c>
      <c r="E37" s="23">
        <f>(+C37-D37)/D37</f>
        <v>0.026788308982198836</v>
      </c>
      <c r="F37" s="21">
        <f>+C37-153372</f>
        <v>178755</v>
      </c>
      <c r="G37" s="21">
        <f>+D37-151596</f>
        <v>171866</v>
      </c>
      <c r="H37" s="23">
        <f>(+F37-G37)/G37</f>
        <v>0.040083553466072404</v>
      </c>
      <c r="I37" s="24">
        <f>K37/C37</f>
        <v>51.14205313027848</v>
      </c>
      <c r="J37" s="24">
        <f>K37/F37</f>
        <v>95.02199479734833</v>
      </c>
      <c r="K37" s="21">
        <v>16985656.68</v>
      </c>
      <c r="L37" s="21">
        <v>13704607.39</v>
      </c>
      <c r="M37" s="25">
        <f>(+K37-L37)/L37</f>
        <v>0.23941213320668495</v>
      </c>
      <c r="N37" s="10"/>
      <c r="R37" s="2"/>
    </row>
    <row r="38" spans="1:18" ht="15.75">
      <c r="A38" s="19"/>
      <c r="B38" s="20">
        <f>DATE(2017,8,1)</f>
        <v>42948</v>
      </c>
      <c r="C38" s="21">
        <v>318460</v>
      </c>
      <c r="D38" s="21">
        <v>307862</v>
      </c>
      <c r="E38" s="23">
        <f>(+C38-D38)/D38</f>
        <v>0.03442451488004366</v>
      </c>
      <c r="F38" s="21">
        <f>+C38-146549</f>
        <v>171911</v>
      </c>
      <c r="G38" s="21">
        <f>+D38-143781</f>
        <v>164081</v>
      </c>
      <c r="H38" s="23">
        <f>(+F38-G38)/G38</f>
        <v>0.04772033325004114</v>
      </c>
      <c r="I38" s="24">
        <f>K38/C38</f>
        <v>48.91667229793381</v>
      </c>
      <c r="J38" s="24">
        <f>K38/F38</f>
        <v>90.61667641977536</v>
      </c>
      <c r="K38" s="21">
        <v>15578003.46</v>
      </c>
      <c r="L38" s="21">
        <v>14120994.54</v>
      </c>
      <c r="M38" s="25">
        <f>(+K38-L38)/L38</f>
        <v>0.10318033307588843</v>
      </c>
      <c r="N38" s="10"/>
      <c r="R38" s="2"/>
    </row>
    <row r="39" spans="1:18" ht="15.75">
      <c r="A39" s="19"/>
      <c r="B39" s="20">
        <f>DATE(2017,9,1)</f>
        <v>42979</v>
      </c>
      <c r="C39" s="21">
        <v>319116</v>
      </c>
      <c r="D39" s="21">
        <v>293770</v>
      </c>
      <c r="E39" s="23">
        <f>(+C39-D39)/D39</f>
        <v>0.08627838104639685</v>
      </c>
      <c r="F39" s="21">
        <f>+C39-146330</f>
        <v>172786</v>
      </c>
      <c r="G39" s="21">
        <f>+D39-134268</f>
        <v>159502</v>
      </c>
      <c r="H39" s="23">
        <f>(+F39-G39)/G39</f>
        <v>0.08328422214141515</v>
      </c>
      <c r="I39" s="24">
        <f>K39/C39</f>
        <v>48.81698181852367</v>
      </c>
      <c r="J39" s="24">
        <f>K39/F39</f>
        <v>90.15938773974743</v>
      </c>
      <c r="K39" s="21">
        <v>15578279.97</v>
      </c>
      <c r="L39" s="21">
        <v>14466452.66</v>
      </c>
      <c r="M39" s="25">
        <f>(+K39-L39)/L39</f>
        <v>0.07685555928124818</v>
      </c>
      <c r="N39" s="10"/>
      <c r="R39" s="2"/>
    </row>
    <row r="40" spans="1:18" ht="15.75">
      <c r="A40" s="19"/>
      <c r="B40" s="20">
        <f>DATE(2017,10,1)</f>
        <v>43009</v>
      </c>
      <c r="C40" s="21">
        <v>307325</v>
      </c>
      <c r="D40" s="21">
        <v>284233</v>
      </c>
      <c r="E40" s="23">
        <f>(+C40-D40)/D40</f>
        <v>0.08124320539838795</v>
      </c>
      <c r="F40" s="21">
        <f>+C40-144149</f>
        <v>163176</v>
      </c>
      <c r="G40" s="21">
        <f>+D40-134431</f>
        <v>149802</v>
      </c>
      <c r="H40" s="23">
        <f>(+F40-G40)/G40</f>
        <v>0.08927784675772019</v>
      </c>
      <c r="I40" s="24">
        <f>K40/C40</f>
        <v>46.718018937606764</v>
      </c>
      <c r="J40" s="24">
        <f>K40/F40</f>
        <v>87.98852263813306</v>
      </c>
      <c r="K40" s="21">
        <v>14357615.17</v>
      </c>
      <c r="L40" s="21">
        <v>13784707.47</v>
      </c>
      <c r="M40" s="25">
        <f>(+K40-L40)/L40</f>
        <v>0.04156110684588936</v>
      </c>
      <c r="N40" s="10"/>
      <c r="R40" s="2"/>
    </row>
    <row r="41" spans="1:18" ht="15.75" thickBot="1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Bot="1" thickTop="1">
      <c r="A42" s="39" t="s">
        <v>14</v>
      </c>
      <c r="B42" s="40"/>
      <c r="C42" s="41">
        <f>SUM(C37:C41)</f>
        <v>1277028</v>
      </c>
      <c r="D42" s="41">
        <f>SUM(D37:D41)</f>
        <v>1209327</v>
      </c>
      <c r="E42" s="281">
        <f>(+C42-D42)/D42</f>
        <v>0.055982376974962104</v>
      </c>
      <c r="F42" s="47">
        <f>SUM(F37:F41)</f>
        <v>686628</v>
      </c>
      <c r="G42" s="48">
        <f>SUM(G37:G41)</f>
        <v>645251</v>
      </c>
      <c r="H42" s="49">
        <f>(+F42-G42)/G42</f>
        <v>0.0641254333584915</v>
      </c>
      <c r="I42" s="50">
        <f>K42/C42</f>
        <v>48.94141340675381</v>
      </c>
      <c r="J42" s="51">
        <f>K42/F42</f>
        <v>91.023895442656</v>
      </c>
      <c r="K42" s="48">
        <f>SUM(K37:K41)</f>
        <v>62499555.28</v>
      </c>
      <c r="L42" s="47">
        <f>SUM(L37:L41)</f>
        <v>56076762.06</v>
      </c>
      <c r="M42" s="44">
        <f>(+K42-L42)/L42</f>
        <v>0.11453573608846841</v>
      </c>
      <c r="N42" s="10"/>
      <c r="R42" s="2"/>
    </row>
    <row r="43" spans="1:18" ht="15.75" customHeight="1" thickTop="1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>
      <c r="A44" s="274" t="s">
        <v>66</v>
      </c>
      <c r="B44" s="20">
        <f>DATE(2017,7,1)</f>
        <v>42917</v>
      </c>
      <c r="C44" s="21">
        <v>155680</v>
      </c>
      <c r="D44" s="21">
        <v>180124</v>
      </c>
      <c r="E44" s="23">
        <f>(+C44-D44)/D44</f>
        <v>-0.13570651329084407</v>
      </c>
      <c r="F44" s="21">
        <f>+C44-76075</f>
        <v>79605</v>
      </c>
      <c r="G44" s="21">
        <f>+D44-87090</f>
        <v>93034</v>
      </c>
      <c r="H44" s="23">
        <f>(+F44-G44)/G44</f>
        <v>-0.14434507814347444</v>
      </c>
      <c r="I44" s="24">
        <f>K44/C44</f>
        <v>36.590878597122305</v>
      </c>
      <c r="J44" s="24">
        <f>K44/F44</f>
        <v>71.55917316751461</v>
      </c>
      <c r="K44" s="21">
        <v>5696467.98</v>
      </c>
      <c r="L44" s="21">
        <v>6090878.36</v>
      </c>
      <c r="M44" s="25">
        <f>(+K44-L44)/L44</f>
        <v>-0.06475426969452726</v>
      </c>
      <c r="N44" s="10"/>
      <c r="R44" s="2"/>
    </row>
    <row r="45" spans="1:18" ht="15.75">
      <c r="A45" s="274"/>
      <c r="B45" s="20">
        <f>DATE(2017,8,1)</f>
        <v>42948</v>
      </c>
      <c r="C45" s="21">
        <v>137297</v>
      </c>
      <c r="D45" s="21">
        <v>157062</v>
      </c>
      <c r="E45" s="23">
        <f>(+C45-D45)/D45</f>
        <v>-0.12584202416879958</v>
      </c>
      <c r="F45" s="21">
        <f>+C45-65122</f>
        <v>72175</v>
      </c>
      <c r="G45" s="21">
        <f>+D45-74517</f>
        <v>82545</v>
      </c>
      <c r="H45" s="23">
        <f>(+F45-G45)/G45</f>
        <v>-0.12562844509055668</v>
      </c>
      <c r="I45" s="24">
        <f>K45/C45</f>
        <v>37.46472952795764</v>
      </c>
      <c r="J45" s="24">
        <f>K45/F45</f>
        <v>71.26837506061655</v>
      </c>
      <c r="K45" s="21">
        <v>5143794.97</v>
      </c>
      <c r="L45" s="21">
        <v>5605573.68</v>
      </c>
      <c r="M45" s="25">
        <f>(+K45-L45)/L45</f>
        <v>-0.08237849261487185</v>
      </c>
      <c r="N45" s="10"/>
      <c r="R45" s="2"/>
    </row>
    <row r="46" spans="1:18" ht="15.75">
      <c r="A46" s="274"/>
      <c r="B46" s="20">
        <f>DATE(2017,9,1)</f>
        <v>42979</v>
      </c>
      <c r="C46" s="21">
        <v>151497</v>
      </c>
      <c r="D46" s="21">
        <v>163013</v>
      </c>
      <c r="E46" s="23">
        <f>(+C46-D46)/D46</f>
        <v>-0.07064467251078135</v>
      </c>
      <c r="F46" s="21">
        <f>+C46-72439</f>
        <v>79058</v>
      </c>
      <c r="G46" s="21">
        <f>+D46-75491</f>
        <v>87522</v>
      </c>
      <c r="H46" s="23">
        <f>(+F46-G46)/G46</f>
        <v>-0.09670711363999909</v>
      </c>
      <c r="I46" s="24">
        <f>K46/C46</f>
        <v>38.87098655418919</v>
      </c>
      <c r="J46" s="24">
        <f>K46/F46</f>
        <v>74.48756419337701</v>
      </c>
      <c r="K46" s="21">
        <v>5888837.85</v>
      </c>
      <c r="L46" s="21">
        <v>5567122.49</v>
      </c>
      <c r="M46" s="25">
        <f>(+K46-L46)/L46</f>
        <v>0.05778844646904821</v>
      </c>
      <c r="N46" s="10"/>
      <c r="R46" s="2"/>
    </row>
    <row r="47" spans="1:18" ht="15.75">
      <c r="A47" s="274"/>
      <c r="B47" s="20">
        <f>DATE(2017,10,1)</f>
        <v>43009</v>
      </c>
      <c r="C47" s="21">
        <v>143770</v>
      </c>
      <c r="D47" s="21">
        <v>149865</v>
      </c>
      <c r="E47" s="23">
        <f>(+C47-D47)/D47</f>
        <v>-0.04066993627598171</v>
      </c>
      <c r="F47" s="21">
        <f>+C47-67949</f>
        <v>75821</v>
      </c>
      <c r="G47" s="21">
        <f>+D47-72452</f>
        <v>77413</v>
      </c>
      <c r="H47" s="23">
        <f>(+F47-G47)/G47</f>
        <v>-0.02056502137883818</v>
      </c>
      <c r="I47" s="24">
        <f>K47/C47</f>
        <v>35.942512346108366</v>
      </c>
      <c r="J47" s="24">
        <f>K47/F47</f>
        <v>68.15334801704013</v>
      </c>
      <c r="K47" s="21">
        <v>5167455</v>
      </c>
      <c r="L47" s="21">
        <v>5218721.49</v>
      </c>
      <c r="M47" s="25">
        <f>(+K47-L47)/L47</f>
        <v>-0.00982357270803509</v>
      </c>
      <c r="N47" s="10"/>
      <c r="R47" s="2"/>
    </row>
    <row r="48" spans="1:18" ht="15.75" customHeight="1" thickBot="1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SUM(C44:C48)</f>
        <v>588244</v>
      </c>
      <c r="D49" s="48">
        <f>SUM(D44:D48)</f>
        <v>650064</v>
      </c>
      <c r="E49" s="281">
        <f>(+C49-D49)/D49</f>
        <v>-0.09509832877993551</v>
      </c>
      <c r="F49" s="48">
        <f>SUM(F44:F48)</f>
        <v>306659</v>
      </c>
      <c r="G49" s="47">
        <f>SUM(G44:G48)</f>
        <v>340514</v>
      </c>
      <c r="H49" s="46">
        <f>(+F49-G49)/G49</f>
        <v>-0.09942322488943185</v>
      </c>
      <c r="I49" s="51">
        <f>K49/C49</f>
        <v>37.22359395080952</v>
      </c>
      <c r="J49" s="50">
        <f>K49/F49</f>
        <v>71.40359748124136</v>
      </c>
      <c r="K49" s="47">
        <f>SUM(K44:K48)</f>
        <v>21896555.799999997</v>
      </c>
      <c r="L49" s="48">
        <f>SUM(L44:L48)</f>
        <v>22482296.020000003</v>
      </c>
      <c r="M49" s="44">
        <f>(+K49-L49)/L49</f>
        <v>-0.026053398615467842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>
      <c r="A51" s="19" t="s">
        <v>17</v>
      </c>
      <c r="B51" s="20">
        <f>DATE(2017,7,1)</f>
        <v>42917</v>
      </c>
      <c r="C51" s="21">
        <v>176619</v>
      </c>
      <c r="D51" s="21">
        <v>186981</v>
      </c>
      <c r="E51" s="23">
        <f>(+C51-D51)/D51</f>
        <v>-0.05541739535032971</v>
      </c>
      <c r="F51" s="21">
        <f>+C51-82680</f>
        <v>93939</v>
      </c>
      <c r="G51" s="21">
        <f>+D51-86212</f>
        <v>100769</v>
      </c>
      <c r="H51" s="23">
        <f>(+F51-G51)/G51</f>
        <v>-0.06777878117278131</v>
      </c>
      <c r="I51" s="24">
        <f>K51/C51</f>
        <v>35.04590627282455</v>
      </c>
      <c r="J51" s="24">
        <f>K51/F51</f>
        <v>65.89140740267621</v>
      </c>
      <c r="K51" s="21">
        <v>6189772.92</v>
      </c>
      <c r="L51" s="21">
        <v>6390595.25</v>
      </c>
      <c r="M51" s="25">
        <f>(+K51-L51)/L51</f>
        <v>-0.03142466736568868</v>
      </c>
      <c r="N51" s="10"/>
      <c r="R51" s="2"/>
    </row>
    <row r="52" spans="1:18" ht="15.75">
      <c r="A52" s="19"/>
      <c r="B52" s="20">
        <f>DATE(2017,8,1)</f>
        <v>42948</v>
      </c>
      <c r="C52" s="21">
        <v>166602</v>
      </c>
      <c r="D52" s="21">
        <v>177226</v>
      </c>
      <c r="E52" s="23">
        <f>(+C52-D52)/D52</f>
        <v>-0.05994605757620214</v>
      </c>
      <c r="F52" s="21">
        <f>+C52-77233</f>
        <v>89369</v>
      </c>
      <c r="G52" s="21">
        <f>+D52-81305</f>
        <v>95921</v>
      </c>
      <c r="H52" s="23">
        <f>(+F52-G52)/G52</f>
        <v>-0.06830621031890827</v>
      </c>
      <c r="I52" s="24">
        <f>K52/C52</f>
        <v>35.49029021260249</v>
      </c>
      <c r="J52" s="24">
        <f>K52/F52</f>
        <v>66.16112220121072</v>
      </c>
      <c r="K52" s="21">
        <v>5912753.33</v>
      </c>
      <c r="L52" s="21">
        <v>6124719.61</v>
      </c>
      <c r="M52" s="25">
        <f>(+K52-L52)/L52</f>
        <v>-0.03460832389027524</v>
      </c>
      <c r="N52" s="10"/>
      <c r="R52" s="2"/>
    </row>
    <row r="53" spans="1:18" ht="15.75">
      <c r="A53" s="19"/>
      <c r="B53" s="20">
        <f>DATE(2017,9,1)</f>
        <v>42979</v>
      </c>
      <c r="C53" s="21">
        <v>169194</v>
      </c>
      <c r="D53" s="21">
        <v>170326</v>
      </c>
      <c r="E53" s="23">
        <f>(+C53-D53)/D53</f>
        <v>-0.006646078696147388</v>
      </c>
      <c r="F53" s="21">
        <f>+C53-79368</f>
        <v>89826</v>
      </c>
      <c r="G53" s="21">
        <f>+D53-79229</f>
        <v>91097</v>
      </c>
      <c r="H53" s="23">
        <f>(+F53-G53)/G53</f>
        <v>-0.0139521608834539</v>
      </c>
      <c r="I53" s="24">
        <f>K53/C53</f>
        <v>34.892878825490264</v>
      </c>
      <c r="J53" s="24">
        <f>K53/F53</f>
        <v>65.72335114554807</v>
      </c>
      <c r="K53" s="21">
        <v>5903665.74</v>
      </c>
      <c r="L53" s="21">
        <v>5838814.34</v>
      </c>
      <c r="M53" s="25">
        <f>(+K53-L53)/L53</f>
        <v>0.011106946757276132</v>
      </c>
      <c r="N53" s="10"/>
      <c r="R53" s="2"/>
    </row>
    <row r="54" spans="1:18" ht="15.75">
      <c r="A54" s="19"/>
      <c r="B54" s="20">
        <f>DATE(2017,10,1)</f>
        <v>43009</v>
      </c>
      <c r="C54" s="21">
        <v>167767</v>
      </c>
      <c r="D54" s="21">
        <v>175657</v>
      </c>
      <c r="E54" s="23">
        <f>(+C54-D54)/D54</f>
        <v>-0.04491708272371724</v>
      </c>
      <c r="F54" s="21">
        <f>+C54-77884</f>
        <v>89883</v>
      </c>
      <c r="G54" s="21">
        <f>+D54-84134</f>
        <v>91523</v>
      </c>
      <c r="H54" s="23">
        <f>(+F54-G54)/G54</f>
        <v>-0.017918993040000875</v>
      </c>
      <c r="I54" s="24">
        <f>K54/C54</f>
        <v>34.45476500146036</v>
      </c>
      <c r="J54" s="24">
        <f>K54/F54</f>
        <v>64.30996473192928</v>
      </c>
      <c r="K54" s="21">
        <v>5780372.56</v>
      </c>
      <c r="L54" s="21">
        <v>6097419.37</v>
      </c>
      <c r="M54" s="25">
        <f>(+K54-L54)/L54</f>
        <v>-0.051996884380285054</v>
      </c>
      <c r="N54" s="10"/>
      <c r="R54" s="2"/>
    </row>
    <row r="55" spans="1:18" ht="15.75" customHeight="1" thickBot="1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25" customHeight="1" thickBot="1" thickTop="1">
      <c r="A56" s="39" t="s">
        <v>14</v>
      </c>
      <c r="B56" s="52"/>
      <c r="C56" s="47">
        <f>SUM(C51:C55)</f>
        <v>680182</v>
      </c>
      <c r="D56" s="48">
        <f>SUM(D51:D55)</f>
        <v>710190</v>
      </c>
      <c r="E56" s="281">
        <f>(+C56-D56)/D56</f>
        <v>-0.04225348146270716</v>
      </c>
      <c r="F56" s="48">
        <f>SUM(F51:F55)</f>
        <v>363017</v>
      </c>
      <c r="G56" s="47">
        <f>SUM(G51:G55)</f>
        <v>379310</v>
      </c>
      <c r="H56" s="53">
        <f>(+F56-G56)/G56</f>
        <v>-0.04295431177664707</v>
      </c>
      <c r="I56" s="51">
        <f>K56/C56</f>
        <v>34.97088213154714</v>
      </c>
      <c r="J56" s="50">
        <f>K56/F56</f>
        <v>65.52465738519133</v>
      </c>
      <c r="K56" s="47">
        <f>SUM(K51:K55)</f>
        <v>23786564.55</v>
      </c>
      <c r="L56" s="48">
        <f>SUM(L51:L55)</f>
        <v>24451548.57</v>
      </c>
      <c r="M56" s="44">
        <f>(+K56-L56)/L56</f>
        <v>-0.02719598793901664</v>
      </c>
      <c r="N56" s="10"/>
      <c r="R56" s="2"/>
    </row>
    <row r="57" spans="1:18" ht="15.75" customHeight="1" thickTop="1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>
      <c r="A58" s="19" t="s">
        <v>67</v>
      </c>
      <c r="B58" s="20">
        <f>DATE(2017,7,1)</f>
        <v>42917</v>
      </c>
      <c r="C58" s="21">
        <v>400916</v>
      </c>
      <c r="D58" s="21">
        <v>319321</v>
      </c>
      <c r="E58" s="23">
        <f>(+C58-D58)/D58</f>
        <v>0.2555265704416559</v>
      </c>
      <c r="F58" s="21">
        <f>+C58-189272</f>
        <v>211644</v>
      </c>
      <c r="G58" s="21">
        <f>+D58-152762</f>
        <v>166559</v>
      </c>
      <c r="H58" s="23">
        <f>(+F58-G58)/G58</f>
        <v>0.27068486242112405</v>
      </c>
      <c r="I58" s="24">
        <f>K58/C58</f>
        <v>31.25707287810913</v>
      </c>
      <c r="J58" s="24">
        <f>K58/F58</f>
        <v>59.21009161611008</v>
      </c>
      <c r="K58" s="21">
        <v>12531460.63</v>
      </c>
      <c r="L58" s="21">
        <v>11457006.41</v>
      </c>
      <c r="M58" s="25">
        <f>(+K58-L58)/L58</f>
        <v>0.0937814103920014</v>
      </c>
      <c r="N58" s="10"/>
      <c r="R58" s="2"/>
    </row>
    <row r="59" spans="1:18" ht="15.75" customHeight="1">
      <c r="A59" s="19"/>
      <c r="B59" s="20">
        <f>DATE(2017,8,1)</f>
        <v>42948</v>
      </c>
      <c r="C59" s="21">
        <v>332551</v>
      </c>
      <c r="D59" s="21">
        <v>298389</v>
      </c>
      <c r="E59" s="23">
        <f>(+C59-D59)/D59</f>
        <v>0.11448813461622245</v>
      </c>
      <c r="F59" s="21">
        <f>+C59-143408</f>
        <v>189143</v>
      </c>
      <c r="G59" s="21">
        <f>+D59-153359</f>
        <v>145030</v>
      </c>
      <c r="H59" s="23">
        <f>(+F59-G59)/G59</f>
        <v>0.3041646555884989</v>
      </c>
      <c r="I59" s="24">
        <f>K59/C59</f>
        <v>37.33846450619605</v>
      </c>
      <c r="J59" s="24">
        <f>K59/F59</f>
        <v>65.64844435162814</v>
      </c>
      <c r="K59" s="21">
        <v>12416943.71</v>
      </c>
      <c r="L59" s="21">
        <v>10752916.18</v>
      </c>
      <c r="M59" s="25">
        <f>(+K59-L59)/L59</f>
        <v>0.15475127882936787</v>
      </c>
      <c r="N59" s="10"/>
      <c r="R59" s="2"/>
    </row>
    <row r="60" spans="1:18" ht="15.75" customHeight="1">
      <c r="A60" s="19"/>
      <c r="B60" s="20">
        <f>DATE(2017,9,1)</f>
        <v>42979</v>
      </c>
      <c r="C60" s="21">
        <v>334430</v>
      </c>
      <c r="D60" s="21">
        <v>290533</v>
      </c>
      <c r="E60" s="23">
        <f>(+C60-D60)/D60</f>
        <v>0.1510912701827331</v>
      </c>
      <c r="F60" s="21">
        <f>+C60-144819</f>
        <v>189611</v>
      </c>
      <c r="G60" s="21">
        <f>+D60-140086</f>
        <v>150447</v>
      </c>
      <c r="H60" s="23">
        <f>(+F60-G60)/G60</f>
        <v>0.2603175869242989</v>
      </c>
      <c r="I60" s="24">
        <f>K60/C60</f>
        <v>35.36166635768322</v>
      </c>
      <c r="J60" s="24">
        <f>K60/F60</f>
        <v>62.369810190337056</v>
      </c>
      <c r="K60" s="21">
        <v>11826002.08</v>
      </c>
      <c r="L60" s="21">
        <v>10750831.65</v>
      </c>
      <c r="M60" s="25">
        <f>(+K60-L60)/L60</f>
        <v>0.1000081170464612</v>
      </c>
      <c r="N60" s="10"/>
      <c r="R60" s="2"/>
    </row>
    <row r="61" spans="1:18" ht="15.75" customHeight="1">
      <c r="A61" s="19"/>
      <c r="B61" s="20">
        <f>DATE(2017,10,1)</f>
        <v>43009</v>
      </c>
      <c r="C61" s="21">
        <v>316872</v>
      </c>
      <c r="D61" s="21">
        <v>286936</v>
      </c>
      <c r="E61" s="23">
        <f>(+C61-D61)/D61</f>
        <v>0.1043298854099869</v>
      </c>
      <c r="F61" s="21">
        <f>+C61-140051</f>
        <v>176821</v>
      </c>
      <c r="G61" s="21">
        <f>+D61-138638</f>
        <v>148298</v>
      </c>
      <c r="H61" s="23">
        <f>(+F61-G61)/G61</f>
        <v>0.192335702436985</v>
      </c>
      <c r="I61" s="24">
        <f>K61/C61</f>
        <v>35.33347834456815</v>
      </c>
      <c r="J61" s="24">
        <f>K61/F61</f>
        <v>63.31934527007538</v>
      </c>
      <c r="K61" s="21">
        <v>11196189.95</v>
      </c>
      <c r="L61" s="21">
        <v>10577310.14</v>
      </c>
      <c r="M61" s="25">
        <f>(+K61-L61)/L61</f>
        <v>0.05851013176399105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SUM(C58:C62)</f>
        <v>1384769</v>
      </c>
      <c r="D63" s="41">
        <f>SUM(D58:D62)</f>
        <v>1195179</v>
      </c>
      <c r="E63" s="280">
        <f>(+C63-D63)/D63</f>
        <v>0.15862895850747044</v>
      </c>
      <c r="F63" s="41">
        <f>SUM(F58:F62)</f>
        <v>767219</v>
      </c>
      <c r="G63" s="41">
        <f>SUM(G58:G62)</f>
        <v>610334</v>
      </c>
      <c r="H63" s="42">
        <f>(+F63-G63)/G63</f>
        <v>0.25704778039565224</v>
      </c>
      <c r="I63" s="43">
        <f>K63/C63</f>
        <v>34.64158741999569</v>
      </c>
      <c r="J63" s="43">
        <f>K63/F63</f>
        <v>62.52529769205403</v>
      </c>
      <c r="K63" s="41">
        <f>SUM(K58:K62)</f>
        <v>47970596.370000005</v>
      </c>
      <c r="L63" s="41">
        <f>SUM(L58:L62)</f>
        <v>43538064.38</v>
      </c>
      <c r="M63" s="44">
        <f>(+K63-L63)/L63</f>
        <v>0.10180820055096813</v>
      </c>
      <c r="N63" s="10"/>
      <c r="R63" s="2"/>
    </row>
    <row r="64" spans="1:18" ht="15.75" customHeight="1" thickTop="1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>
      <c r="A65" s="19" t="s">
        <v>18</v>
      </c>
      <c r="B65" s="20">
        <f>DATE(2017,7,1)</f>
        <v>42917</v>
      </c>
      <c r="C65" s="21">
        <v>402324</v>
      </c>
      <c r="D65" s="21">
        <v>443593</v>
      </c>
      <c r="E65" s="23">
        <f>(+C65-D65)/D65</f>
        <v>-0.09303347888717811</v>
      </c>
      <c r="F65" s="21">
        <f>+C65-196212</f>
        <v>206112</v>
      </c>
      <c r="G65" s="21">
        <f>+D65-216102</f>
        <v>227491</v>
      </c>
      <c r="H65" s="23">
        <f>(+F65-G65)/G65</f>
        <v>-0.09397734415867001</v>
      </c>
      <c r="I65" s="24">
        <f>K65/C65</f>
        <v>40.6170578190712</v>
      </c>
      <c r="J65" s="24">
        <f>K65/F65</f>
        <v>79.28319151723335</v>
      </c>
      <c r="K65" s="21">
        <v>16341217.17</v>
      </c>
      <c r="L65" s="21">
        <v>16992668.91</v>
      </c>
      <c r="M65" s="25">
        <f>(+K65-L65)/L65</f>
        <v>-0.03833722315489994</v>
      </c>
      <c r="N65" s="10"/>
      <c r="R65" s="2"/>
    </row>
    <row r="66" spans="1:18" ht="15.75" customHeight="1">
      <c r="A66" s="19"/>
      <c r="B66" s="20">
        <f>DATE(2017,8,1)</f>
        <v>42948</v>
      </c>
      <c r="C66" s="21">
        <v>379939</v>
      </c>
      <c r="D66" s="21">
        <v>403931</v>
      </c>
      <c r="E66" s="23">
        <f>(+C66-D66)/D66</f>
        <v>-0.05939628302853705</v>
      </c>
      <c r="F66" s="21">
        <f>+C66-185707</f>
        <v>194232</v>
      </c>
      <c r="G66" s="21">
        <f>+D66-196405</f>
        <v>207526</v>
      </c>
      <c r="H66" s="23">
        <f>(+F66-G66)/G66</f>
        <v>-0.06405944315411082</v>
      </c>
      <c r="I66" s="24">
        <f>K66/C66</f>
        <v>40.309828814625504</v>
      </c>
      <c r="J66" s="24">
        <f>K66/F66</f>
        <v>78.85042655175255</v>
      </c>
      <c r="K66" s="21">
        <v>15315276.05</v>
      </c>
      <c r="L66" s="21">
        <v>15920732.62</v>
      </c>
      <c r="M66" s="25">
        <f>(+K66-L66)/L66</f>
        <v>-0.03802944151196972</v>
      </c>
      <c r="N66" s="10"/>
      <c r="R66" s="2"/>
    </row>
    <row r="67" spans="1:18" ht="15.75" customHeight="1">
      <c r="A67" s="19"/>
      <c r="B67" s="20">
        <f>DATE(2017,9,1)</f>
        <v>42979</v>
      </c>
      <c r="C67" s="21">
        <v>384589</v>
      </c>
      <c r="D67" s="21">
        <v>412152</v>
      </c>
      <c r="E67" s="23">
        <f>(+C67-D67)/D67</f>
        <v>-0.0668758128069256</v>
      </c>
      <c r="F67" s="21">
        <f>+C67-186927</f>
        <v>197662</v>
      </c>
      <c r="G67" s="21">
        <f>+D67-198762</f>
        <v>213390</v>
      </c>
      <c r="H67" s="23">
        <f>(+F67-G67)/G67</f>
        <v>-0.07370542199728197</v>
      </c>
      <c r="I67" s="24">
        <f>K67/C67</f>
        <v>41.69974879676746</v>
      </c>
      <c r="J67" s="24">
        <f>K67/F67</f>
        <v>81.13478913498801</v>
      </c>
      <c r="K67" s="21">
        <v>16037264.69</v>
      </c>
      <c r="L67" s="21">
        <v>15877918.01</v>
      </c>
      <c r="M67" s="25">
        <f>(+K67-L67)/L67</f>
        <v>0.010035741455500796</v>
      </c>
      <c r="N67" s="10"/>
      <c r="R67" s="2"/>
    </row>
    <row r="68" spans="1:18" ht="15.75" customHeight="1">
      <c r="A68" s="19"/>
      <c r="B68" s="20">
        <f>DATE(2017,10,1)</f>
        <v>43009</v>
      </c>
      <c r="C68" s="21">
        <v>373059</v>
      </c>
      <c r="D68" s="21">
        <v>416520</v>
      </c>
      <c r="E68" s="23">
        <f>(+C68-D68)/D68</f>
        <v>-0.10434312878133103</v>
      </c>
      <c r="F68" s="21">
        <f>+C68-186100</f>
        <v>186959</v>
      </c>
      <c r="G68" s="21">
        <f>+D68-200772</f>
        <v>215748</v>
      </c>
      <c r="H68" s="23">
        <f>(+F68-G68)/G68</f>
        <v>-0.13343808517344308</v>
      </c>
      <c r="I68" s="24">
        <f>K68/C68</f>
        <v>40.919699189672414</v>
      </c>
      <c r="J68" s="24">
        <f>K68/F68</f>
        <v>81.6513891280976</v>
      </c>
      <c r="K68" s="21">
        <v>15265462.06</v>
      </c>
      <c r="L68" s="21">
        <v>16320470.64</v>
      </c>
      <c r="M68" s="25">
        <f>(+K68-L68)/L68</f>
        <v>-0.06464326938061879</v>
      </c>
      <c r="N68" s="10"/>
      <c r="R68" s="2"/>
    </row>
    <row r="69" spans="1:18" ht="15.75" customHeight="1" thickBot="1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Bot="1" thickTop="1">
      <c r="A70" s="39" t="s">
        <v>14</v>
      </c>
      <c r="B70" s="40"/>
      <c r="C70" s="41">
        <f>SUM(C65:C69)</f>
        <v>1539911</v>
      </c>
      <c r="D70" s="41">
        <f>SUM(D65:D69)</f>
        <v>1676196</v>
      </c>
      <c r="E70" s="280">
        <f>(+C70-D70)/D70</f>
        <v>-0.08130612410481829</v>
      </c>
      <c r="F70" s="41">
        <f>SUM(F65:F69)</f>
        <v>784965</v>
      </c>
      <c r="G70" s="41">
        <f>SUM(G65:G69)</f>
        <v>864155</v>
      </c>
      <c r="H70" s="42">
        <f>(+F70-G70)/G70</f>
        <v>-0.09163865278798364</v>
      </c>
      <c r="I70" s="43">
        <f>K70/C70</f>
        <v>40.8849732029968</v>
      </c>
      <c r="J70" s="43">
        <f>K70/F70</f>
        <v>80.20640406897122</v>
      </c>
      <c r="K70" s="41">
        <f>SUM(K65:K69)</f>
        <v>62959219.97</v>
      </c>
      <c r="L70" s="41">
        <f>SUM(L65:L69)</f>
        <v>65111790.18</v>
      </c>
      <c r="M70" s="44">
        <f>(+K70-L70)/L70</f>
        <v>-0.033059607239322886</v>
      </c>
      <c r="N70" s="10"/>
      <c r="R70" s="2"/>
    </row>
    <row r="71" spans="1:18" ht="15.75" customHeight="1" thickTop="1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>
      <c r="A72" s="19" t="s">
        <v>58</v>
      </c>
      <c r="B72" s="20">
        <f>DATE(2017,7,1)</f>
        <v>42917</v>
      </c>
      <c r="C72" s="21">
        <v>487621</v>
      </c>
      <c r="D72" s="21">
        <v>530171</v>
      </c>
      <c r="E72" s="23">
        <f>(+C72-D72)/D72</f>
        <v>-0.08025712458810459</v>
      </c>
      <c r="F72" s="21">
        <f>+C72-237847</f>
        <v>249774</v>
      </c>
      <c r="G72" s="21">
        <f>+D72-255599</f>
        <v>274572</v>
      </c>
      <c r="H72" s="23">
        <f>(+F72-G72)/G72</f>
        <v>-0.09031510860539312</v>
      </c>
      <c r="I72" s="24">
        <f>K72/C72</f>
        <v>40.61489082709728</v>
      </c>
      <c r="J72" s="24">
        <f>K72/F72</f>
        <v>79.29037321738852</v>
      </c>
      <c r="K72" s="21">
        <v>19804673.68</v>
      </c>
      <c r="L72" s="21">
        <v>20026177.73</v>
      </c>
      <c r="M72" s="25">
        <f>(+K72-L72)/L72</f>
        <v>-0.011060725266019136</v>
      </c>
      <c r="N72" s="10"/>
      <c r="R72" s="2"/>
    </row>
    <row r="73" spans="1:18" ht="15.75" customHeight="1">
      <c r="A73" s="19"/>
      <c r="B73" s="20">
        <f>DATE(2017,8,1)</f>
        <v>42948</v>
      </c>
      <c r="C73" s="21">
        <v>450515</v>
      </c>
      <c r="D73" s="21">
        <v>452258</v>
      </c>
      <c r="E73" s="23">
        <f>(+C73-D73)/D73</f>
        <v>-0.00385399484365119</v>
      </c>
      <c r="F73" s="21">
        <f>+C73-212107</f>
        <v>238408</v>
      </c>
      <c r="G73" s="21">
        <f>+D73-201862</f>
        <v>250396</v>
      </c>
      <c r="H73" s="23">
        <f>(+F73-G73)/G73</f>
        <v>-0.04787616415597693</v>
      </c>
      <c r="I73" s="24">
        <f>K73/C73</f>
        <v>41.2676607216186</v>
      </c>
      <c r="J73" s="24">
        <f>K73/F73</f>
        <v>77.9827026358176</v>
      </c>
      <c r="K73" s="21">
        <v>18591700.17</v>
      </c>
      <c r="L73" s="21">
        <v>17792626.65</v>
      </c>
      <c r="M73" s="25">
        <f>(+K73-L73)/L73</f>
        <v>0.044910374152093126</v>
      </c>
      <c r="N73" s="10"/>
      <c r="R73" s="2"/>
    </row>
    <row r="74" spans="1:18" ht="15.75" customHeight="1">
      <c r="A74" s="19"/>
      <c r="B74" s="20">
        <f>DATE(2017,9,1)</f>
        <v>42979</v>
      </c>
      <c r="C74" s="21">
        <v>460886</v>
      </c>
      <c r="D74" s="21">
        <v>443833</v>
      </c>
      <c r="E74" s="23">
        <f>(+C74-D74)/D74</f>
        <v>0.03842210921675495</v>
      </c>
      <c r="F74" s="21">
        <f>+C74-224636</f>
        <v>236250</v>
      </c>
      <c r="G74" s="21">
        <f>+D74-215331</f>
        <v>228502</v>
      </c>
      <c r="H74" s="23">
        <f>(+F74-G74)/G74</f>
        <v>0.03390779949409633</v>
      </c>
      <c r="I74" s="24">
        <f>K74/C74</f>
        <v>40.61222109154975</v>
      </c>
      <c r="J74" s="24">
        <f>K74/F74</f>
        <v>79.22795398941798</v>
      </c>
      <c r="K74" s="21">
        <v>18717604.13</v>
      </c>
      <c r="L74" s="21">
        <v>17971661.23</v>
      </c>
      <c r="M74" s="25">
        <f>(+K74-L74)/L74</f>
        <v>0.04150661925202551</v>
      </c>
      <c r="N74" s="10"/>
      <c r="R74" s="2"/>
    </row>
    <row r="75" spans="1:18" ht="15.75" customHeight="1">
      <c r="A75" s="19"/>
      <c r="B75" s="20">
        <f>DATE(2017,10,1)</f>
        <v>43009</v>
      </c>
      <c r="C75" s="21">
        <v>417011</v>
      </c>
      <c r="D75" s="21">
        <v>470107</v>
      </c>
      <c r="E75" s="23">
        <f>(+C75-D75)/D75</f>
        <v>-0.11294449986917872</v>
      </c>
      <c r="F75" s="21">
        <f>+C75-199528</f>
        <v>217483</v>
      </c>
      <c r="G75" s="21">
        <f>+D75-226355</f>
        <v>243752</v>
      </c>
      <c r="H75" s="23">
        <f>(+F75-G75)/G75</f>
        <v>-0.10776937214874134</v>
      </c>
      <c r="I75" s="24">
        <f>K75/C75</f>
        <v>42.63090477229618</v>
      </c>
      <c r="J75" s="24">
        <f>K75/F75</f>
        <v>81.74227976439538</v>
      </c>
      <c r="K75" s="21">
        <v>17777556.23</v>
      </c>
      <c r="L75" s="21">
        <v>19212522.4</v>
      </c>
      <c r="M75" s="25">
        <f>(+K75-L75)/L75</f>
        <v>-0.07468910849519676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SUM(C72:C76)</f>
        <v>1816033</v>
      </c>
      <c r="D77" s="41">
        <f>SUM(D72:D76)</f>
        <v>1896369</v>
      </c>
      <c r="E77" s="280">
        <f>(+C77-D77)/D77</f>
        <v>-0.042363063306772045</v>
      </c>
      <c r="F77" s="41">
        <f>SUM(F72:F76)</f>
        <v>941915</v>
      </c>
      <c r="G77" s="41">
        <f>SUM(G72:G76)</f>
        <v>997222</v>
      </c>
      <c r="H77" s="42">
        <f>(+F77-G77)/G77</f>
        <v>-0.05546107085483473</v>
      </c>
      <c r="I77" s="43">
        <f>K77/C77</f>
        <v>41.23908222482741</v>
      </c>
      <c r="J77" s="43">
        <f>K77/F77</f>
        <v>79.50986470116732</v>
      </c>
      <c r="K77" s="41">
        <f>SUM(K72:K76)</f>
        <v>74891534.21000001</v>
      </c>
      <c r="L77" s="41">
        <f>SUM(L72:L76)</f>
        <v>75002988.00999999</v>
      </c>
      <c r="M77" s="44">
        <f>(+K77-L77)/L77</f>
        <v>-0.0014859914645683479</v>
      </c>
      <c r="N77" s="10"/>
      <c r="R77" s="2"/>
    </row>
    <row r="78" spans="1:18" ht="15.75" customHeight="1" thickTop="1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>
      <c r="A79" s="19" t="s">
        <v>59</v>
      </c>
      <c r="B79" s="20">
        <f>DATE(2017,7,1)</f>
        <v>42917</v>
      </c>
      <c r="C79" s="21">
        <v>62927</v>
      </c>
      <c r="D79" s="21">
        <v>73310</v>
      </c>
      <c r="E79" s="23">
        <f>(+C79-D79)/D79</f>
        <v>-0.14163142818169416</v>
      </c>
      <c r="F79" s="21">
        <f>+C79-30201</f>
        <v>32726</v>
      </c>
      <c r="G79" s="21">
        <f>+D79-35214</f>
        <v>38096</v>
      </c>
      <c r="H79" s="23">
        <f>(+F79-G79)/G79</f>
        <v>-0.14095968080638388</v>
      </c>
      <c r="I79" s="24">
        <f>K79/C79</f>
        <v>46.5557015271664</v>
      </c>
      <c r="J79" s="24">
        <f>K79/F79</f>
        <v>89.51936166962048</v>
      </c>
      <c r="K79" s="21">
        <v>2929610.63</v>
      </c>
      <c r="L79" s="21">
        <v>3001887.38</v>
      </c>
      <c r="M79" s="25">
        <f>(+K79-L79)/L79</f>
        <v>-0.024077102452790884</v>
      </c>
      <c r="N79" s="10"/>
      <c r="R79" s="2"/>
    </row>
    <row r="80" spans="1:18" ht="15" customHeight="1">
      <c r="A80" s="19"/>
      <c r="B80" s="20">
        <f>DATE(2017,8,1)</f>
        <v>42948</v>
      </c>
      <c r="C80" s="21">
        <v>58528</v>
      </c>
      <c r="D80" s="21">
        <v>68681</v>
      </c>
      <c r="E80" s="23">
        <f>(+C80-D80)/D80</f>
        <v>-0.1478283659236179</v>
      </c>
      <c r="F80" s="21">
        <f>+C80-27538</f>
        <v>30990</v>
      </c>
      <c r="G80" s="21">
        <f>+D80-33144</f>
        <v>35537</v>
      </c>
      <c r="H80" s="23">
        <f>(+F80-G80)/G80</f>
        <v>-0.12795114950614853</v>
      </c>
      <c r="I80" s="24">
        <f>K80/C80</f>
        <v>45.66702706396938</v>
      </c>
      <c r="J80" s="24">
        <f>K80/F80</f>
        <v>86.24716876411745</v>
      </c>
      <c r="K80" s="21">
        <v>2672799.76</v>
      </c>
      <c r="L80" s="21">
        <v>2805830.16</v>
      </c>
      <c r="M80" s="25">
        <f>(+K80-L80)/L80</f>
        <v>-0.04741213559412319</v>
      </c>
      <c r="N80" s="10"/>
      <c r="R80" s="2"/>
    </row>
    <row r="81" spans="1:18" ht="15" customHeight="1">
      <c r="A81" s="19"/>
      <c r="B81" s="20">
        <f>DATE(2017,9,1)</f>
        <v>42979</v>
      </c>
      <c r="C81" s="21">
        <v>59418</v>
      </c>
      <c r="D81" s="21">
        <v>66932</v>
      </c>
      <c r="E81" s="23">
        <f>(+C81-D81)/D81</f>
        <v>-0.11226319249387438</v>
      </c>
      <c r="F81" s="21">
        <f>+C81-28421</f>
        <v>30997</v>
      </c>
      <c r="G81" s="21">
        <f>+D81-32466</f>
        <v>34466</v>
      </c>
      <c r="H81" s="23">
        <f>(+F81-G81)/G81</f>
        <v>-0.10064991585910753</v>
      </c>
      <c r="I81" s="24">
        <f>K81/C81</f>
        <v>46.52493638291427</v>
      </c>
      <c r="J81" s="24">
        <f>K81/F81</f>
        <v>89.18342646062521</v>
      </c>
      <c r="K81" s="21">
        <v>2764418.67</v>
      </c>
      <c r="L81" s="21">
        <v>2776425.81</v>
      </c>
      <c r="M81" s="25">
        <f>(+K81-L81)/L81</f>
        <v>-0.0043246752557743046</v>
      </c>
      <c r="N81" s="10"/>
      <c r="R81" s="2"/>
    </row>
    <row r="82" spans="1:18" ht="15" customHeight="1">
      <c r="A82" s="19"/>
      <c r="B82" s="20">
        <f>DATE(2017,10,1)</f>
        <v>43009</v>
      </c>
      <c r="C82" s="21">
        <v>52822</v>
      </c>
      <c r="D82" s="21">
        <v>66855</v>
      </c>
      <c r="E82" s="23">
        <f>(+C82-D82)/D82</f>
        <v>-0.20990202677436243</v>
      </c>
      <c r="F82" s="21">
        <f>+C82-24981</f>
        <v>27841</v>
      </c>
      <c r="G82" s="21">
        <f>+D82-32784</f>
        <v>34071</v>
      </c>
      <c r="H82" s="23">
        <f>(+F82-G82)/G82</f>
        <v>-0.18285345308326728</v>
      </c>
      <c r="I82" s="24">
        <f>K82/C82</f>
        <v>48.5411658021279</v>
      </c>
      <c r="J82" s="24">
        <f>K82/F82</f>
        <v>92.09588233181279</v>
      </c>
      <c r="K82" s="21">
        <v>2564041.46</v>
      </c>
      <c r="L82" s="21">
        <v>2823578.15</v>
      </c>
      <c r="M82" s="25">
        <f>(+K82-L82)/L82</f>
        <v>-0.09191765774218078</v>
      </c>
      <c r="N82" s="10"/>
      <c r="R82" s="2"/>
    </row>
    <row r="83" spans="1:18" ht="15.75" thickBot="1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Bot="1" thickTop="1">
      <c r="A84" s="62" t="s">
        <v>14</v>
      </c>
      <c r="B84" s="52"/>
      <c r="C84" s="48">
        <f>SUM(C79:C83)</f>
        <v>233695</v>
      </c>
      <c r="D84" s="48">
        <f>SUM(D79:D83)</f>
        <v>275778</v>
      </c>
      <c r="E84" s="280">
        <f>(+C84-D84)/D84</f>
        <v>-0.15259737905126589</v>
      </c>
      <c r="F84" s="48">
        <f>SUM(F79:F83)</f>
        <v>122554</v>
      </c>
      <c r="G84" s="48">
        <f>SUM(G79:G83)</f>
        <v>142170</v>
      </c>
      <c r="H84" s="42">
        <f>(+F84-G84)/G84</f>
        <v>-0.1379756629387353</v>
      </c>
      <c r="I84" s="50">
        <f>K84/C84</f>
        <v>46.77408810629239</v>
      </c>
      <c r="J84" s="50">
        <f>K84/F84</f>
        <v>89.19227866899489</v>
      </c>
      <c r="K84" s="48">
        <f>SUM(K79:K83)</f>
        <v>10930870.52</v>
      </c>
      <c r="L84" s="48">
        <f>SUM(L79:L83)</f>
        <v>11407721.5</v>
      </c>
      <c r="M84" s="44">
        <f>(+K84-L84)/L84</f>
        <v>-0.04180072067853344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>
      <c r="A86" s="19" t="s">
        <v>19</v>
      </c>
      <c r="B86" s="20">
        <f>DATE(2017,7,1)</f>
        <v>42917</v>
      </c>
      <c r="C86" s="21">
        <v>504680</v>
      </c>
      <c r="D86" s="21">
        <v>563540</v>
      </c>
      <c r="E86" s="23">
        <f>(+C86-D86)/D86</f>
        <v>-0.1044468893068815</v>
      </c>
      <c r="F86" s="21">
        <f>+C86-244835</f>
        <v>259845</v>
      </c>
      <c r="G86" s="21">
        <f>+D86-291099</f>
        <v>272441</v>
      </c>
      <c r="H86" s="23">
        <f>(+F86-G86)/G86</f>
        <v>-0.04623386347869814</v>
      </c>
      <c r="I86" s="24">
        <f>K86/C86</f>
        <v>47.030274470951895</v>
      </c>
      <c r="J86" s="24">
        <f>K86/F86</f>
        <v>91.34383544035869</v>
      </c>
      <c r="K86" s="21">
        <v>23735238.92</v>
      </c>
      <c r="L86" s="21">
        <v>23596498.81</v>
      </c>
      <c r="M86" s="25">
        <f>(+K86-L86)/L86</f>
        <v>0.005879690504813631</v>
      </c>
      <c r="N86" s="10"/>
      <c r="R86" s="2"/>
    </row>
    <row r="87" spans="1:18" ht="15.75">
      <c r="A87" s="19"/>
      <c r="B87" s="20">
        <f>DATE(2017,8,1)</f>
        <v>42948</v>
      </c>
      <c r="C87" s="21">
        <v>457330</v>
      </c>
      <c r="D87" s="21">
        <v>486709</v>
      </c>
      <c r="E87" s="23">
        <f>(+C87-D87)/D87</f>
        <v>-0.06036255750355962</v>
      </c>
      <c r="F87" s="21">
        <f>+C87-220324</f>
        <v>237006</v>
      </c>
      <c r="G87" s="21">
        <f>+D87-236659</f>
        <v>250050</v>
      </c>
      <c r="H87" s="23">
        <f>(+F87-G87)/G87</f>
        <v>-0.052165566886622675</v>
      </c>
      <c r="I87" s="24">
        <f>K87/C87</f>
        <v>46.80652019329587</v>
      </c>
      <c r="J87" s="24">
        <f>K87/F87</f>
        <v>90.31849775955038</v>
      </c>
      <c r="K87" s="21">
        <v>21406025.88</v>
      </c>
      <c r="L87" s="21">
        <v>20653783.03</v>
      </c>
      <c r="M87" s="25">
        <f>(+K87-L87)/L87</f>
        <v>0.0364215528413052</v>
      </c>
      <c r="N87" s="10"/>
      <c r="R87" s="2"/>
    </row>
    <row r="88" spans="1:18" ht="15.75">
      <c r="A88" s="19"/>
      <c r="B88" s="20">
        <f>DATE(2017,9,1)</f>
        <v>42979</v>
      </c>
      <c r="C88" s="21">
        <v>469827</v>
      </c>
      <c r="D88" s="21">
        <v>486459</v>
      </c>
      <c r="E88" s="23">
        <f>(+C88-D88)/D88</f>
        <v>-0.03418993173114281</v>
      </c>
      <c r="F88" s="21">
        <f>+C88-233445</f>
        <v>236382</v>
      </c>
      <c r="G88" s="21">
        <f>+D88-234302</f>
        <v>252157</v>
      </c>
      <c r="H88" s="23">
        <f>(+F88-G88)/G88</f>
        <v>-0.06256023033268955</v>
      </c>
      <c r="I88" s="24">
        <f>K88/C88</f>
        <v>46.83707909507116</v>
      </c>
      <c r="J88" s="24">
        <f>K88/F88</f>
        <v>93.09221666624362</v>
      </c>
      <c r="K88" s="21">
        <v>22005324.36</v>
      </c>
      <c r="L88" s="21">
        <v>21731947.99</v>
      </c>
      <c r="M88" s="25">
        <f>(+K88-L88)/L88</f>
        <v>0.012579469181768508</v>
      </c>
      <c r="N88" s="10"/>
      <c r="R88" s="2"/>
    </row>
    <row r="89" spans="1:18" ht="15.75">
      <c r="A89" s="19"/>
      <c r="B89" s="20">
        <f>DATE(2017,10,1)</f>
        <v>43009</v>
      </c>
      <c r="C89" s="21">
        <v>443959</v>
      </c>
      <c r="D89" s="21">
        <v>477593</v>
      </c>
      <c r="E89" s="23">
        <f>(+C89-D89)/D89</f>
        <v>-0.07042398025096683</v>
      </c>
      <c r="F89" s="21">
        <f>+C89-215005</f>
        <v>228954</v>
      </c>
      <c r="G89" s="21">
        <f>+D89-232483</f>
        <v>245110</v>
      </c>
      <c r="H89" s="23">
        <f>(+F89-G89)/G89</f>
        <v>-0.06591326343274448</v>
      </c>
      <c r="I89" s="24">
        <f>K89/C89</f>
        <v>47.42121524735392</v>
      </c>
      <c r="J89" s="24">
        <f>K89/F89</f>
        <v>91.95329760563257</v>
      </c>
      <c r="K89" s="21">
        <v>21053075.3</v>
      </c>
      <c r="L89" s="21">
        <v>21659363.64</v>
      </c>
      <c r="M89" s="25">
        <f>(+K89-L89)/L89</f>
        <v>-0.027991973821443254</v>
      </c>
      <c r="N89" s="10"/>
      <c r="R89" s="2"/>
    </row>
    <row r="90" spans="1:18" ht="15.75" thickBot="1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Bot="1" thickTop="1">
      <c r="A91" s="39" t="s">
        <v>14</v>
      </c>
      <c r="B91" s="40"/>
      <c r="C91" s="41">
        <f>SUM(C86:C90)</f>
        <v>1875796</v>
      </c>
      <c r="D91" s="41">
        <f>SUM(D86:D90)</f>
        <v>2014301</v>
      </c>
      <c r="E91" s="280">
        <f>(+C91-D91)/D91</f>
        <v>-0.06876082571571974</v>
      </c>
      <c r="F91" s="41">
        <f>SUM(F86:F90)</f>
        <v>962187</v>
      </c>
      <c r="G91" s="41">
        <f>SUM(G86:G90)</f>
        <v>1019758</v>
      </c>
      <c r="H91" s="42">
        <f>(+F91-G91)/G91</f>
        <v>-0.05645555121901471</v>
      </c>
      <c r="I91" s="43">
        <f>K91/C91</f>
        <v>47.01985954762671</v>
      </c>
      <c r="J91" s="43">
        <f>K91/F91</f>
        <v>91.66582427324417</v>
      </c>
      <c r="K91" s="41">
        <f>SUM(K86:K90)</f>
        <v>88199664.46</v>
      </c>
      <c r="L91" s="41">
        <f>SUM(L86:L90)</f>
        <v>87641593.47</v>
      </c>
      <c r="M91" s="44">
        <f>(+K91-L91)/L91</f>
        <v>0.006367649969657662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63</v>
      </c>
      <c r="B93" s="20">
        <f>DATE(2017,7,1)</f>
        <v>42917</v>
      </c>
      <c r="C93" s="21">
        <v>79906</v>
      </c>
      <c r="D93" s="21">
        <v>90995</v>
      </c>
      <c r="E93" s="23">
        <f>(+C93-D93)/D93</f>
        <v>-0.12186383867245452</v>
      </c>
      <c r="F93" s="21">
        <f>+C93-36860</f>
        <v>43046</v>
      </c>
      <c r="G93" s="21">
        <f>+D93-43310</f>
        <v>47685</v>
      </c>
      <c r="H93" s="23">
        <f>(+F93-G93)/G93</f>
        <v>-0.09728426129810212</v>
      </c>
      <c r="I93" s="24">
        <f>K93/C93</f>
        <v>41.48382036392761</v>
      </c>
      <c r="J93" s="24">
        <f>K93/F93</f>
        <v>77.00613645867212</v>
      </c>
      <c r="K93" s="21">
        <v>3314806.15</v>
      </c>
      <c r="L93" s="21">
        <v>3405161.57</v>
      </c>
      <c r="M93" s="25">
        <f>(+K93-L93)/L93</f>
        <v>-0.026534840753532858</v>
      </c>
      <c r="N93" s="10"/>
      <c r="R93" s="2"/>
    </row>
    <row r="94" spans="1:18" ht="15.75">
      <c r="A94" s="19"/>
      <c r="B94" s="20">
        <f>DATE(2017,8,1)</f>
        <v>42948</v>
      </c>
      <c r="C94" s="21">
        <v>79833</v>
      </c>
      <c r="D94" s="21">
        <v>81875</v>
      </c>
      <c r="E94" s="23">
        <f>(+C94-D94)/D94</f>
        <v>-0.024940458015267175</v>
      </c>
      <c r="F94" s="21">
        <f>+C94-35871</f>
        <v>43962</v>
      </c>
      <c r="G94" s="21">
        <f>+D94-38874</f>
        <v>43001</v>
      </c>
      <c r="H94" s="23">
        <f>(+F94-G94)/G94</f>
        <v>0.022348317480988814</v>
      </c>
      <c r="I94" s="24">
        <f>K94/C94</f>
        <v>40.51858166422407</v>
      </c>
      <c r="J94" s="24">
        <f>K94/F94</f>
        <v>73.5799083299213</v>
      </c>
      <c r="K94" s="21">
        <v>3234719.93</v>
      </c>
      <c r="L94" s="21">
        <v>3227442.54</v>
      </c>
      <c r="M94" s="25">
        <f>(+K94-L94)/L94</f>
        <v>0.002254847269875835</v>
      </c>
      <c r="N94" s="10"/>
      <c r="R94" s="2"/>
    </row>
    <row r="95" spans="1:18" ht="15.75">
      <c r="A95" s="19"/>
      <c r="B95" s="20">
        <f>DATE(2017,9,1)</f>
        <v>42979</v>
      </c>
      <c r="C95" s="21">
        <v>84353</v>
      </c>
      <c r="D95" s="21">
        <v>77996</v>
      </c>
      <c r="E95" s="23">
        <f>(+C95-D95)/D95</f>
        <v>0.08150417970152316</v>
      </c>
      <c r="F95" s="21">
        <f>+C95-38205</f>
        <v>46148</v>
      </c>
      <c r="G95" s="21">
        <f>+D95-37134</f>
        <v>40862</v>
      </c>
      <c r="H95" s="23">
        <f>(+F95-G95)/G95</f>
        <v>0.12936224364935636</v>
      </c>
      <c r="I95" s="24">
        <f>K95/C95</f>
        <v>41.11766030846562</v>
      </c>
      <c r="J95" s="24">
        <f>K95/F95</f>
        <v>75.15814336482622</v>
      </c>
      <c r="K95" s="21">
        <v>3468398</v>
      </c>
      <c r="L95" s="21">
        <v>3211171.21</v>
      </c>
      <c r="M95" s="25">
        <f>(+K95-L95)/L95</f>
        <v>0.08010372950497399</v>
      </c>
      <c r="N95" s="10"/>
      <c r="R95" s="2"/>
    </row>
    <row r="96" spans="1:18" ht="15.75">
      <c r="A96" s="19"/>
      <c r="B96" s="20">
        <f>DATE(2017,10,1)</f>
        <v>43009</v>
      </c>
      <c r="C96" s="21">
        <v>80014</v>
      </c>
      <c r="D96" s="21">
        <v>81415</v>
      </c>
      <c r="E96" s="23">
        <f>(+C96-D96)/D96</f>
        <v>-0.01720813117975803</v>
      </c>
      <c r="F96" s="21">
        <f>+C96-36610</f>
        <v>43404</v>
      </c>
      <c r="G96" s="21">
        <f>+D96-39008</f>
        <v>42407</v>
      </c>
      <c r="H96" s="23">
        <f>(+F96-G96)/G96</f>
        <v>0.02351026953097366</v>
      </c>
      <c r="I96" s="24">
        <f>K96/C96</f>
        <v>42.121276276651585</v>
      </c>
      <c r="J96" s="24">
        <f>K96/F96</f>
        <v>77.6493364666851</v>
      </c>
      <c r="K96" s="21">
        <v>3370291.8</v>
      </c>
      <c r="L96" s="21">
        <v>3237622.05</v>
      </c>
      <c r="M96" s="25">
        <f>(+K96-L96)/L96</f>
        <v>0.04097752855371121</v>
      </c>
      <c r="N96" s="10"/>
      <c r="R96" s="2"/>
    </row>
    <row r="97" spans="1:18" ht="15.75" thickBot="1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Bot="1" thickTop="1">
      <c r="A98" s="26" t="s">
        <v>14</v>
      </c>
      <c r="B98" s="27"/>
      <c r="C98" s="28">
        <f>SUM(C93:C97)</f>
        <v>324106</v>
      </c>
      <c r="D98" s="28">
        <f>SUM(D93:D97)</f>
        <v>332281</v>
      </c>
      <c r="E98" s="280">
        <f>(+C98-D98)/D98</f>
        <v>-0.024602670631182644</v>
      </c>
      <c r="F98" s="28">
        <f>SUM(F93:F97)</f>
        <v>176560</v>
      </c>
      <c r="G98" s="28">
        <f>SUM(G93:G97)</f>
        <v>173955</v>
      </c>
      <c r="H98" s="42">
        <f>(+F98-G98)/G98</f>
        <v>0.014975137248138886</v>
      </c>
      <c r="I98" s="43">
        <f>K98/C98</f>
        <v>41.30813955927999</v>
      </c>
      <c r="J98" s="43">
        <f>K98/F98</f>
        <v>75.82813706388762</v>
      </c>
      <c r="K98" s="28">
        <f>SUM(K93:K97)</f>
        <v>13388215.879999999</v>
      </c>
      <c r="L98" s="28">
        <f>SUM(L93:L97)</f>
        <v>13081397.370000001</v>
      </c>
      <c r="M98" s="44">
        <f>(+K98-L98)/L98</f>
        <v>0.02345456691833511</v>
      </c>
      <c r="N98" s="10"/>
      <c r="R98" s="2"/>
    </row>
    <row r="99" spans="1:18" ht="16.5" thickBot="1" thickTop="1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Bot="1" thickTop="1">
      <c r="A100" s="64" t="s">
        <v>20</v>
      </c>
      <c r="B100" s="65"/>
      <c r="C100" s="28">
        <f>C98+C91+C42+C56+C63+C28+C14+C70+C77+C35+C84+C21+C49</f>
        <v>13509864</v>
      </c>
      <c r="D100" s="28">
        <f>D98+D91+D42+D56+D63+D28+D14+D70+D77+D35+D84+D21+D49</f>
        <v>13938541</v>
      </c>
      <c r="E100" s="279">
        <f>(+C100-D100)/D100</f>
        <v>-0.030754797076681124</v>
      </c>
      <c r="F100" s="28">
        <f>F98+F91+F42+F56+F63+F28+F14+F70+F77+F35+F84+F21+F49</f>
        <v>7015738</v>
      </c>
      <c r="G100" s="28">
        <f>G98+G91+G42+G56+G63+G28+G14+G70+G77+G35+G84+G21+G49</f>
        <v>7156792</v>
      </c>
      <c r="H100" s="30">
        <f>(+F100-G100)/G100</f>
        <v>-0.01970910989169449</v>
      </c>
      <c r="I100" s="31">
        <f>K100/C100</f>
        <v>42.872987806538994</v>
      </c>
      <c r="J100" s="31">
        <f>K100/F100</f>
        <v>82.55841859259854</v>
      </c>
      <c r="K100" s="28">
        <f>K98+K91+K42+K56+K63+K28+K14+K70+K77+K35+K84+K21+K49</f>
        <v>579208234.5400001</v>
      </c>
      <c r="L100" s="28">
        <f>L98+L91+L42+L56+L63+L28+L14+L70+L77+L35+L84+L21+L49</f>
        <v>571646787.43</v>
      </c>
      <c r="M100" s="32">
        <f>(+K100-L100)/L100</f>
        <v>0.013227481158417351</v>
      </c>
      <c r="N100" s="10"/>
      <c r="R100" s="2"/>
    </row>
    <row r="101" spans="1:18" ht="17.25" thickBot="1" thickTop="1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Bot="1" thickTop="1">
      <c r="A102" s="64" t="s">
        <v>21</v>
      </c>
      <c r="B102" s="65"/>
      <c r="C102" s="28">
        <f>+C12+C19+C26+C33+C40+C47+C54+C61+C68+C75+C82+C89+C96</f>
        <v>3190455</v>
      </c>
      <c r="D102" s="28">
        <f>+D12+D19+D26+D33+D40+D47+D54+D61+D68+D75+D82+D89+D96</f>
        <v>3361540</v>
      </c>
      <c r="E102" s="279">
        <f>(+C102-D102)/D102</f>
        <v>-0.05089482796575379</v>
      </c>
      <c r="F102" s="28">
        <f>+F12+F19+F26+F33+F40+F47+F54+F61+F68+F75+F82+F89+F96</f>
        <v>1655160</v>
      </c>
      <c r="G102" s="28">
        <f>+G12+G19+G26+G33+G40+G47+G54+G61+G68+G75+G82+G89+G96</f>
        <v>1720967</v>
      </c>
      <c r="H102" s="30">
        <f>(+F102-G102)/G102</f>
        <v>-0.038238385744758616</v>
      </c>
      <c r="I102" s="31">
        <f>K102/C102</f>
        <v>42.95192265053104</v>
      </c>
      <c r="J102" s="31">
        <f>K102/F102</f>
        <v>82.79331084608134</v>
      </c>
      <c r="K102" s="28">
        <f>+K12+K19+K26+K33+K40+K47+K54+K61+K68+K75+K82+K89+K96</f>
        <v>137036176.38</v>
      </c>
      <c r="L102" s="28">
        <f>+L12+L19+L26+L33+L40+L47+L54+L61+L68+L75+L82+L89+L96</f>
        <v>141225929.91000003</v>
      </c>
      <c r="M102" s="44">
        <f>(+K102-L102)/L102</f>
        <v>-0.02966702738420673</v>
      </c>
      <c r="N102" s="10"/>
      <c r="R102" s="2"/>
    </row>
    <row r="103" spans="1:18" ht="15.75" thickTop="1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>
      <c r="A104" s="264" t="s">
        <v>22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ht="15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ht="15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16.21484375" style="80" customWidth="1"/>
    <col min="5" max="5" width="13.6640625" style="80" customWidth="1"/>
    <col min="6" max="6" width="14.3359375" style="80" customWidth="1"/>
    <col min="7" max="7" width="21.4453125" style="80" customWidth="1"/>
    <col min="8" max="8" width="17.88671875" style="80" customWidth="1"/>
    <col min="9" max="9" width="15.44531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53125" style="80" customWidth="1"/>
    <col min="15" max="15" width="13.8867187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23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71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24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25</v>
      </c>
      <c r="P6" s="83"/>
    </row>
    <row r="7" spans="1:16" ht="15.75">
      <c r="A7" s="105" t="s">
        <v>26</v>
      </c>
      <c r="B7" s="84" t="s">
        <v>13</v>
      </c>
      <c r="C7" s="84" t="s">
        <v>15</v>
      </c>
      <c r="D7" s="84" t="s">
        <v>56</v>
      </c>
      <c r="E7" s="275" t="s">
        <v>62</v>
      </c>
      <c r="F7" s="84" t="s">
        <v>16</v>
      </c>
      <c r="G7" s="84" t="s">
        <v>61</v>
      </c>
      <c r="H7" s="84" t="s">
        <v>17</v>
      </c>
      <c r="I7" s="84" t="s">
        <v>55</v>
      </c>
      <c r="J7" s="84" t="s">
        <v>27</v>
      </c>
      <c r="K7" s="84" t="s">
        <v>57</v>
      </c>
      <c r="L7" s="84" t="s">
        <v>53</v>
      </c>
      <c r="M7" s="84" t="s">
        <v>19</v>
      </c>
      <c r="N7" s="84" t="s">
        <v>54</v>
      </c>
      <c r="O7" s="84" t="s">
        <v>28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DATE(2017,7,1)</f>
        <v>42917</v>
      </c>
      <c r="B10" s="89">
        <f>'MONTHLY STATS'!$C$9*2</f>
        <v>590094</v>
      </c>
      <c r="C10" s="89">
        <f>'MONTHLY STATS'!$C$16*2</f>
        <v>308970</v>
      </c>
      <c r="D10" s="89">
        <f>'MONTHLY STATS'!$C$23*2</f>
        <v>149754</v>
      </c>
      <c r="E10" s="89">
        <f>'MONTHLY STATS'!$C$30*2</f>
        <v>1005414</v>
      </c>
      <c r="F10" s="89">
        <f>'MONTHLY STATS'!$C$37*2</f>
        <v>664254</v>
      </c>
      <c r="G10" s="89">
        <f>'MONTHLY STATS'!$C$44*2</f>
        <v>311360</v>
      </c>
      <c r="H10" s="89">
        <f>'MONTHLY STATS'!$C$51*2</f>
        <v>353238</v>
      </c>
      <c r="I10" s="89">
        <f>'MONTHLY STATS'!$C$58*2</f>
        <v>801832</v>
      </c>
      <c r="J10" s="89">
        <f>'MONTHLY STATS'!$C$65*2</f>
        <v>804648</v>
      </c>
      <c r="K10" s="89">
        <f>'MONTHLY STATS'!$C$72*2</f>
        <v>975242</v>
      </c>
      <c r="L10" s="89">
        <f>'MONTHLY STATS'!$C$79*2</f>
        <v>125854</v>
      </c>
      <c r="M10" s="89">
        <f>'MONTHLY STATS'!$C$86*2</f>
        <v>1009360</v>
      </c>
      <c r="N10" s="89">
        <f>'MONTHLY STATS'!$C$93*2</f>
        <v>159812</v>
      </c>
      <c r="O10" s="90">
        <f>SUM(B10:N10)</f>
        <v>7259832</v>
      </c>
      <c r="P10" s="83"/>
    </row>
    <row r="11" spans="1:16" ht="15.75">
      <c r="A11" s="88">
        <f>DATE(2017,8,1)</f>
        <v>42948</v>
      </c>
      <c r="B11" s="89">
        <f>'MONTHLY STATS'!$C$10*2</f>
        <v>537376</v>
      </c>
      <c r="C11" s="89">
        <f>'MONTHLY STATS'!$C$17*2</f>
        <v>293770</v>
      </c>
      <c r="D11" s="89">
        <f>'MONTHLY STATS'!$C$24*2</f>
        <v>134350</v>
      </c>
      <c r="E11" s="89">
        <f>'MONTHLY STATS'!$C$31*2</f>
        <v>906982</v>
      </c>
      <c r="F11" s="89">
        <f>'MONTHLY STATS'!$C$38*2</f>
        <v>636920</v>
      </c>
      <c r="G11" s="89">
        <f>'MONTHLY STATS'!$C$45*2</f>
        <v>274594</v>
      </c>
      <c r="H11" s="89">
        <f>'MONTHLY STATS'!$C$52*2</f>
        <v>333204</v>
      </c>
      <c r="I11" s="89">
        <f>'MONTHLY STATS'!$C$59*2</f>
        <v>665102</v>
      </c>
      <c r="J11" s="89">
        <f>'MONTHLY STATS'!$C$66*2</f>
        <v>759878</v>
      </c>
      <c r="K11" s="89">
        <f>'MONTHLY STATS'!$C$73*2</f>
        <v>901030</v>
      </c>
      <c r="L11" s="89">
        <f>'MONTHLY STATS'!$C$80*2</f>
        <v>117056</v>
      </c>
      <c r="M11" s="89">
        <f>'MONTHLY STATS'!$C$87*2</f>
        <v>914660</v>
      </c>
      <c r="N11" s="89">
        <f>'MONTHLY STATS'!$C$94*2</f>
        <v>159666</v>
      </c>
      <c r="O11" s="90">
        <f>SUM(B11:N11)</f>
        <v>6634588</v>
      </c>
      <c r="P11" s="83"/>
    </row>
    <row r="12" spans="1:16" ht="15.75">
      <c r="A12" s="88">
        <f>DATE(2017,9,1)</f>
        <v>42979</v>
      </c>
      <c r="B12" s="89">
        <f>'MONTHLY STATS'!$C$11*2</f>
        <v>561632</v>
      </c>
      <c r="C12" s="89">
        <f>'MONTHLY STATS'!$C$18*2</f>
        <v>295582</v>
      </c>
      <c r="D12" s="89">
        <f>'MONTHLY STATS'!$C$25*2</f>
        <v>139808</v>
      </c>
      <c r="E12" s="89">
        <f>'MONTHLY STATS'!$C$32*2</f>
        <v>880756</v>
      </c>
      <c r="F12" s="89">
        <f>'MONTHLY STATS'!$C$39*2</f>
        <v>638232</v>
      </c>
      <c r="G12" s="89">
        <f>'MONTHLY STATS'!$C$46*2</f>
        <v>302994</v>
      </c>
      <c r="H12" s="89">
        <f>'MONTHLY STATS'!$C$53*2</f>
        <v>338388</v>
      </c>
      <c r="I12" s="89">
        <f>'MONTHLY STATS'!$C$60*2</f>
        <v>668860</v>
      </c>
      <c r="J12" s="89">
        <f>'MONTHLY STATS'!$C$67*2</f>
        <v>769178</v>
      </c>
      <c r="K12" s="89">
        <f>'MONTHLY STATS'!$C$74*2</f>
        <v>921772</v>
      </c>
      <c r="L12" s="89">
        <f>'MONTHLY STATS'!$C$81*2</f>
        <v>118836</v>
      </c>
      <c r="M12" s="89">
        <f>'MONTHLY STATS'!$C$88*2</f>
        <v>939654</v>
      </c>
      <c r="N12" s="89">
        <f>'MONTHLY STATS'!$C$95*2</f>
        <v>168706</v>
      </c>
      <c r="O12" s="90">
        <f>SUM(B12:N12)</f>
        <v>6744398</v>
      </c>
      <c r="P12" s="83"/>
    </row>
    <row r="13" spans="1:16" ht="15.75">
      <c r="A13" s="88">
        <f>DATE(2017,10,1)</f>
        <v>43009</v>
      </c>
      <c r="B13" s="89">
        <f>'MONTHLY STATS'!$C$12*2</f>
        <v>533626</v>
      </c>
      <c r="C13" s="89">
        <f>'MONTHLY STATS'!$C$19*2</f>
        <v>275400</v>
      </c>
      <c r="D13" s="89">
        <f>'MONTHLY STATS'!$C$26*2</f>
        <v>127260</v>
      </c>
      <c r="E13" s="89">
        <f>'MONTHLY STATS'!$C$33*2</f>
        <v>839426</v>
      </c>
      <c r="F13" s="89">
        <f>'MONTHLY STATS'!$C$40*2</f>
        <v>614650</v>
      </c>
      <c r="G13" s="89">
        <f>'MONTHLY STATS'!$C$47*2</f>
        <v>287540</v>
      </c>
      <c r="H13" s="89">
        <f>'MONTHLY STATS'!$C$54*2</f>
        <v>335534</v>
      </c>
      <c r="I13" s="89">
        <f>'MONTHLY STATS'!$C$61*2</f>
        <v>633744</v>
      </c>
      <c r="J13" s="89">
        <f>'MONTHLY STATS'!$C$68*2</f>
        <v>746118</v>
      </c>
      <c r="K13" s="89">
        <f>'MONTHLY STATS'!$C$75*2</f>
        <v>834022</v>
      </c>
      <c r="L13" s="89">
        <f>'MONTHLY STATS'!$C$82*2</f>
        <v>105644</v>
      </c>
      <c r="M13" s="89">
        <f>'MONTHLY STATS'!$C$89*2</f>
        <v>887918</v>
      </c>
      <c r="N13" s="89">
        <f>'MONTHLY STATS'!$C$96*2</f>
        <v>160028</v>
      </c>
      <c r="O13" s="90">
        <f>SUM(B13:N13)</f>
        <v>6380910</v>
      </c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29</v>
      </c>
      <c r="B23" s="90">
        <f aca="true" t="shared" si="0" ref="B23:O23">SUM(B10:B21)</f>
        <v>2222728</v>
      </c>
      <c r="C23" s="90">
        <f t="shared" si="0"/>
        <v>1173722</v>
      </c>
      <c r="D23" s="90">
        <f t="shared" si="0"/>
        <v>551172</v>
      </c>
      <c r="E23" s="90">
        <f t="shared" si="0"/>
        <v>3632578</v>
      </c>
      <c r="F23" s="90">
        <f t="shared" si="0"/>
        <v>2554056</v>
      </c>
      <c r="G23" s="90">
        <f>SUM(G10:G21)</f>
        <v>1176488</v>
      </c>
      <c r="H23" s="90">
        <f t="shared" si="0"/>
        <v>1360364</v>
      </c>
      <c r="I23" s="90">
        <f>SUM(I10:I21)</f>
        <v>2769538</v>
      </c>
      <c r="J23" s="90">
        <f t="shared" si="0"/>
        <v>3079822</v>
      </c>
      <c r="K23" s="90">
        <f>SUM(K10:K21)</f>
        <v>3632066</v>
      </c>
      <c r="L23" s="90">
        <f t="shared" si="0"/>
        <v>467390</v>
      </c>
      <c r="M23" s="90">
        <f t="shared" si="0"/>
        <v>3751592</v>
      </c>
      <c r="N23" s="90">
        <f t="shared" si="0"/>
        <v>648212</v>
      </c>
      <c r="O23" s="90">
        <f t="shared" si="0"/>
        <v>27019728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30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25</v>
      </c>
      <c r="P27" s="83"/>
    </row>
    <row r="28" spans="1:16" ht="15.75">
      <c r="A28" s="105" t="s">
        <v>26</v>
      </c>
      <c r="B28" s="84" t="s">
        <v>13</v>
      </c>
      <c r="C28" s="84" t="s">
        <v>15</v>
      </c>
      <c r="D28" s="84" t="s">
        <v>56</v>
      </c>
      <c r="E28" s="275" t="s">
        <v>62</v>
      </c>
      <c r="F28" s="84" t="s">
        <v>16</v>
      </c>
      <c r="G28" s="84" t="s">
        <v>61</v>
      </c>
      <c r="H28" s="84" t="s">
        <v>17</v>
      </c>
      <c r="I28" s="84" t="s">
        <v>55</v>
      </c>
      <c r="J28" s="84" t="s">
        <v>27</v>
      </c>
      <c r="K28" s="106" t="s">
        <v>57</v>
      </c>
      <c r="L28" s="106" t="s">
        <v>53</v>
      </c>
      <c r="M28" s="106" t="s">
        <v>19</v>
      </c>
      <c r="N28" s="106" t="s">
        <v>54</v>
      </c>
      <c r="O28" s="106" t="s">
        <v>28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DATE(2017,7,1)</f>
        <v>42917</v>
      </c>
      <c r="B31" s="89">
        <f>'MONTHLY STATS'!$K$9*0.21</f>
        <v>2970224.3633999997</v>
      </c>
      <c r="C31" s="89">
        <f>'MONTHLY STATS'!$K$16*0.21</f>
        <v>1567383.342</v>
      </c>
      <c r="D31" s="89">
        <f>'MONTHLY STATS'!$K$23*0.21</f>
        <v>689184.5604000001</v>
      </c>
      <c r="E31" s="89">
        <f>'MONTHLY STATS'!$K$30*0.21</f>
        <v>4460600.505899999</v>
      </c>
      <c r="F31" s="89">
        <f>'MONTHLY STATS'!$K$37*0.21</f>
        <v>3566987.9028</v>
      </c>
      <c r="G31" s="89">
        <f>'MONTHLY STATS'!$K$44*0.21</f>
        <v>1196258.2758</v>
      </c>
      <c r="H31" s="89">
        <f>'MONTHLY STATS'!$K$51*0.21</f>
        <v>1299852.3132</v>
      </c>
      <c r="I31" s="89">
        <f>'MONTHLY STATS'!$K$58*0.21</f>
        <v>2631606.7323000003</v>
      </c>
      <c r="J31" s="89">
        <f>'MONTHLY STATS'!$K$65*0.21</f>
        <v>3431655.6056999997</v>
      </c>
      <c r="K31" s="89">
        <f>'MONTHLY STATS'!$K$72*0.21</f>
        <v>4158981.4727999996</v>
      </c>
      <c r="L31" s="89">
        <f>'MONTHLY STATS'!$K$79*0.21</f>
        <v>615218.2322999999</v>
      </c>
      <c r="M31" s="89">
        <f>'MONTHLY STATS'!$K$86*0.21</f>
        <v>4984400.1732</v>
      </c>
      <c r="N31" s="89">
        <f>'MONTHLY STATS'!$K$93*0.21</f>
        <v>696109.2914999999</v>
      </c>
      <c r="O31" s="90">
        <f>SUM(B31:N31)</f>
        <v>32268462.771299995</v>
      </c>
      <c r="P31" s="83"/>
    </row>
    <row r="32" spans="1:16" ht="15.75">
      <c r="A32" s="88">
        <f>DATE(2017,8,1)</f>
        <v>42948</v>
      </c>
      <c r="B32" s="89">
        <f>'MONTHLY STATS'!$K$10*0.21</f>
        <v>2730005.7833999996</v>
      </c>
      <c r="C32" s="89">
        <f>'MONTHLY STATS'!$K$17*0.21</f>
        <v>1446273.2151</v>
      </c>
      <c r="D32" s="89">
        <f>'MONTHLY STATS'!$K$24*0.21</f>
        <v>611950.0989</v>
      </c>
      <c r="E32" s="89">
        <f>'MONTHLY STATS'!$K$31*0.21</f>
        <v>4148072.1324</v>
      </c>
      <c r="F32" s="89">
        <f>'MONTHLY STATS'!$K$38*0.21</f>
        <v>3271380.7266</v>
      </c>
      <c r="G32" s="89">
        <f>'MONTHLY STATS'!$K$45*0.21</f>
        <v>1080196.9437</v>
      </c>
      <c r="H32" s="89">
        <f>'MONTHLY STATS'!$K$52*0.21</f>
        <v>1241678.1993</v>
      </c>
      <c r="I32" s="89">
        <f>'MONTHLY STATS'!$K$59*0.21</f>
        <v>2607558.1791000003</v>
      </c>
      <c r="J32" s="89">
        <f>'MONTHLY STATS'!$K$66*0.21</f>
        <v>3216207.9705</v>
      </c>
      <c r="K32" s="89">
        <f>'MONTHLY STATS'!$K$73*0.21</f>
        <v>3904257.0357000004</v>
      </c>
      <c r="L32" s="89">
        <f>'MONTHLY STATS'!$K$80*0.21</f>
        <v>561287.9495999999</v>
      </c>
      <c r="M32" s="89">
        <f>'MONTHLY STATS'!$K$87*0.21</f>
        <v>4495265.4348</v>
      </c>
      <c r="N32" s="89">
        <f>'MONTHLY STATS'!$K$94*0.21</f>
        <v>679291.1853</v>
      </c>
      <c r="O32" s="90">
        <f>SUM(B32:N32)</f>
        <v>29993424.8544</v>
      </c>
      <c r="P32" s="83"/>
    </row>
    <row r="33" spans="1:16" ht="15.75">
      <c r="A33" s="88">
        <f>DATE(2017,9,1)</f>
        <v>42979</v>
      </c>
      <c r="B33" s="89">
        <f>'MONTHLY STATS'!$K$11*0.21</f>
        <v>2851205.0889</v>
      </c>
      <c r="C33" s="89">
        <f>'MONTHLY STATS'!$K$18*0.21</f>
        <v>1403454.1689</v>
      </c>
      <c r="D33" s="89">
        <f>'MONTHLY STATS'!$K$25*0.21</f>
        <v>681119.3676</v>
      </c>
      <c r="E33" s="89">
        <f>'MONTHLY STATS'!$K$32*0.21</f>
        <v>4198608.9096</v>
      </c>
      <c r="F33" s="89">
        <f>'MONTHLY STATS'!$K$39*0.21</f>
        <v>3271438.7937</v>
      </c>
      <c r="G33" s="89">
        <f>'MONTHLY STATS'!$K$46*0.21</f>
        <v>1236655.9485</v>
      </c>
      <c r="H33" s="89">
        <f>'MONTHLY STATS'!$K$53*0.21</f>
        <v>1239769.8054</v>
      </c>
      <c r="I33" s="89">
        <f>'MONTHLY STATS'!$K$60*0.21</f>
        <v>2483460.4368</v>
      </c>
      <c r="J33" s="89">
        <f>'MONTHLY STATS'!$K$67*0.21</f>
        <v>3367825.5848999997</v>
      </c>
      <c r="K33" s="89">
        <f>'MONTHLY STATS'!$K$74*0.21</f>
        <v>3930696.8672999996</v>
      </c>
      <c r="L33" s="89">
        <f>'MONTHLY STATS'!$K$81*0.21</f>
        <v>580527.9207</v>
      </c>
      <c r="M33" s="89">
        <f>'MONTHLY STATS'!$K$88*0.21</f>
        <v>4621118.1156</v>
      </c>
      <c r="N33" s="89">
        <f>'MONTHLY STATS'!$K$95*0.21</f>
        <v>728363.58</v>
      </c>
      <c r="O33" s="90">
        <f>SUM(B33:N33)</f>
        <v>30594244.587899998</v>
      </c>
      <c r="P33" s="83"/>
    </row>
    <row r="34" spans="1:16" ht="15.75">
      <c r="A34" s="88">
        <f>DATE(2017,10,1)</f>
        <v>43009</v>
      </c>
      <c r="B34" s="89">
        <f>'MONTHLY STATS'!$K$12*0.21</f>
        <v>2774120.6199</v>
      </c>
      <c r="C34" s="89">
        <f>'MONTHLY STATS'!$K$19*0.21</f>
        <v>1312497.4506</v>
      </c>
      <c r="D34" s="89">
        <f>'MONTHLY STATS'!$K$26*0.21</f>
        <v>607621.4151</v>
      </c>
      <c r="E34" s="89">
        <f>'MONTHLY STATS'!$K$33*0.21</f>
        <v>3811625.0528999995</v>
      </c>
      <c r="F34" s="89">
        <f>'MONTHLY STATS'!$K$40*0.21</f>
        <v>3015099.1857</v>
      </c>
      <c r="G34" s="89">
        <f>'MONTHLY STATS'!$K$47*0.21</f>
        <v>1085165.55</v>
      </c>
      <c r="H34" s="89">
        <f>'MONTHLY STATS'!$K$54*0.21</f>
        <v>1213878.2375999999</v>
      </c>
      <c r="I34" s="89">
        <f>'MONTHLY STATS'!$K$61*0.21</f>
        <v>2351199.8894999996</v>
      </c>
      <c r="J34" s="89">
        <f>'MONTHLY STATS'!$K$68*0.21</f>
        <v>3205747.0326</v>
      </c>
      <c r="K34" s="89">
        <f>'MONTHLY STATS'!$K$75*0.21</f>
        <v>3733286.8083</v>
      </c>
      <c r="L34" s="89">
        <f>'MONTHLY STATS'!$K$82*0.21</f>
        <v>538448.7065999999</v>
      </c>
      <c r="M34" s="89">
        <f>'MONTHLY STATS'!$K$89*0.21</f>
        <v>4421145.813</v>
      </c>
      <c r="N34" s="89">
        <f>'MONTHLY STATS'!$K$96*0.21</f>
        <v>707761.2779999999</v>
      </c>
      <c r="O34" s="90">
        <f>SUM(B34:N34)</f>
        <v>28777597.0398</v>
      </c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29</v>
      </c>
      <c r="B44" s="90">
        <f aca="true" t="shared" si="1" ref="B44:O44">SUM(B31:B42)</f>
        <v>11325555.8556</v>
      </c>
      <c r="C44" s="90">
        <f t="shared" si="1"/>
        <v>5729608.1766</v>
      </c>
      <c r="D44" s="90">
        <f t="shared" si="1"/>
        <v>2589875.442</v>
      </c>
      <c r="E44" s="90">
        <f t="shared" si="1"/>
        <v>16618906.600799998</v>
      </c>
      <c r="F44" s="90">
        <f t="shared" si="1"/>
        <v>13124906.6088</v>
      </c>
      <c r="G44" s="90">
        <f t="shared" si="1"/>
        <v>4598276.717999999</v>
      </c>
      <c r="H44" s="90">
        <f t="shared" si="1"/>
        <v>4995178.5555</v>
      </c>
      <c r="I44" s="90">
        <f>SUM(I31:I42)</f>
        <v>10073825.2377</v>
      </c>
      <c r="J44" s="90">
        <f t="shared" si="1"/>
        <v>13221436.193699999</v>
      </c>
      <c r="K44" s="90">
        <f>SUM(K31:K42)</f>
        <v>15727222.1841</v>
      </c>
      <c r="L44" s="90">
        <f t="shared" si="1"/>
        <v>2295482.8092</v>
      </c>
      <c r="M44" s="90">
        <f t="shared" si="1"/>
        <v>18521929.5366</v>
      </c>
      <c r="N44" s="90">
        <f t="shared" si="1"/>
        <v>2811525.3348</v>
      </c>
      <c r="O44" s="90">
        <f t="shared" si="1"/>
        <v>121633729.2534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5" ht="15">
      <c r="A48" s="287"/>
      <c r="B48" s="287"/>
      <c r="C48" s="287"/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</row>
    <row r="49" spans="1:9" ht="15.75">
      <c r="A49" s="115" t="s">
        <v>31</v>
      </c>
      <c r="B49" s="98"/>
      <c r="C49" s="98"/>
      <c r="D49" s="98"/>
      <c r="E49" s="98"/>
      <c r="F49" s="98"/>
      <c r="G49" s="98"/>
      <c r="H49" s="98"/>
      <c r="I49" s="98"/>
    </row>
    <row r="50" spans="1:9" ht="15.75">
      <c r="A50" s="115"/>
      <c r="B50" s="98"/>
      <c r="C50" s="98"/>
      <c r="D50" s="98"/>
      <c r="E50" s="98"/>
      <c r="F50" s="98"/>
      <c r="G50" s="98"/>
      <c r="H50" s="98"/>
      <c r="I50" s="98"/>
    </row>
    <row r="51" ht="15.75">
      <c r="A51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32</v>
      </c>
      <c r="B2" s="117"/>
      <c r="C2" s="200"/>
      <c r="D2" s="200"/>
      <c r="E2" s="200"/>
      <c r="F2" s="117"/>
      <c r="G2" s="210"/>
    </row>
    <row r="3" spans="1:7" ht="18" customHeight="1">
      <c r="A3" s="283" t="s">
        <v>72</v>
      </c>
      <c r="B3" s="117"/>
      <c r="C3" s="200"/>
      <c r="D3" s="200"/>
      <c r="E3" s="200"/>
      <c r="F3" s="117"/>
      <c r="G3" s="210"/>
    </row>
    <row r="4" spans="1:7" ht="15">
      <c r="A4" s="284" t="s">
        <v>73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33</v>
      </c>
      <c r="D6" s="201" t="s">
        <v>33</v>
      </c>
      <c r="E6" s="201" t="s">
        <v>3</v>
      </c>
      <c r="F6" s="122"/>
      <c r="G6" s="212" t="s">
        <v>34</v>
      </c>
      <c r="H6" s="123"/>
    </row>
    <row r="7" spans="1:8" ht="16.5" thickBot="1">
      <c r="A7" s="124" t="s">
        <v>5</v>
      </c>
      <c r="B7" s="125" t="s">
        <v>6</v>
      </c>
      <c r="C7" s="262" t="s">
        <v>35</v>
      </c>
      <c r="D7" s="202" t="s">
        <v>36</v>
      </c>
      <c r="E7" s="202" t="s">
        <v>36</v>
      </c>
      <c r="F7" s="126" t="s">
        <v>8</v>
      </c>
      <c r="G7" s="213" t="s">
        <v>37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38</v>
      </c>
      <c r="B9" s="131">
        <f>DATE(2017,7,1)</f>
        <v>42917</v>
      </c>
      <c r="C9" s="204">
        <v>9106294</v>
      </c>
      <c r="D9" s="204">
        <v>1744231.98</v>
      </c>
      <c r="E9" s="204">
        <v>1196577.74</v>
      </c>
      <c r="F9" s="132">
        <f>(+D9-E9)/E9</f>
        <v>0.4576837941177144</v>
      </c>
      <c r="G9" s="215">
        <f>D9/C9</f>
        <v>0.1915413646868858</v>
      </c>
      <c r="H9" s="123"/>
    </row>
    <row r="10" spans="1:8" ht="15.75">
      <c r="A10" s="130"/>
      <c r="B10" s="131">
        <f>DATE(2017,8,1)</f>
        <v>42948</v>
      </c>
      <c r="C10" s="204">
        <v>7945722</v>
      </c>
      <c r="D10" s="204">
        <v>1558308</v>
      </c>
      <c r="E10" s="204">
        <v>1298265.83</v>
      </c>
      <c r="F10" s="132">
        <f>(+D10-E10)/E10</f>
        <v>0.20029963355039537</v>
      </c>
      <c r="G10" s="215">
        <f>D10/C10</f>
        <v>0.19611911919395117</v>
      </c>
      <c r="H10" s="123"/>
    </row>
    <row r="11" spans="1:8" ht="15.75">
      <c r="A11" s="130"/>
      <c r="B11" s="131">
        <f>DATE(2017,9,1)</f>
        <v>42979</v>
      </c>
      <c r="C11" s="204">
        <v>8101748</v>
      </c>
      <c r="D11" s="204">
        <v>1764006.5</v>
      </c>
      <c r="E11" s="204">
        <v>1352172.02</v>
      </c>
      <c r="F11" s="132">
        <f>(+D11-E11)/E11</f>
        <v>0.3045725498742386</v>
      </c>
      <c r="G11" s="215">
        <f>D11/C11</f>
        <v>0.21773159323148536</v>
      </c>
      <c r="H11" s="123"/>
    </row>
    <row r="12" spans="1:8" ht="15.75">
      <c r="A12" s="130"/>
      <c r="B12" s="131">
        <f>DATE(2017,10,1)</f>
        <v>43009</v>
      </c>
      <c r="C12" s="204">
        <v>9041484</v>
      </c>
      <c r="D12" s="204">
        <v>1651958.5</v>
      </c>
      <c r="E12" s="204">
        <v>1471793</v>
      </c>
      <c r="F12" s="132">
        <f>(+D12-E12)/E12</f>
        <v>0.12241225498422673</v>
      </c>
      <c r="G12" s="215">
        <f>D12/C12</f>
        <v>0.1827087787801206</v>
      </c>
      <c r="H12" s="123"/>
    </row>
    <row r="13" spans="1:8" ht="15.75" thickBot="1">
      <c r="A13" s="133"/>
      <c r="B13" s="134"/>
      <c r="C13" s="204"/>
      <c r="D13" s="204"/>
      <c r="E13" s="204"/>
      <c r="F13" s="132"/>
      <c r="G13" s="215"/>
      <c r="H13" s="123"/>
    </row>
    <row r="14" spans="1:8" ht="17.25" thickBot="1" thickTop="1">
      <c r="A14" s="135" t="s">
        <v>14</v>
      </c>
      <c r="B14" s="136"/>
      <c r="C14" s="201">
        <f>SUM(C9:C13)</f>
        <v>34195248</v>
      </c>
      <c r="D14" s="201">
        <f>SUM(D9:D13)</f>
        <v>6718504.98</v>
      </c>
      <c r="E14" s="201">
        <f>SUM(E9:E13)</f>
        <v>5318808.59</v>
      </c>
      <c r="F14" s="137">
        <f>(+D14-E14)/E14</f>
        <v>0.2631597596182721</v>
      </c>
      <c r="G14" s="212">
        <f>D14/C14</f>
        <v>0.19647481369341144</v>
      </c>
      <c r="H14" s="123"/>
    </row>
    <row r="15" spans="1:8" ht="15.75" customHeight="1" thickTop="1">
      <c r="A15" s="138"/>
      <c r="B15" s="139"/>
      <c r="C15" s="205"/>
      <c r="D15" s="205"/>
      <c r="E15" s="205"/>
      <c r="F15" s="140"/>
      <c r="G15" s="216"/>
      <c r="H15" s="123"/>
    </row>
    <row r="16" spans="1:8" ht="15.75">
      <c r="A16" s="19" t="s">
        <v>15</v>
      </c>
      <c r="B16" s="131">
        <f>DATE(2017,7,1)</f>
        <v>42917</v>
      </c>
      <c r="C16" s="204">
        <v>2522382</v>
      </c>
      <c r="D16" s="204">
        <v>642088</v>
      </c>
      <c r="E16" s="204">
        <v>472086</v>
      </c>
      <c r="F16" s="132">
        <f>(+D16-E16)/E16</f>
        <v>0.36010811589413794</v>
      </c>
      <c r="G16" s="215">
        <f>D16/C16</f>
        <v>0.254556209170538</v>
      </c>
      <c r="H16" s="123"/>
    </row>
    <row r="17" spans="1:8" ht="15.75">
      <c r="A17" s="19"/>
      <c r="B17" s="131">
        <f>DATE(2017,8,1)</f>
        <v>42948</v>
      </c>
      <c r="C17" s="204">
        <v>2406702</v>
      </c>
      <c r="D17" s="204">
        <v>490413</v>
      </c>
      <c r="E17" s="204">
        <v>589363</v>
      </c>
      <c r="F17" s="132">
        <f>(+D17-E17)/E17</f>
        <v>-0.16789313207649614</v>
      </c>
      <c r="G17" s="215">
        <f>D17/C17</f>
        <v>0.2037697230483874</v>
      </c>
      <c r="H17" s="123"/>
    </row>
    <row r="18" spans="1:8" ht="15.75">
      <c r="A18" s="19"/>
      <c r="B18" s="131">
        <f>DATE(2017,9,1)</f>
        <v>42979</v>
      </c>
      <c r="C18" s="204">
        <v>2522640</v>
      </c>
      <c r="D18" s="204">
        <v>534707</v>
      </c>
      <c r="E18" s="204">
        <v>511288.5</v>
      </c>
      <c r="F18" s="132">
        <f>(+D18-E18)/E18</f>
        <v>0.045802907751690096</v>
      </c>
      <c r="G18" s="215">
        <f>D18/C18</f>
        <v>0.21196326071100116</v>
      </c>
      <c r="H18" s="123"/>
    </row>
    <row r="19" spans="1:8" ht="15.75">
      <c r="A19" s="19"/>
      <c r="B19" s="131">
        <f>DATE(2017,10,1)</f>
        <v>43009</v>
      </c>
      <c r="C19" s="204">
        <v>2455957</v>
      </c>
      <c r="D19" s="204">
        <v>515461.5</v>
      </c>
      <c r="E19" s="204">
        <v>462287</v>
      </c>
      <c r="F19" s="132">
        <f>(+D19-E19)/E19</f>
        <v>0.11502486550562746</v>
      </c>
      <c r="G19" s="215">
        <f>D19/C19</f>
        <v>0.2098821355585623</v>
      </c>
      <c r="H19" s="123"/>
    </row>
    <row r="20" spans="1:8" ht="15.75" thickBot="1">
      <c r="A20" s="133"/>
      <c r="B20" s="131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SUM(C16:C20)</f>
        <v>9907681</v>
      </c>
      <c r="D21" s="201">
        <f>SUM(D16:D20)</f>
        <v>2182669.5</v>
      </c>
      <c r="E21" s="201">
        <f>SUM(E16:E20)</f>
        <v>2035024.5</v>
      </c>
      <c r="F21" s="137">
        <f>(+D21-E21)/E21</f>
        <v>0.07255195207723543</v>
      </c>
      <c r="G21" s="212">
        <f>D21/C21</f>
        <v>0.22030074444261982</v>
      </c>
      <c r="H21" s="123"/>
    </row>
    <row r="22" spans="1:8" ht="15.75" customHeight="1" thickTop="1">
      <c r="A22" s="255"/>
      <c r="B22" s="139"/>
      <c r="C22" s="205"/>
      <c r="D22" s="205"/>
      <c r="E22" s="205"/>
      <c r="F22" s="140"/>
      <c r="G22" s="219"/>
      <c r="H22" s="123"/>
    </row>
    <row r="23" spans="1:8" ht="15.75">
      <c r="A23" s="19" t="s">
        <v>56</v>
      </c>
      <c r="B23" s="131">
        <f>DATE(2017,7,1)</f>
        <v>42917</v>
      </c>
      <c r="C23" s="204">
        <v>1479706</v>
      </c>
      <c r="D23" s="204">
        <v>330815.5</v>
      </c>
      <c r="E23" s="204">
        <v>360412.5</v>
      </c>
      <c r="F23" s="132">
        <f>(+D23-E23)/E23</f>
        <v>-0.08211979329240801</v>
      </c>
      <c r="G23" s="215">
        <f>D23/C23</f>
        <v>0.223568398046639</v>
      </c>
      <c r="H23" s="123"/>
    </row>
    <row r="24" spans="1:8" ht="15.75">
      <c r="A24" s="19"/>
      <c r="B24" s="131">
        <f>DATE(2017,8,1)</f>
        <v>42948</v>
      </c>
      <c r="C24" s="204">
        <v>1531572</v>
      </c>
      <c r="D24" s="204">
        <v>326287.5</v>
      </c>
      <c r="E24" s="204">
        <v>239413.5</v>
      </c>
      <c r="F24" s="132">
        <f>(+D24-E24)/E24</f>
        <v>0.36286174338539806</v>
      </c>
      <c r="G24" s="215">
        <f>D24/C24</f>
        <v>0.21304091482476828</v>
      </c>
      <c r="H24" s="123"/>
    </row>
    <row r="25" spans="1:8" ht="15.75">
      <c r="A25" s="19"/>
      <c r="B25" s="131">
        <f>DATE(2017,9,1)</f>
        <v>42979</v>
      </c>
      <c r="C25" s="204">
        <v>1408112</v>
      </c>
      <c r="D25" s="204">
        <v>453438</v>
      </c>
      <c r="E25" s="204">
        <v>301041.5</v>
      </c>
      <c r="F25" s="132">
        <f>(+D25-E25)/E25</f>
        <v>0.5062308685015189</v>
      </c>
      <c r="G25" s="215">
        <f>D25/C25</f>
        <v>0.3220184189893986</v>
      </c>
      <c r="H25" s="123"/>
    </row>
    <row r="26" spans="1:8" ht="15.75">
      <c r="A26" s="19"/>
      <c r="B26" s="131">
        <f>DATE(2017,10,1)</f>
        <v>43009</v>
      </c>
      <c r="C26" s="204">
        <v>1260391</v>
      </c>
      <c r="D26" s="204">
        <v>325504</v>
      </c>
      <c r="E26" s="204">
        <v>288579</v>
      </c>
      <c r="F26" s="132">
        <f>(+D26-E26)/E26</f>
        <v>0.1279545635683816</v>
      </c>
      <c r="G26" s="215">
        <f>D26/C26</f>
        <v>0.25825636647675204</v>
      </c>
      <c r="H26" s="123"/>
    </row>
    <row r="27" spans="1:8" ht="15.75" thickBot="1">
      <c r="A27" s="133"/>
      <c r="B27" s="131"/>
      <c r="C27" s="204"/>
      <c r="D27" s="204"/>
      <c r="E27" s="204"/>
      <c r="F27" s="132"/>
      <c r="G27" s="215"/>
      <c r="H27" s="123"/>
    </row>
    <row r="28" spans="1:8" ht="17.25" thickBot="1" thickTop="1">
      <c r="A28" s="141" t="s">
        <v>14</v>
      </c>
      <c r="B28" s="142"/>
      <c r="C28" s="206">
        <f>SUM(C23:C27)</f>
        <v>5679781</v>
      </c>
      <c r="D28" s="206">
        <f>SUM(D23:D27)</f>
        <v>1436045</v>
      </c>
      <c r="E28" s="206">
        <f>SUM(E23:E27)</f>
        <v>1189446.5</v>
      </c>
      <c r="F28" s="143">
        <f>(+D28-E28)/E28</f>
        <v>0.20732206114356552</v>
      </c>
      <c r="G28" s="217">
        <f>D28/C28</f>
        <v>0.2528345723188975</v>
      </c>
      <c r="H28" s="123"/>
    </row>
    <row r="29" spans="1:8" ht="15.75" thickTop="1">
      <c r="A29" s="133"/>
      <c r="B29" s="134"/>
      <c r="C29" s="204"/>
      <c r="D29" s="204"/>
      <c r="E29" s="204"/>
      <c r="F29" s="132"/>
      <c r="G29" s="218"/>
      <c r="H29" s="123"/>
    </row>
    <row r="30" spans="1:8" ht="15.75">
      <c r="A30" s="177" t="s">
        <v>65</v>
      </c>
      <c r="B30" s="131">
        <f>DATE(2017,7,1)</f>
        <v>42917</v>
      </c>
      <c r="C30" s="204">
        <v>15842408</v>
      </c>
      <c r="D30" s="204">
        <v>3444883.46</v>
      </c>
      <c r="E30" s="204">
        <v>3130542.12</v>
      </c>
      <c r="F30" s="132">
        <f>(+D30-E30)/E30</f>
        <v>0.10041115179117917</v>
      </c>
      <c r="G30" s="215">
        <f>D30/C30</f>
        <v>0.21744696008334086</v>
      </c>
      <c r="H30" s="123"/>
    </row>
    <row r="31" spans="1:8" ht="15.75">
      <c r="A31" s="177"/>
      <c r="B31" s="131">
        <f>DATE(2017,8,1)</f>
        <v>42948</v>
      </c>
      <c r="C31" s="204">
        <v>13052978</v>
      </c>
      <c r="D31" s="204">
        <v>2738890.99</v>
      </c>
      <c r="E31" s="204">
        <v>3206208.5</v>
      </c>
      <c r="F31" s="132">
        <f>(+D31-E31)/E31</f>
        <v>-0.14575393646420678</v>
      </c>
      <c r="G31" s="215">
        <f>D31/C31</f>
        <v>0.20982882143829557</v>
      </c>
      <c r="H31" s="123"/>
    </row>
    <row r="32" spans="1:8" ht="15.75">
      <c r="A32" s="177"/>
      <c r="B32" s="131">
        <f>DATE(2017,9,1)</f>
        <v>42979</v>
      </c>
      <c r="C32" s="204">
        <v>13344756</v>
      </c>
      <c r="D32" s="204">
        <v>3077099.69</v>
      </c>
      <c r="E32" s="204">
        <v>2415045.66</v>
      </c>
      <c r="F32" s="132">
        <f>(+D32-E32)/E32</f>
        <v>0.27413727241910607</v>
      </c>
      <c r="G32" s="215">
        <f>D32/C32</f>
        <v>0.2305849346364969</v>
      </c>
      <c r="H32" s="123"/>
    </row>
    <row r="33" spans="1:8" ht="15.75">
      <c r="A33" s="177"/>
      <c r="B33" s="131">
        <f>DATE(2017,10,1)</f>
        <v>43009</v>
      </c>
      <c r="C33" s="204">
        <v>13971709.25</v>
      </c>
      <c r="D33" s="204">
        <v>2596719.93</v>
      </c>
      <c r="E33" s="204">
        <v>3125907.93</v>
      </c>
      <c r="F33" s="132">
        <f>(+D33-E33)/E33</f>
        <v>-0.16929097460653614</v>
      </c>
      <c r="G33" s="215">
        <f>D33/C33</f>
        <v>0.18585556595375044</v>
      </c>
      <c r="H33" s="123"/>
    </row>
    <row r="34" spans="1:8" ht="15.75" customHeight="1" thickBot="1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Bot="1" thickTop="1">
      <c r="A35" s="141" t="s">
        <v>14</v>
      </c>
      <c r="B35" s="142"/>
      <c r="C35" s="206">
        <f>SUM(C30:C34)</f>
        <v>56211851.25</v>
      </c>
      <c r="D35" s="206">
        <f>SUM(D30:D34)</f>
        <v>11857594.07</v>
      </c>
      <c r="E35" s="206">
        <f>SUM(E30:E34)</f>
        <v>11877704.21</v>
      </c>
      <c r="F35" s="143">
        <f>(+D35-E35)/E35</f>
        <v>-0.001693099915981204</v>
      </c>
      <c r="G35" s="217">
        <f>D35/C35</f>
        <v>0.21094473507488334</v>
      </c>
      <c r="H35" s="123"/>
    </row>
    <row r="36" spans="1:8" ht="15.75" customHeight="1" thickTop="1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>
      <c r="A37" s="130" t="s">
        <v>39</v>
      </c>
      <c r="B37" s="131">
        <f>DATE(2017,7,1)</f>
        <v>42917</v>
      </c>
      <c r="C37" s="204">
        <v>17883666</v>
      </c>
      <c r="D37" s="204">
        <v>4596352</v>
      </c>
      <c r="E37" s="204">
        <v>2718467</v>
      </c>
      <c r="F37" s="132">
        <f>(+D37-E37)/E37</f>
        <v>0.6907882273354798</v>
      </c>
      <c r="G37" s="215">
        <f>D37/C37</f>
        <v>0.25701397017815025</v>
      </c>
      <c r="H37" s="123"/>
    </row>
    <row r="38" spans="1:8" ht="15" customHeight="1">
      <c r="A38" s="130"/>
      <c r="B38" s="131">
        <f>DATE(2017,8,1)</f>
        <v>42948</v>
      </c>
      <c r="C38" s="204">
        <v>16620305</v>
      </c>
      <c r="D38" s="204">
        <v>3842200.5</v>
      </c>
      <c r="E38" s="204">
        <v>3097592</v>
      </c>
      <c r="F38" s="132">
        <f>(+D38-E38)/E38</f>
        <v>0.2403830136441468</v>
      </c>
      <c r="G38" s="215">
        <f>D38/C38</f>
        <v>0.23117508974714965</v>
      </c>
      <c r="H38" s="123"/>
    </row>
    <row r="39" spans="1:8" ht="15" customHeight="1">
      <c r="A39" s="130"/>
      <c r="B39" s="131">
        <f>DATE(2017,9,1)</f>
        <v>42979</v>
      </c>
      <c r="C39" s="204">
        <v>17068391</v>
      </c>
      <c r="D39" s="204">
        <v>3686124</v>
      </c>
      <c r="E39" s="204">
        <v>3708385.5</v>
      </c>
      <c r="F39" s="132">
        <f>(+D39-E39)/E39</f>
        <v>-0.006003016676664279</v>
      </c>
      <c r="G39" s="215">
        <f>D39/C39</f>
        <v>0.2159620083697403</v>
      </c>
      <c r="H39" s="123"/>
    </row>
    <row r="40" spans="1:8" ht="15" customHeight="1">
      <c r="A40" s="130"/>
      <c r="B40" s="131">
        <f>DATE(2017,10,1)</f>
        <v>43009</v>
      </c>
      <c r="C40" s="204">
        <v>18396365</v>
      </c>
      <c r="D40" s="204">
        <v>2992221.5</v>
      </c>
      <c r="E40" s="204">
        <v>3396436</v>
      </c>
      <c r="F40" s="132">
        <f>(+D40-E40)/E40</f>
        <v>-0.11901136956503817</v>
      </c>
      <c r="G40" s="215">
        <f>D40/C40</f>
        <v>0.162652866476611</v>
      </c>
      <c r="H40" s="123"/>
    </row>
    <row r="41" spans="1:8" ht="15.75" thickBot="1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Bot="1" thickTop="1">
      <c r="A42" s="141" t="s">
        <v>14</v>
      </c>
      <c r="B42" s="142"/>
      <c r="C42" s="207">
        <f>SUM(C37:C41)</f>
        <v>69968727</v>
      </c>
      <c r="D42" s="261">
        <f>SUM(D37:D41)</f>
        <v>15116898</v>
      </c>
      <c r="E42" s="206">
        <f>SUM(E37:E41)</f>
        <v>12920880.5</v>
      </c>
      <c r="F42" s="268">
        <f>(+D42-E42)/E42</f>
        <v>0.1699588120174937</v>
      </c>
      <c r="G42" s="267">
        <f>D42/C42</f>
        <v>0.21605220858169966</v>
      </c>
      <c r="H42" s="123"/>
    </row>
    <row r="43" spans="1:8" ht="15.75" customHeight="1" thickTop="1">
      <c r="A43" s="130"/>
      <c r="B43" s="134"/>
      <c r="C43" s="204"/>
      <c r="D43" s="204"/>
      <c r="E43" s="204"/>
      <c r="F43" s="132"/>
      <c r="G43" s="218"/>
      <c r="H43" s="123"/>
    </row>
    <row r="44" spans="1:8" ht="15.75">
      <c r="A44" s="130" t="s">
        <v>66</v>
      </c>
      <c r="B44" s="131">
        <f>DATE(2017,7,1)</f>
        <v>42917</v>
      </c>
      <c r="C44" s="204">
        <v>2593382</v>
      </c>
      <c r="D44" s="204">
        <v>704742.5</v>
      </c>
      <c r="E44" s="204">
        <v>754116</v>
      </c>
      <c r="F44" s="132">
        <f>(+D44-E44)/E44</f>
        <v>-0.06547202287181282</v>
      </c>
      <c r="G44" s="215">
        <f>D44/C44</f>
        <v>0.2717465070706899</v>
      </c>
      <c r="H44" s="123"/>
    </row>
    <row r="45" spans="1:8" ht="15.75">
      <c r="A45" s="130"/>
      <c r="B45" s="131">
        <f>DATE(2017,8,1)</f>
        <v>42948</v>
      </c>
      <c r="C45" s="204">
        <v>2465059</v>
      </c>
      <c r="D45" s="204">
        <v>551376.5</v>
      </c>
      <c r="E45" s="204">
        <v>722738.5</v>
      </c>
      <c r="F45" s="132">
        <f>(+D45-E45)/E45</f>
        <v>-0.23710097082139667</v>
      </c>
      <c r="G45" s="215">
        <f>D45/C45</f>
        <v>0.22367679637688184</v>
      </c>
      <c r="H45" s="123"/>
    </row>
    <row r="46" spans="1:8" ht="15.75">
      <c r="A46" s="130"/>
      <c r="B46" s="131">
        <f>DATE(2017,9,1)</f>
        <v>42979</v>
      </c>
      <c r="C46" s="204">
        <v>2623530</v>
      </c>
      <c r="D46" s="204">
        <v>737548.5</v>
      </c>
      <c r="E46" s="204">
        <v>677597</v>
      </c>
      <c r="F46" s="132">
        <f>(+D46-E46)/E46</f>
        <v>0.08847663139004452</v>
      </c>
      <c r="G46" s="215">
        <f>D46/C46</f>
        <v>0.28112828898468856</v>
      </c>
      <c r="H46" s="123"/>
    </row>
    <row r="47" spans="1:8" ht="15.75">
      <c r="A47" s="130"/>
      <c r="B47" s="131">
        <f>DATE(2017,10,1)</f>
        <v>43009</v>
      </c>
      <c r="C47" s="204">
        <v>2441511</v>
      </c>
      <c r="D47" s="204">
        <v>599930</v>
      </c>
      <c r="E47" s="204">
        <v>567558.5</v>
      </c>
      <c r="F47" s="132">
        <f>(+D47-E47)/E47</f>
        <v>0.0570364112245698</v>
      </c>
      <c r="G47" s="215">
        <f>D47/C47</f>
        <v>0.2457207852022784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SUM(C44:C48)</f>
        <v>10123482</v>
      </c>
      <c r="D49" s="261">
        <f>SUM(D44:D48)</f>
        <v>2593597.5</v>
      </c>
      <c r="E49" s="207">
        <f>SUM(E44:E48)</f>
        <v>2722010</v>
      </c>
      <c r="F49" s="268">
        <f>(+D49-E49)/E49</f>
        <v>-0.04717561654806558</v>
      </c>
      <c r="G49" s="267">
        <f>D49/C49</f>
        <v>0.25619618822851664</v>
      </c>
      <c r="H49" s="123"/>
    </row>
    <row r="50" spans="1:8" ht="15.75" customHeight="1" thickTop="1">
      <c r="A50" s="130"/>
      <c r="B50" s="134"/>
      <c r="C50" s="204"/>
      <c r="D50" s="204"/>
      <c r="E50" s="204"/>
      <c r="F50" s="132"/>
      <c r="G50" s="218"/>
      <c r="H50" s="123"/>
    </row>
    <row r="51" spans="1:8" ht="15.75">
      <c r="A51" s="130" t="s">
        <v>17</v>
      </c>
      <c r="B51" s="131">
        <f>DATE(2017,7,1)</f>
        <v>42917</v>
      </c>
      <c r="C51" s="204">
        <v>1774615.5</v>
      </c>
      <c r="D51" s="204">
        <v>367602</v>
      </c>
      <c r="E51" s="204">
        <v>441103</v>
      </c>
      <c r="F51" s="132">
        <f>(+D51-E51)/E51</f>
        <v>-0.1666300161186843</v>
      </c>
      <c r="G51" s="215">
        <f>D51/C51</f>
        <v>0.20714458991257542</v>
      </c>
      <c r="H51" s="123"/>
    </row>
    <row r="52" spans="1:8" ht="15.75">
      <c r="A52" s="130"/>
      <c r="B52" s="131">
        <f>DATE(2017,8,1)</f>
        <v>42948</v>
      </c>
      <c r="C52" s="204">
        <v>1671518</v>
      </c>
      <c r="D52" s="204">
        <v>327445</v>
      </c>
      <c r="E52" s="204">
        <v>347007.5</v>
      </c>
      <c r="F52" s="132">
        <f>(+D52-E52)/E52</f>
        <v>-0.056374862214793625</v>
      </c>
      <c r="G52" s="215">
        <f>D52/C52</f>
        <v>0.19589678364217436</v>
      </c>
      <c r="H52" s="123"/>
    </row>
    <row r="53" spans="1:8" ht="15.75">
      <c r="A53" s="130"/>
      <c r="B53" s="131">
        <f>DATE(2017,9,1)</f>
        <v>42979</v>
      </c>
      <c r="C53" s="204">
        <v>1667123.5</v>
      </c>
      <c r="D53" s="204">
        <v>332251.5</v>
      </c>
      <c r="E53" s="204">
        <v>308553.5</v>
      </c>
      <c r="F53" s="132">
        <f>(+D53-E53)/E53</f>
        <v>0.0768035365017736</v>
      </c>
      <c r="G53" s="215">
        <f>D53/C53</f>
        <v>0.1992962728916004</v>
      </c>
      <c r="H53" s="123"/>
    </row>
    <row r="54" spans="1:8" ht="15.75">
      <c r="A54" s="130"/>
      <c r="B54" s="131">
        <f>DATE(2017,10,1)</f>
        <v>43009</v>
      </c>
      <c r="C54" s="204">
        <v>1774605</v>
      </c>
      <c r="D54" s="204">
        <v>339253.5</v>
      </c>
      <c r="E54" s="204">
        <v>366717</v>
      </c>
      <c r="F54" s="132">
        <f>(+D54-E54)/E54</f>
        <v>-0.07489017416700071</v>
      </c>
      <c r="G54" s="215">
        <f>D54/C54</f>
        <v>0.1911712747343775</v>
      </c>
      <c r="H54" s="123"/>
    </row>
    <row r="55" spans="1:8" ht="15.75" customHeight="1" thickBot="1">
      <c r="A55" s="130"/>
      <c r="B55" s="131"/>
      <c r="C55" s="204"/>
      <c r="D55" s="204"/>
      <c r="E55" s="204"/>
      <c r="F55" s="132"/>
      <c r="G55" s="215"/>
      <c r="H55" s="123"/>
    </row>
    <row r="56" spans="1:8" ht="17.25" thickBot="1" thickTop="1">
      <c r="A56" s="141" t="s">
        <v>14</v>
      </c>
      <c r="B56" s="142"/>
      <c r="C56" s="207">
        <f>SUM(C51:C55)</f>
        <v>6887862</v>
      </c>
      <c r="D56" s="261">
        <f>SUM(D51:D55)</f>
        <v>1366552</v>
      </c>
      <c r="E56" s="207">
        <f>SUM(E51:E55)</f>
        <v>1463381</v>
      </c>
      <c r="F56" s="269">
        <f>(+D56-E56)/E56</f>
        <v>-0.06616800409462745</v>
      </c>
      <c r="G56" s="267">
        <f>D56/C56</f>
        <v>0.19840002601678142</v>
      </c>
      <c r="H56" s="123"/>
    </row>
    <row r="57" spans="1:8" ht="15.75" customHeight="1" thickTop="1">
      <c r="A57" s="130"/>
      <c r="B57" s="139"/>
      <c r="C57" s="205"/>
      <c r="D57" s="205"/>
      <c r="E57" s="205"/>
      <c r="F57" s="140"/>
      <c r="G57" s="216"/>
      <c r="H57" s="123"/>
    </row>
    <row r="58" spans="1:8" ht="15.75">
      <c r="A58" s="130" t="s">
        <v>55</v>
      </c>
      <c r="B58" s="131">
        <f>DATE(2017,7,1)</f>
        <v>42917</v>
      </c>
      <c r="C58" s="204">
        <v>11293642</v>
      </c>
      <c r="D58" s="204">
        <v>2413372.38</v>
      </c>
      <c r="E58" s="204">
        <v>2520439.82</v>
      </c>
      <c r="F58" s="132">
        <f>(+D58-E58)/E58</f>
        <v>-0.04247966531492109</v>
      </c>
      <c r="G58" s="215">
        <f>D58/C58</f>
        <v>0.21369301240467867</v>
      </c>
      <c r="H58" s="123"/>
    </row>
    <row r="59" spans="1:8" ht="15.75">
      <c r="A59" s="130"/>
      <c r="B59" s="131">
        <f>DATE(2017,8,1)</f>
        <v>42948</v>
      </c>
      <c r="C59" s="204">
        <v>10516670</v>
      </c>
      <c r="D59" s="204">
        <v>2335423.3</v>
      </c>
      <c r="E59" s="204">
        <v>3004073.54</v>
      </c>
      <c r="F59" s="132">
        <f>(+D59-E59)/E59</f>
        <v>-0.22258118221699733</v>
      </c>
      <c r="G59" s="215">
        <f>D59/C59</f>
        <v>0.22206870615888868</v>
      </c>
      <c r="H59" s="123"/>
    </row>
    <row r="60" spans="1:8" ht="15.75">
      <c r="A60" s="130"/>
      <c r="B60" s="131">
        <f>DATE(2017,9,1)</f>
        <v>42979</v>
      </c>
      <c r="C60" s="204">
        <v>10643966</v>
      </c>
      <c r="D60" s="204">
        <v>2183188.72</v>
      </c>
      <c r="E60" s="204">
        <v>2556146.89</v>
      </c>
      <c r="F60" s="132">
        <f>(+D60-E60)/E60</f>
        <v>-0.14590639194447855</v>
      </c>
      <c r="G60" s="215">
        <f>D60/C60</f>
        <v>0.20511045600859681</v>
      </c>
      <c r="H60" s="123"/>
    </row>
    <row r="61" spans="1:8" ht="15.75">
      <c r="A61" s="130"/>
      <c r="B61" s="131">
        <f>DATE(2017,10,1)</f>
        <v>43009</v>
      </c>
      <c r="C61" s="204">
        <v>10167841</v>
      </c>
      <c r="D61" s="204">
        <v>1755353.41</v>
      </c>
      <c r="E61" s="204">
        <v>2421832.85</v>
      </c>
      <c r="F61" s="132">
        <f>(+D61-E61)/E61</f>
        <v>-0.2751963001905768</v>
      </c>
      <c r="G61" s="215">
        <f>D61/C61</f>
        <v>0.17263777138135813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6">
        <f>SUM(C58:C62)</f>
        <v>42622119</v>
      </c>
      <c r="D63" s="206">
        <f>SUM(D58:D62)</f>
        <v>8687337.81</v>
      </c>
      <c r="E63" s="206">
        <f>SUM(E58:E62)</f>
        <v>10502493.1</v>
      </c>
      <c r="F63" s="143">
        <f>(+D63-E63)/E63</f>
        <v>-0.17283089574226895</v>
      </c>
      <c r="G63" s="217">
        <f>D63/C63</f>
        <v>0.2038222879064272</v>
      </c>
      <c r="H63" s="123"/>
    </row>
    <row r="64" spans="1:8" ht="15.75" customHeight="1" thickTop="1">
      <c r="A64" s="138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18</v>
      </c>
      <c r="B65" s="131">
        <f>DATE(2017,7,1)</f>
        <v>42917</v>
      </c>
      <c r="C65" s="204">
        <v>11171474.5</v>
      </c>
      <c r="D65" s="204">
        <v>2350317.5</v>
      </c>
      <c r="E65" s="204">
        <v>2118226.5</v>
      </c>
      <c r="F65" s="132">
        <f>(+D65-E65)/E65</f>
        <v>0.1095685470840819</v>
      </c>
      <c r="G65" s="215">
        <f>D65/C65</f>
        <v>0.2103856120335771</v>
      </c>
      <c r="H65" s="123"/>
    </row>
    <row r="66" spans="1:8" ht="15.75">
      <c r="A66" s="130"/>
      <c r="B66" s="131">
        <f>DATE(2017,8,1)</f>
        <v>42948</v>
      </c>
      <c r="C66" s="204">
        <v>11368179</v>
      </c>
      <c r="D66" s="204">
        <v>1942234.5</v>
      </c>
      <c r="E66" s="204">
        <v>2333266.5</v>
      </c>
      <c r="F66" s="132">
        <f>(+D66-E66)/E66</f>
        <v>-0.167589943111942</v>
      </c>
      <c r="G66" s="215">
        <f>D66/C66</f>
        <v>0.17084833903477417</v>
      </c>
      <c r="H66" s="123"/>
    </row>
    <row r="67" spans="1:8" ht="15.75">
      <c r="A67" s="130"/>
      <c r="B67" s="131">
        <f>DATE(2017,9,1)</f>
        <v>42979</v>
      </c>
      <c r="C67" s="204">
        <v>10900273.26</v>
      </c>
      <c r="D67" s="204">
        <v>2645234.26</v>
      </c>
      <c r="E67" s="204">
        <v>2224408.5</v>
      </c>
      <c r="F67" s="132">
        <f>(+D67-E67)/E67</f>
        <v>0.18918546660831398</v>
      </c>
      <c r="G67" s="215">
        <f>D67/C67</f>
        <v>0.24267595838234976</v>
      </c>
      <c r="H67" s="123"/>
    </row>
    <row r="68" spans="1:8" ht="15.75">
      <c r="A68" s="130"/>
      <c r="B68" s="131">
        <f>DATE(2017,10,1)</f>
        <v>43009</v>
      </c>
      <c r="C68" s="204">
        <v>11732058</v>
      </c>
      <c r="D68" s="204">
        <v>2496353.5</v>
      </c>
      <c r="E68" s="204">
        <v>2409509.55</v>
      </c>
      <c r="F68" s="132">
        <f>(+D68-E68)/E68</f>
        <v>0.03604216883058222</v>
      </c>
      <c r="G68" s="215">
        <f>D68/C68</f>
        <v>0.2127805283608383</v>
      </c>
      <c r="H68" s="123"/>
    </row>
    <row r="69" spans="1:8" ht="15.75" customHeight="1" thickBot="1">
      <c r="A69" s="130"/>
      <c r="B69" s="131"/>
      <c r="C69" s="204"/>
      <c r="D69" s="204"/>
      <c r="E69" s="204"/>
      <c r="F69" s="132"/>
      <c r="G69" s="215"/>
      <c r="H69" s="123"/>
    </row>
    <row r="70" spans="1:8" ht="17.25" thickBot="1" thickTop="1">
      <c r="A70" s="141" t="s">
        <v>14</v>
      </c>
      <c r="B70" s="142"/>
      <c r="C70" s="206">
        <f>SUM(C65:C69)</f>
        <v>45171984.76</v>
      </c>
      <c r="D70" s="206">
        <f>SUM(D65:D69)</f>
        <v>9434139.76</v>
      </c>
      <c r="E70" s="206">
        <f>SUM(E65:E69)</f>
        <v>9085411.05</v>
      </c>
      <c r="F70" s="143">
        <f>(+D70-E70)/E70</f>
        <v>0.038383371768303094</v>
      </c>
      <c r="G70" s="217">
        <f>D70/C70</f>
        <v>0.2088493523170134</v>
      </c>
      <c r="H70" s="123"/>
    </row>
    <row r="71" spans="1:8" ht="15.75" customHeight="1" thickTop="1">
      <c r="A71" s="138"/>
      <c r="B71" s="139"/>
      <c r="C71" s="205"/>
      <c r="D71" s="205"/>
      <c r="E71" s="205"/>
      <c r="F71" s="140"/>
      <c r="G71" s="216"/>
      <c r="H71" s="123"/>
    </row>
    <row r="72" spans="1:8" ht="15.75">
      <c r="A72" s="130" t="s">
        <v>58</v>
      </c>
      <c r="B72" s="131">
        <f>DATE(2017,7,1)</f>
        <v>42917</v>
      </c>
      <c r="C72" s="204">
        <v>12458554</v>
      </c>
      <c r="D72" s="204">
        <v>2354816.66</v>
      </c>
      <c r="E72" s="204">
        <v>1971007.14</v>
      </c>
      <c r="F72" s="132">
        <f>(+D72-E72)/E72</f>
        <v>0.19472761524344365</v>
      </c>
      <c r="G72" s="215">
        <f>D72/C72</f>
        <v>0.1890120362282814</v>
      </c>
      <c r="H72" s="123"/>
    </row>
    <row r="73" spans="1:8" ht="15.75">
      <c r="A73" s="130"/>
      <c r="B73" s="131">
        <f>DATE(2017,8,1)</f>
        <v>42948</v>
      </c>
      <c r="C73" s="204">
        <v>11608228</v>
      </c>
      <c r="D73" s="204">
        <v>1981472</v>
      </c>
      <c r="E73" s="204">
        <v>1451474</v>
      </c>
      <c r="F73" s="132">
        <f>(+D73-E73)/E73</f>
        <v>0.3651446736214359</v>
      </c>
      <c r="G73" s="215">
        <f>D73/C73</f>
        <v>0.17069547565743884</v>
      </c>
      <c r="H73" s="123"/>
    </row>
    <row r="74" spans="1:8" ht="15.75">
      <c r="A74" s="130"/>
      <c r="B74" s="131">
        <f>DATE(2017,9,1)</f>
        <v>42979</v>
      </c>
      <c r="C74" s="204">
        <v>11938179</v>
      </c>
      <c r="D74" s="204">
        <v>2416134</v>
      </c>
      <c r="E74" s="204">
        <v>2289039.96</v>
      </c>
      <c r="F74" s="132">
        <f>(+D74-E74)/E74</f>
        <v>0.05552285771367663</v>
      </c>
      <c r="G74" s="215">
        <f>D74/C74</f>
        <v>0.2023871479896557</v>
      </c>
      <c r="H74" s="123"/>
    </row>
    <row r="75" spans="1:8" ht="15.75">
      <c r="A75" s="130"/>
      <c r="B75" s="131">
        <f>DATE(2017,10,1)</f>
        <v>43009</v>
      </c>
      <c r="C75" s="204">
        <v>11622187</v>
      </c>
      <c r="D75" s="204">
        <v>2131259.19</v>
      </c>
      <c r="E75" s="204">
        <v>2354728.74</v>
      </c>
      <c r="F75" s="132">
        <f>(+D75-E75)/E75</f>
        <v>-0.09490245997507138</v>
      </c>
      <c r="G75" s="215">
        <f>D75/C75</f>
        <v>0.18337849752374488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SUM(C72:C76)</f>
        <v>47627148</v>
      </c>
      <c r="D77" s="207">
        <f>SUM(D72:D76)</f>
        <v>8883681.85</v>
      </c>
      <c r="E77" s="207">
        <f>SUM(E72:E76)</f>
        <v>8066249.84</v>
      </c>
      <c r="F77" s="143">
        <f>(+D77-E77)/E77</f>
        <v>0.10133978319719388</v>
      </c>
      <c r="G77" s="267">
        <f>D77/C77</f>
        <v>0.18652558935504598</v>
      </c>
      <c r="H77" s="123"/>
    </row>
    <row r="78" spans="1:8" ht="15.75" customHeight="1" thickTop="1">
      <c r="A78" s="138"/>
      <c r="B78" s="139"/>
      <c r="C78" s="205"/>
      <c r="D78" s="205"/>
      <c r="E78" s="205"/>
      <c r="F78" s="140"/>
      <c r="G78" s="219"/>
      <c r="H78" s="123"/>
    </row>
    <row r="79" spans="1:8" ht="15.75">
      <c r="A79" s="130" t="s">
        <v>59</v>
      </c>
      <c r="B79" s="131">
        <f>DATE(2017,7,1)</f>
        <v>42917</v>
      </c>
      <c r="C79" s="204">
        <v>808349</v>
      </c>
      <c r="D79" s="204">
        <v>185261.5</v>
      </c>
      <c r="E79" s="204">
        <v>206069.5</v>
      </c>
      <c r="F79" s="132">
        <f>(+D79-E79)/E79</f>
        <v>-0.10097564171311135</v>
      </c>
      <c r="G79" s="215">
        <f>D79/C79</f>
        <v>0.22918504259917435</v>
      </c>
      <c r="H79" s="123"/>
    </row>
    <row r="80" spans="1:8" ht="15.75">
      <c r="A80" s="130"/>
      <c r="B80" s="131">
        <f>DATE(2017,8,1)</f>
        <v>42948</v>
      </c>
      <c r="C80" s="204">
        <v>727832</v>
      </c>
      <c r="D80" s="204">
        <v>131840.5</v>
      </c>
      <c r="E80" s="204">
        <v>195328</v>
      </c>
      <c r="F80" s="132">
        <f>(+D80-E80)/E80</f>
        <v>-0.32503020560288337</v>
      </c>
      <c r="G80" s="215">
        <f>D80/C80</f>
        <v>0.1811413897712659</v>
      </c>
      <c r="H80" s="123"/>
    </row>
    <row r="81" spans="1:8" ht="15.75">
      <c r="A81" s="130"/>
      <c r="B81" s="131">
        <f>DATE(2017,9,1)</f>
        <v>42979</v>
      </c>
      <c r="C81" s="204">
        <v>793144</v>
      </c>
      <c r="D81" s="204">
        <v>130165.5</v>
      </c>
      <c r="E81" s="204">
        <v>178936.5</v>
      </c>
      <c r="F81" s="132">
        <f>(+D81-E81)/E81</f>
        <v>-0.27256037756410795</v>
      </c>
      <c r="G81" s="215">
        <f>D81/C81</f>
        <v>0.16411332620558183</v>
      </c>
      <c r="H81" s="123"/>
    </row>
    <row r="82" spans="1:8" ht="15.75">
      <c r="A82" s="130"/>
      <c r="B82" s="131">
        <f>DATE(2017,10,1)</f>
        <v>43009</v>
      </c>
      <c r="C82" s="204">
        <v>734138</v>
      </c>
      <c r="D82" s="204">
        <v>213032.5</v>
      </c>
      <c r="E82" s="204">
        <v>164860</v>
      </c>
      <c r="F82" s="132">
        <f>(+D82-E82)/E82</f>
        <v>0.292202474827126</v>
      </c>
      <c r="G82" s="215">
        <f>D82/C82</f>
        <v>0.2901804565354198</v>
      </c>
      <c r="H82" s="123"/>
    </row>
    <row r="83" spans="1:8" ht="15.75" thickBot="1">
      <c r="A83" s="133"/>
      <c r="B83" s="134"/>
      <c r="C83" s="204"/>
      <c r="D83" s="204"/>
      <c r="E83" s="204"/>
      <c r="F83" s="132"/>
      <c r="G83" s="215"/>
      <c r="H83" s="123"/>
    </row>
    <row r="84" spans="1:8" ht="17.25" thickBot="1" thickTop="1">
      <c r="A84" s="144" t="s">
        <v>14</v>
      </c>
      <c r="B84" s="145"/>
      <c r="C84" s="207">
        <f>SUM(C79:C83)</f>
        <v>3063463</v>
      </c>
      <c r="D84" s="207">
        <f>SUM(D79:D83)</f>
        <v>660300</v>
      </c>
      <c r="E84" s="207">
        <f>SUM(E79:E83)</f>
        <v>745194</v>
      </c>
      <c r="F84" s="143">
        <f>(+D84-E84)/E84</f>
        <v>-0.11392201225452701</v>
      </c>
      <c r="G84" s="217">
        <f>D84/C84</f>
        <v>0.2155403868106127</v>
      </c>
      <c r="H84" s="123"/>
    </row>
    <row r="85" spans="1:8" ht="15.75" customHeight="1" thickTop="1">
      <c r="A85" s="130"/>
      <c r="B85" s="134"/>
      <c r="C85" s="204"/>
      <c r="D85" s="204"/>
      <c r="E85" s="204"/>
      <c r="F85" s="132"/>
      <c r="G85" s="218"/>
      <c r="H85" s="123"/>
    </row>
    <row r="86" spans="1:8" ht="15.75">
      <c r="A86" s="130" t="s">
        <v>40</v>
      </c>
      <c r="B86" s="131">
        <f>DATE(2017,7,1)</f>
        <v>42917</v>
      </c>
      <c r="C86" s="204">
        <v>15476448</v>
      </c>
      <c r="D86" s="204">
        <v>3485005.33</v>
      </c>
      <c r="E86" s="204">
        <v>3555002.5</v>
      </c>
      <c r="F86" s="132">
        <f>(+D86-E86)/E86</f>
        <v>-0.019689766744186515</v>
      </c>
      <c r="G86" s="215">
        <f>D86/C86</f>
        <v>0.22518121276923492</v>
      </c>
      <c r="H86" s="123"/>
    </row>
    <row r="87" spans="1:8" ht="15.75">
      <c r="A87" s="130"/>
      <c r="B87" s="131">
        <f>DATE(2017,8,1)</f>
        <v>42948</v>
      </c>
      <c r="C87" s="204">
        <v>14484713</v>
      </c>
      <c r="D87" s="204">
        <v>2756152.9</v>
      </c>
      <c r="E87" s="204">
        <v>2648098.2</v>
      </c>
      <c r="F87" s="132">
        <f>(+D87-E87)/E87</f>
        <v>0.04080464236560401</v>
      </c>
      <c r="G87" s="215">
        <f>D87/C87</f>
        <v>0.19028011808035133</v>
      </c>
      <c r="H87" s="123"/>
    </row>
    <row r="88" spans="1:8" ht="15.75">
      <c r="A88" s="130"/>
      <c r="B88" s="131">
        <f>DATE(2017,9,1)</f>
        <v>42979</v>
      </c>
      <c r="C88" s="204">
        <v>16041731</v>
      </c>
      <c r="D88" s="204">
        <v>3555670.84</v>
      </c>
      <c r="E88" s="204">
        <v>2901818.1</v>
      </c>
      <c r="F88" s="132">
        <f>(+D88-E88)/E88</f>
        <v>0.22532519870904374</v>
      </c>
      <c r="G88" s="215">
        <f>D88/C88</f>
        <v>0.22165131929964416</v>
      </c>
      <c r="H88" s="123"/>
    </row>
    <row r="89" spans="1:8" ht="15.75">
      <c r="A89" s="130"/>
      <c r="B89" s="131">
        <f>DATE(2017,10,1)</f>
        <v>43009</v>
      </c>
      <c r="C89" s="204">
        <v>15374937</v>
      </c>
      <c r="D89" s="204">
        <v>3109647.95</v>
      </c>
      <c r="E89" s="204">
        <v>2903466</v>
      </c>
      <c r="F89" s="132">
        <f>(+D89-E89)/E89</f>
        <v>0.07101235213362243</v>
      </c>
      <c r="G89" s="215">
        <f>D89/C89</f>
        <v>0.20225435395279995</v>
      </c>
      <c r="H89" s="123"/>
    </row>
    <row r="90" spans="1:8" ht="15.75" thickBot="1">
      <c r="A90" s="133"/>
      <c r="B90" s="134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6">
        <f>SUM(C86:C90)</f>
        <v>61377829</v>
      </c>
      <c r="D91" s="207">
        <f>SUM(D86:D90)</f>
        <v>12906477.02</v>
      </c>
      <c r="E91" s="206">
        <f>SUM(E86:E90)</f>
        <v>12008384.8</v>
      </c>
      <c r="F91" s="143">
        <f>(+D91-E91)/E91</f>
        <v>0.07478876093311057</v>
      </c>
      <c r="G91" s="217">
        <f>D91/C91</f>
        <v>0.21027913874242765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64</v>
      </c>
      <c r="B93" s="131">
        <f>DATE(2017,7,1)</f>
        <v>42917</v>
      </c>
      <c r="C93" s="204">
        <v>829717</v>
      </c>
      <c r="D93" s="204">
        <v>283672</v>
      </c>
      <c r="E93" s="204">
        <v>188854</v>
      </c>
      <c r="F93" s="132">
        <f>(+D93-E93)/E93</f>
        <v>0.5020703824118102</v>
      </c>
      <c r="G93" s="215">
        <f>D93/C93</f>
        <v>0.341890066130982</v>
      </c>
      <c r="H93" s="123"/>
    </row>
    <row r="94" spans="1:8" ht="15.75">
      <c r="A94" s="130"/>
      <c r="B94" s="131">
        <f>DATE(2017,8,1)</f>
        <v>42948</v>
      </c>
      <c r="C94" s="204">
        <v>771356</v>
      </c>
      <c r="D94" s="204">
        <v>213515</v>
      </c>
      <c r="E94" s="204">
        <v>216171</v>
      </c>
      <c r="F94" s="132">
        <f>(+D94-E94)/E94</f>
        <v>-0.012286569428831804</v>
      </c>
      <c r="G94" s="215">
        <f>D94/C94</f>
        <v>0.27680474385368103</v>
      </c>
      <c r="H94" s="123"/>
    </row>
    <row r="95" spans="1:8" ht="15.75">
      <c r="A95" s="130"/>
      <c r="B95" s="131">
        <f>DATE(2017,9,1)</f>
        <v>42979</v>
      </c>
      <c r="C95" s="204">
        <v>789203</v>
      </c>
      <c r="D95" s="204">
        <v>213772.5</v>
      </c>
      <c r="E95" s="204">
        <v>216945.5</v>
      </c>
      <c r="F95" s="132">
        <f>(+D95-E95)/E95</f>
        <v>-0.014625793113938754</v>
      </c>
      <c r="G95" s="215">
        <f>D95/C95</f>
        <v>0.27087137276467527</v>
      </c>
      <c r="H95" s="123"/>
    </row>
    <row r="96" spans="1:8" ht="15.75">
      <c r="A96" s="130"/>
      <c r="B96" s="131">
        <f>DATE(2017,10,1)</f>
        <v>43009</v>
      </c>
      <c r="C96" s="204">
        <v>704934</v>
      </c>
      <c r="D96" s="204">
        <v>244828.5</v>
      </c>
      <c r="E96" s="204">
        <v>242110</v>
      </c>
      <c r="F96" s="132">
        <f>(+D96-E96)/E96</f>
        <v>0.01122836727107513</v>
      </c>
      <c r="G96" s="215">
        <f>D96/C96</f>
        <v>0.34730698193022325</v>
      </c>
      <c r="H96" s="123"/>
    </row>
    <row r="97" spans="1:8" ht="15.75" thickBot="1">
      <c r="A97" s="133"/>
      <c r="B97" s="134"/>
      <c r="C97" s="204"/>
      <c r="D97" s="204"/>
      <c r="E97" s="204"/>
      <c r="F97" s="132"/>
      <c r="G97" s="215"/>
      <c r="H97" s="123"/>
    </row>
    <row r="98" spans="1:8" ht="17.25" thickBot="1" thickTop="1">
      <c r="A98" s="135" t="s">
        <v>14</v>
      </c>
      <c r="B98" s="136"/>
      <c r="C98" s="201">
        <f>SUM(C93:C97)</f>
        <v>3095210</v>
      </c>
      <c r="D98" s="207">
        <f>SUM(D93:D97)</f>
        <v>955788</v>
      </c>
      <c r="E98" s="207">
        <f>SUM(E93:E97)</f>
        <v>864080.5</v>
      </c>
      <c r="F98" s="143">
        <f>(+D98-E98)/E98</f>
        <v>0.10613305126084896</v>
      </c>
      <c r="G98" s="217">
        <f>D98/C98</f>
        <v>0.3087958490700146</v>
      </c>
      <c r="H98" s="123"/>
    </row>
    <row r="99" spans="1:8" ht="16.5" thickBot="1" thickTop="1">
      <c r="A99" s="146"/>
      <c r="B99" s="139"/>
      <c r="C99" s="205"/>
      <c r="D99" s="205"/>
      <c r="E99" s="205"/>
      <c r="F99" s="140"/>
      <c r="G99" s="216"/>
      <c r="H99" s="123"/>
    </row>
    <row r="100" spans="1:8" ht="17.25" thickBot="1" thickTop="1">
      <c r="A100" s="147" t="s">
        <v>41</v>
      </c>
      <c r="B100" s="121"/>
      <c r="C100" s="201">
        <f>C98+C91+C70+C56+C42+C28+C14+C35+C84+C21+C63+C77+C49</f>
        <v>395932386.01</v>
      </c>
      <c r="D100" s="201">
        <f>D98+D91+D70+D56+D42+D28+D14+D35+D84+D21+D63+D77+D49</f>
        <v>82799585.49</v>
      </c>
      <c r="E100" s="201">
        <f>E98+E91+E70+E56+E42+E28+E14+E35+E84+E21+E63+E77+E49</f>
        <v>78799068.59</v>
      </c>
      <c r="F100" s="137">
        <f>(+D100-E100)/E100</f>
        <v>0.050768581045229216</v>
      </c>
      <c r="G100" s="212">
        <f>D100/C100</f>
        <v>0.20912556894981746</v>
      </c>
      <c r="H100" s="123"/>
    </row>
    <row r="101" spans="1:8" ht="17.25" thickBot="1" thickTop="1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Bot="1" thickTop="1">
      <c r="A102" s="265" t="s">
        <v>42</v>
      </c>
      <c r="B102" s="266"/>
      <c r="C102" s="206">
        <f>+C12+C19+C26+C33+C40+C47+C54+C61+C68+C75+C82+C89+C96</f>
        <v>99678117.25</v>
      </c>
      <c r="D102" s="206">
        <f>+D12+D19+D26+D33+D40+D47+D54+D61+D68+D75+D82+D89+D96</f>
        <v>18971523.98</v>
      </c>
      <c r="E102" s="206">
        <f>+E12+E19+E26+E33+E40+E47+E54+E61+E68+E75+E82+E89+E96</f>
        <v>20175785.57</v>
      </c>
      <c r="F102" s="143">
        <f>(+D102-E102)/E102</f>
        <v>-0.05968846099309529</v>
      </c>
      <c r="G102" s="217">
        <f>D102/C102</f>
        <v>0.19032787238966434</v>
      </c>
      <c r="H102" s="123"/>
    </row>
    <row r="103" spans="1:8" ht="16.5" thickTop="1">
      <c r="A103" s="256"/>
      <c r="B103" s="258"/>
      <c r="C103" s="259"/>
      <c r="D103" s="259"/>
      <c r="E103" s="259"/>
      <c r="F103" s="260"/>
      <c r="G103" s="257"/>
      <c r="H103" s="257"/>
    </row>
    <row r="104" spans="1:7" ht="18.75">
      <c r="A104" s="263" t="s">
        <v>43</v>
      </c>
      <c r="B104" s="117"/>
      <c r="C104" s="208"/>
      <c r="D104" s="208"/>
      <c r="E104" s="208"/>
      <c r="F104" s="148"/>
      <c r="G104" s="220"/>
    </row>
    <row r="105" ht="15.75">
      <c r="A105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07"/>
  <sheetViews>
    <sheetView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44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45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74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70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46</v>
      </c>
      <c r="H6" s="235"/>
      <c r="I6" s="151"/>
    </row>
    <row r="7" spans="1:9" ht="16.5" thickTop="1">
      <c r="A7" s="154"/>
      <c r="B7" s="155" t="s">
        <v>2</v>
      </c>
      <c r="C7" s="223" t="s">
        <v>47</v>
      </c>
      <c r="D7" s="223" t="s">
        <v>33</v>
      </c>
      <c r="E7" s="223" t="s">
        <v>3</v>
      </c>
      <c r="F7" s="156"/>
      <c r="G7" s="236" t="s">
        <v>34</v>
      </c>
      <c r="H7" s="253" t="s">
        <v>34</v>
      </c>
      <c r="I7" s="157"/>
    </row>
    <row r="8" spans="1:9" ht="16.5" thickBot="1">
      <c r="A8" s="158" t="s">
        <v>5</v>
      </c>
      <c r="B8" s="159" t="s">
        <v>6</v>
      </c>
      <c r="C8" s="224" t="s">
        <v>48</v>
      </c>
      <c r="D8" s="224" t="s">
        <v>49</v>
      </c>
      <c r="E8" s="224" t="s">
        <v>49</v>
      </c>
      <c r="F8" s="160" t="s">
        <v>8</v>
      </c>
      <c r="G8" s="238" t="s">
        <v>37</v>
      </c>
      <c r="H8" s="254" t="s">
        <v>50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38</v>
      </c>
      <c r="B10" s="165">
        <f>DATE(17,7,1)</f>
        <v>6392</v>
      </c>
      <c r="C10" s="226">
        <v>128003135.76</v>
      </c>
      <c r="D10" s="226">
        <v>12399693.56</v>
      </c>
      <c r="E10" s="226">
        <v>12760668.01</v>
      </c>
      <c r="F10" s="166">
        <f>(+D10-E10)/E10</f>
        <v>-0.02828805276629082</v>
      </c>
      <c r="G10" s="241">
        <f>D10/C10</f>
        <v>0.09687023279842813</v>
      </c>
      <c r="H10" s="242">
        <f>1-G10</f>
        <v>0.9031297672015719</v>
      </c>
      <c r="I10" s="157"/>
    </row>
    <row r="11" spans="1:9" ht="15.75">
      <c r="A11" s="164"/>
      <c r="B11" s="165">
        <f>DATE(17,8,1)</f>
        <v>6423</v>
      </c>
      <c r="C11" s="226">
        <v>116499333.11</v>
      </c>
      <c r="D11" s="226">
        <v>11441719.54</v>
      </c>
      <c r="E11" s="226">
        <v>11027150.02</v>
      </c>
      <c r="F11" s="166">
        <f>(+D11-E11)/E11</f>
        <v>0.03759534596410611</v>
      </c>
      <c r="G11" s="241">
        <f>D11/C11</f>
        <v>0.09821274709956147</v>
      </c>
      <c r="H11" s="242">
        <f>1-G11</f>
        <v>0.9017872529004385</v>
      </c>
      <c r="I11" s="157"/>
    </row>
    <row r="12" spans="1:9" ht="15.75">
      <c r="A12" s="164"/>
      <c r="B12" s="165">
        <f>DATE(17,9,1)</f>
        <v>6454</v>
      </c>
      <c r="C12" s="226">
        <v>121499196.15</v>
      </c>
      <c r="D12" s="226">
        <v>11813160.59</v>
      </c>
      <c r="E12" s="226">
        <v>11131300.2</v>
      </c>
      <c r="F12" s="166">
        <f>(+D12-E12)/E12</f>
        <v>0.06125613160626111</v>
      </c>
      <c r="G12" s="241">
        <f>D12/C12</f>
        <v>0.09722830244420509</v>
      </c>
      <c r="H12" s="242">
        <f>1-G12</f>
        <v>0.9027716975557949</v>
      </c>
      <c r="I12" s="157"/>
    </row>
    <row r="13" spans="1:9" ht="15.75">
      <c r="A13" s="164"/>
      <c r="B13" s="165">
        <f>DATE(17,10,1)</f>
        <v>6484</v>
      </c>
      <c r="C13" s="226">
        <v>115537297.52</v>
      </c>
      <c r="D13" s="226">
        <v>11558139.69</v>
      </c>
      <c r="E13" s="226">
        <v>11426198.17</v>
      </c>
      <c r="F13" s="166">
        <f>(+D13-E13)/E13</f>
        <v>0.011547280909797099</v>
      </c>
      <c r="G13" s="241">
        <f>D13/C13</f>
        <v>0.10003816895578016</v>
      </c>
      <c r="H13" s="242">
        <f>1-G13</f>
        <v>0.8999618310442199</v>
      </c>
      <c r="I13" s="157"/>
    </row>
    <row r="14" spans="1:9" ht="15.75" thickBot="1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Bot="1" thickTop="1">
      <c r="A15" s="169" t="s">
        <v>14</v>
      </c>
      <c r="B15" s="155"/>
      <c r="C15" s="223">
        <f>SUM(C10:C14)</f>
        <v>481538962.53999996</v>
      </c>
      <c r="D15" s="223">
        <f>SUM(D10:D14)</f>
        <v>47212713.379999995</v>
      </c>
      <c r="E15" s="223">
        <f>SUM(E10:E14)</f>
        <v>46345316.400000006</v>
      </c>
      <c r="F15" s="170">
        <f>(+D15-E15)/E15</f>
        <v>0.018715957671183125</v>
      </c>
      <c r="G15" s="236">
        <f>D15/C15</f>
        <v>0.09804546890861024</v>
      </c>
      <c r="H15" s="237">
        <f>1-G15</f>
        <v>0.9019545310913898</v>
      </c>
      <c r="I15" s="157"/>
    </row>
    <row r="16" spans="1:9" ht="15.75" thickTop="1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>
      <c r="A17" s="19" t="s">
        <v>51</v>
      </c>
      <c r="B17" s="165">
        <f>DATE(17,7,1)</f>
        <v>6392</v>
      </c>
      <c r="C17" s="226">
        <v>70369862.87</v>
      </c>
      <c r="D17" s="226">
        <v>6821642.2</v>
      </c>
      <c r="E17" s="226">
        <v>7099133.54</v>
      </c>
      <c r="F17" s="166">
        <f>(+D17-E17)/E17</f>
        <v>-0.03908805749835209</v>
      </c>
      <c r="G17" s="241">
        <f>D17/C17</f>
        <v>0.09693982511522264</v>
      </c>
      <c r="H17" s="242">
        <f>1-G17</f>
        <v>0.9030601748847773</v>
      </c>
      <c r="I17" s="157"/>
    </row>
    <row r="18" spans="1:9" ht="15.75">
      <c r="A18" s="19"/>
      <c r="B18" s="165">
        <f>DATE(17,8,1)</f>
        <v>6423</v>
      </c>
      <c r="C18" s="226">
        <v>64182696.16</v>
      </c>
      <c r="D18" s="226">
        <v>6396602.31</v>
      </c>
      <c r="E18" s="226">
        <v>6284127.36</v>
      </c>
      <c r="F18" s="166">
        <f>(+D18-E18)/E18</f>
        <v>0.017898260737987216</v>
      </c>
      <c r="G18" s="241">
        <f>D18/C18</f>
        <v>0.09966241203164812</v>
      </c>
      <c r="H18" s="242">
        <f>1-G18</f>
        <v>0.9003375879683518</v>
      </c>
      <c r="I18" s="157"/>
    </row>
    <row r="19" spans="1:9" ht="15.75">
      <c r="A19" s="19"/>
      <c r="B19" s="165">
        <f>DATE(17,9,1)</f>
        <v>6454</v>
      </c>
      <c r="C19" s="226">
        <v>64033578.3</v>
      </c>
      <c r="D19" s="226">
        <v>6148408.09</v>
      </c>
      <c r="E19" s="226">
        <v>6426114.46</v>
      </c>
      <c r="F19" s="166">
        <f>(+D19-E19)/E19</f>
        <v>-0.04321528533744793</v>
      </c>
      <c r="G19" s="241">
        <f>D19/C19</f>
        <v>0.09601849925041593</v>
      </c>
      <c r="H19" s="242">
        <f>1-G19</f>
        <v>0.903981500749584</v>
      </c>
      <c r="I19" s="157"/>
    </row>
    <row r="20" spans="1:9" ht="15.75">
      <c r="A20" s="19"/>
      <c r="B20" s="165">
        <f>DATE(17,10,1)</f>
        <v>6484</v>
      </c>
      <c r="C20" s="226">
        <v>61277642.92</v>
      </c>
      <c r="D20" s="226">
        <v>5734526.36</v>
      </c>
      <c r="E20" s="226">
        <v>6207514.07</v>
      </c>
      <c r="F20" s="166">
        <f>(+D20-E20)/E20</f>
        <v>-0.076195994832437</v>
      </c>
      <c r="G20" s="241">
        <f>D20/C20</f>
        <v>0.09358268508282237</v>
      </c>
      <c r="H20" s="242">
        <f>1-G20</f>
        <v>0.9064173149171776</v>
      </c>
      <c r="I20" s="157"/>
    </row>
    <row r="21" spans="1:9" ht="15.75" thickBot="1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SUM(C17:C21)</f>
        <v>259863780.25</v>
      </c>
      <c r="D22" s="223">
        <f>SUM(D17:D21)</f>
        <v>25101178.96</v>
      </c>
      <c r="E22" s="223">
        <f>SUM(E17:E21)</f>
        <v>26016889.43</v>
      </c>
      <c r="F22" s="170">
        <f>(+D22-E22)/E22</f>
        <v>-0.03519676986996361</v>
      </c>
      <c r="G22" s="236">
        <f>D22/C22</f>
        <v>0.0965936035250915</v>
      </c>
      <c r="H22" s="237">
        <f>1-G22</f>
        <v>0.9034063964749085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60</v>
      </c>
      <c r="B24" s="165">
        <f>DATE(17,7,1)</f>
        <v>6392</v>
      </c>
      <c r="C24" s="226">
        <v>27686533.48</v>
      </c>
      <c r="D24" s="226">
        <v>2951015.74</v>
      </c>
      <c r="E24" s="226">
        <v>3021071.12</v>
      </c>
      <c r="F24" s="166">
        <f>(+D24-E24)/E24</f>
        <v>-0.0231889211532365</v>
      </c>
      <c r="G24" s="241">
        <f>D24/C24</f>
        <v>0.10658668201028973</v>
      </c>
      <c r="H24" s="242">
        <f>1-G24</f>
        <v>0.8934133179897102</v>
      </c>
      <c r="I24" s="157"/>
    </row>
    <row r="25" spans="1:9" ht="15.75">
      <c r="A25" s="19"/>
      <c r="B25" s="165">
        <f>DATE(17,8,1)</f>
        <v>6423</v>
      </c>
      <c r="C25" s="226">
        <v>24319135.61</v>
      </c>
      <c r="D25" s="226">
        <v>2587760.59</v>
      </c>
      <c r="E25" s="226">
        <v>2616739.9</v>
      </c>
      <c r="F25" s="166">
        <f>(+D25-E25)/E25</f>
        <v>-0.011074585594082184</v>
      </c>
      <c r="G25" s="241">
        <f>D25/C25</f>
        <v>0.1064084115282418</v>
      </c>
      <c r="H25" s="242">
        <f>1-G25</f>
        <v>0.8935915884717582</v>
      </c>
      <c r="I25" s="157"/>
    </row>
    <row r="26" spans="1:9" ht="15.75">
      <c r="A26" s="19"/>
      <c r="B26" s="165">
        <f>DATE(17,9,1)</f>
        <v>6454</v>
      </c>
      <c r="C26" s="226">
        <v>25776531.98</v>
      </c>
      <c r="D26" s="226">
        <v>2789987.56</v>
      </c>
      <c r="E26" s="226">
        <v>2834248.99</v>
      </c>
      <c r="F26" s="166">
        <f>(+D26-E26)/E26</f>
        <v>-0.015616634302831722</v>
      </c>
      <c r="G26" s="241">
        <f>D26/C26</f>
        <v>0.10823750697590934</v>
      </c>
      <c r="H26" s="242">
        <f>1-G26</f>
        <v>0.8917624930240906</v>
      </c>
      <c r="I26" s="157"/>
    </row>
    <row r="27" spans="1:9" ht="15.75">
      <c r="A27" s="19"/>
      <c r="B27" s="165">
        <f>DATE(17,10,1)</f>
        <v>6484</v>
      </c>
      <c r="C27" s="226">
        <v>23361674.53</v>
      </c>
      <c r="D27" s="226">
        <v>2567931.31</v>
      </c>
      <c r="E27" s="226">
        <v>2635379.35</v>
      </c>
      <c r="F27" s="166">
        <f>(+D27-E27)/E27</f>
        <v>-0.025593294566871382</v>
      </c>
      <c r="G27" s="241">
        <f>D27/C27</f>
        <v>0.10992068683699789</v>
      </c>
      <c r="H27" s="242">
        <f>1-G27</f>
        <v>0.8900793131630022</v>
      </c>
      <c r="I27" s="157"/>
    </row>
    <row r="28" spans="1:9" ht="15.75" thickBot="1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Bot="1" thickTop="1">
      <c r="A29" s="174" t="s">
        <v>14</v>
      </c>
      <c r="B29" s="175"/>
      <c r="C29" s="228">
        <f>SUM(C24:C28)</f>
        <v>101143875.60000001</v>
      </c>
      <c r="D29" s="228">
        <f>SUM(D24:D28)</f>
        <v>10896695.200000001</v>
      </c>
      <c r="E29" s="228">
        <f>SUM(E24:E28)</f>
        <v>11107439.36</v>
      </c>
      <c r="F29" s="176">
        <f>(+D29-E29)/E29</f>
        <v>-0.018973244252759827</v>
      </c>
      <c r="G29" s="245">
        <f>D29/C29</f>
        <v>0.10773460217298614</v>
      </c>
      <c r="H29" s="246">
        <f>1-G29</f>
        <v>0.8922653978270139</v>
      </c>
      <c r="I29" s="157"/>
    </row>
    <row r="30" spans="1:9" ht="15.75" thickTop="1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>
      <c r="A31" s="177" t="s">
        <v>65</v>
      </c>
      <c r="B31" s="165">
        <f>DATE(17,7,1)</f>
        <v>6392</v>
      </c>
      <c r="C31" s="226">
        <v>199002675.73</v>
      </c>
      <c r="D31" s="226">
        <v>17796071.33</v>
      </c>
      <c r="E31" s="226">
        <v>18141371.29</v>
      </c>
      <c r="F31" s="166">
        <f>(+D31-E31)/E31</f>
        <v>-0.019033840081887268</v>
      </c>
      <c r="G31" s="241">
        <f>D31/C31</f>
        <v>0.08942629170546983</v>
      </c>
      <c r="H31" s="242">
        <f>1-G31</f>
        <v>0.9105737082945302</v>
      </c>
      <c r="I31" s="157"/>
    </row>
    <row r="32" spans="1:9" ht="15.75">
      <c r="A32" s="177"/>
      <c r="B32" s="165">
        <f>DATE(17,8,1)</f>
        <v>6423</v>
      </c>
      <c r="C32" s="226">
        <v>185850095.92</v>
      </c>
      <c r="D32" s="226">
        <v>17013833.45</v>
      </c>
      <c r="E32" s="226">
        <v>17116248.3</v>
      </c>
      <c r="F32" s="166">
        <f>(+D32-E32)/E32</f>
        <v>-0.005983487047217087</v>
      </c>
      <c r="G32" s="241">
        <f>D32/C32</f>
        <v>0.0915460030611105</v>
      </c>
      <c r="H32" s="242">
        <f>1-G32</f>
        <v>0.9084539969388895</v>
      </c>
      <c r="I32" s="157"/>
    </row>
    <row r="33" spans="1:9" ht="15.75">
      <c r="A33" s="177"/>
      <c r="B33" s="165">
        <f>DATE(17,9,1)</f>
        <v>6454</v>
      </c>
      <c r="C33" s="226">
        <v>179235333.71</v>
      </c>
      <c r="D33" s="226">
        <v>16916276.07</v>
      </c>
      <c r="E33" s="226">
        <v>17027821.25</v>
      </c>
      <c r="F33" s="166">
        <f>(+D33-E33)/E33</f>
        <v>-0.006550760567797228</v>
      </c>
      <c r="G33" s="241">
        <f>D33/C33</f>
        <v>0.09438025259779566</v>
      </c>
      <c r="H33" s="242">
        <f>1-G33</f>
        <v>0.9056197474022043</v>
      </c>
      <c r="I33" s="157"/>
    </row>
    <row r="34" spans="1:9" ht="15.75">
      <c r="A34" s="177"/>
      <c r="B34" s="165">
        <f>DATE(17,10,1)</f>
        <v>6484</v>
      </c>
      <c r="C34" s="226">
        <v>168909872.18</v>
      </c>
      <c r="D34" s="226">
        <v>15553875.56</v>
      </c>
      <c r="E34" s="226">
        <v>16676556.04</v>
      </c>
      <c r="F34" s="166">
        <f>(+D34-E34)/E34</f>
        <v>-0.06732088311922217</v>
      </c>
      <c r="G34" s="241">
        <f>D34/C34</f>
        <v>0.09208387502315378</v>
      </c>
      <c r="H34" s="242">
        <f>1-G34</f>
        <v>0.9079161249768463</v>
      </c>
      <c r="I34" s="157"/>
    </row>
    <row r="35" spans="1:9" ht="15.75" thickBot="1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8"/>
      <c r="C36" s="228">
        <f>SUM(C31:C35)</f>
        <v>732997977.54</v>
      </c>
      <c r="D36" s="228">
        <f>SUM(D31:D35)</f>
        <v>67280056.41</v>
      </c>
      <c r="E36" s="228">
        <f>SUM(E31:E35)</f>
        <v>68961996.88</v>
      </c>
      <c r="F36" s="176">
        <f>(+D36-E36)/E36</f>
        <v>-0.024389381776846235</v>
      </c>
      <c r="G36" s="245">
        <f>D36/C36</f>
        <v>0.09178750620267366</v>
      </c>
      <c r="H36" s="246">
        <f>1-G36</f>
        <v>0.9082124937973264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16</v>
      </c>
      <c r="B38" s="165">
        <f>DATE(17,7,1)</f>
        <v>6392</v>
      </c>
      <c r="C38" s="226">
        <v>122650754.72</v>
      </c>
      <c r="D38" s="226">
        <v>12389304.68</v>
      </c>
      <c r="E38" s="226">
        <v>10986140.39</v>
      </c>
      <c r="F38" s="166">
        <f>(+D38-E38)/E38</f>
        <v>0.12772131432775174</v>
      </c>
      <c r="G38" s="241">
        <f>D38/C38</f>
        <v>0.1010128694950439</v>
      </c>
      <c r="H38" s="242">
        <f>1-G38</f>
        <v>0.8989871305049562</v>
      </c>
      <c r="I38" s="157"/>
    </row>
    <row r="39" spans="1:9" ht="15.75">
      <c r="A39" s="164"/>
      <c r="B39" s="165">
        <f>DATE(17,8,1)</f>
        <v>6423</v>
      </c>
      <c r="C39" s="226">
        <v>118081260.75</v>
      </c>
      <c r="D39" s="226">
        <v>11735802.96</v>
      </c>
      <c r="E39" s="226">
        <v>11023402.54</v>
      </c>
      <c r="F39" s="166">
        <f>(+D39-E39)/E39</f>
        <v>0.06462618210801561</v>
      </c>
      <c r="G39" s="241">
        <f>D39/C39</f>
        <v>0.0993875140344824</v>
      </c>
      <c r="H39" s="242">
        <f>1-G39</f>
        <v>0.9006124859655176</v>
      </c>
      <c r="I39" s="157"/>
    </row>
    <row r="40" spans="1:9" ht="15.75">
      <c r="A40" s="164"/>
      <c r="B40" s="165">
        <f>DATE(17,9,1)</f>
        <v>6454</v>
      </c>
      <c r="C40" s="226">
        <v>124802163.83</v>
      </c>
      <c r="D40" s="226">
        <v>11892155.97</v>
      </c>
      <c r="E40" s="226">
        <v>10758067.16</v>
      </c>
      <c r="F40" s="166">
        <f>(+D40-E40)/E40</f>
        <v>0.10541752464761528</v>
      </c>
      <c r="G40" s="241">
        <f>D40/C40</f>
        <v>0.09528805915736342</v>
      </c>
      <c r="H40" s="242">
        <f>1-G40</f>
        <v>0.9047119408426366</v>
      </c>
      <c r="I40" s="157"/>
    </row>
    <row r="41" spans="1:9" ht="15.75">
      <c r="A41" s="164"/>
      <c r="B41" s="165">
        <f>DATE(17,10,1)</f>
        <v>6484</v>
      </c>
      <c r="C41" s="226">
        <v>121164519.66</v>
      </c>
      <c r="D41" s="226">
        <v>11365393.67</v>
      </c>
      <c r="E41" s="226">
        <v>10388271.47</v>
      </c>
      <c r="F41" s="166">
        <f>(+D41-E41)/E41</f>
        <v>0.0940601333746238</v>
      </c>
      <c r="G41" s="241">
        <f>D41/C41</f>
        <v>0.09380133476278744</v>
      </c>
      <c r="H41" s="242">
        <f>1-G41</f>
        <v>0.9061986652372126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SUM(C38:C42)</f>
        <v>486698698.96000004</v>
      </c>
      <c r="D43" s="230">
        <f>SUM(D38:D42)</f>
        <v>47382657.28</v>
      </c>
      <c r="E43" s="271">
        <f>SUM(E38:E42)</f>
        <v>43155881.56</v>
      </c>
      <c r="F43" s="272">
        <f>(+D43-E43)/E43</f>
        <v>0.09794205487665628</v>
      </c>
      <c r="G43" s="249">
        <f>D43/C43</f>
        <v>0.09735521664892349</v>
      </c>
      <c r="H43" s="270">
        <f>1-G43</f>
        <v>0.9026447833510765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66</v>
      </c>
      <c r="B45" s="165">
        <f>DATE(17,7,1)</f>
        <v>6392</v>
      </c>
      <c r="C45" s="226">
        <v>48763845.1</v>
      </c>
      <c r="D45" s="226">
        <v>4991725.48</v>
      </c>
      <c r="E45" s="226">
        <v>5336762.36</v>
      </c>
      <c r="F45" s="166">
        <f>(+D45-E45)/E45</f>
        <v>-0.0646528469369582</v>
      </c>
      <c r="G45" s="241">
        <f>D45/C45</f>
        <v>0.10236529686622273</v>
      </c>
      <c r="H45" s="242">
        <f>1-G45</f>
        <v>0.8976347031337772</v>
      </c>
      <c r="I45" s="157"/>
    </row>
    <row r="46" spans="1:9" ht="15.75">
      <c r="A46" s="164"/>
      <c r="B46" s="165">
        <f>DATE(17,8,1)</f>
        <v>6423</v>
      </c>
      <c r="C46" s="226">
        <v>46643306.34</v>
      </c>
      <c r="D46" s="226">
        <v>4592418.47</v>
      </c>
      <c r="E46" s="226">
        <v>4882835.18</v>
      </c>
      <c r="F46" s="166">
        <f>(+D46-E46)/E46</f>
        <v>-0.05947706594511756</v>
      </c>
      <c r="G46" s="241">
        <f>D46/C46</f>
        <v>0.0984582532919985</v>
      </c>
      <c r="H46" s="242">
        <f>1-G46</f>
        <v>0.9015417467080015</v>
      </c>
      <c r="I46" s="157"/>
    </row>
    <row r="47" spans="1:9" ht="15.75">
      <c r="A47" s="164"/>
      <c r="B47" s="165">
        <f>DATE(17,9,1)</f>
        <v>6454</v>
      </c>
      <c r="C47" s="226">
        <v>47450126.56</v>
      </c>
      <c r="D47" s="226">
        <v>5151289.35</v>
      </c>
      <c r="E47" s="226">
        <v>4889525.49</v>
      </c>
      <c r="F47" s="166">
        <f>(+D47-E47)/E47</f>
        <v>0.0535356366451828</v>
      </c>
      <c r="G47" s="241">
        <f>D47/C47</f>
        <v>0.1085621835694425</v>
      </c>
      <c r="H47" s="242">
        <f>1-G47</f>
        <v>0.8914378164305575</v>
      </c>
      <c r="I47" s="157"/>
    </row>
    <row r="48" spans="1:9" ht="15.75">
      <c r="A48" s="164"/>
      <c r="B48" s="165">
        <f>DATE(17,10,1)</f>
        <v>6484</v>
      </c>
      <c r="C48" s="226">
        <v>43853918.35</v>
      </c>
      <c r="D48" s="226">
        <v>4567525</v>
      </c>
      <c r="E48" s="226">
        <v>4651162.99</v>
      </c>
      <c r="F48" s="166">
        <f>(+D48-E48)/E48</f>
        <v>-0.01798216707946419</v>
      </c>
      <c r="G48" s="241">
        <f>D48/C48</f>
        <v>0.10415317882307316</v>
      </c>
      <c r="H48" s="242">
        <f>1-G48</f>
        <v>0.8958468211769268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SUM(C45:C49)</f>
        <v>186711196.35</v>
      </c>
      <c r="D50" s="230">
        <f>SUM(D45:D49)</f>
        <v>19302958.299999997</v>
      </c>
      <c r="E50" s="271">
        <f>SUM(E45:E49)</f>
        <v>19760286.02</v>
      </c>
      <c r="F50" s="272">
        <f>(+D50-E50)/E50</f>
        <v>-0.0231437803854219</v>
      </c>
      <c r="G50" s="249">
        <f>D50/C50</f>
        <v>0.10338404272133517</v>
      </c>
      <c r="H50" s="270">
        <f>1-G50</f>
        <v>0.8966159572786648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164" t="s">
        <v>17</v>
      </c>
      <c r="B52" s="165">
        <f>DATE(17,7,1)</f>
        <v>6392</v>
      </c>
      <c r="C52" s="226">
        <v>51730614.82</v>
      </c>
      <c r="D52" s="226">
        <v>5822170.92</v>
      </c>
      <c r="E52" s="226">
        <v>5949492.25</v>
      </c>
      <c r="F52" s="166">
        <f>(+D52-E52)/E52</f>
        <v>-0.021400369081916205</v>
      </c>
      <c r="G52" s="241">
        <f>D52/C52</f>
        <v>0.11254787789123748</v>
      </c>
      <c r="H52" s="242">
        <f>1-G52</f>
        <v>0.8874521221087626</v>
      </c>
      <c r="I52" s="157"/>
    </row>
    <row r="53" spans="1:9" ht="15.75">
      <c r="A53" s="164"/>
      <c r="B53" s="165">
        <f>DATE(17,8,1)</f>
        <v>6423</v>
      </c>
      <c r="C53" s="226">
        <v>50278496.66</v>
      </c>
      <c r="D53" s="226">
        <v>5585308.33</v>
      </c>
      <c r="E53" s="226">
        <v>5777712.11</v>
      </c>
      <c r="F53" s="166">
        <f>(+D53-E53)/E53</f>
        <v>-0.033301032716218225</v>
      </c>
      <c r="G53" s="241">
        <f>D53/C53</f>
        <v>0.11108741710735152</v>
      </c>
      <c r="H53" s="242">
        <f>1-G53</f>
        <v>0.8889125828926485</v>
      </c>
      <c r="I53" s="157"/>
    </row>
    <row r="54" spans="1:9" ht="15.75">
      <c r="A54" s="164"/>
      <c r="B54" s="165">
        <f>DATE(17,9,1)</f>
        <v>6454</v>
      </c>
      <c r="C54" s="226">
        <v>51254253.76</v>
      </c>
      <c r="D54" s="226">
        <v>5571414.24</v>
      </c>
      <c r="E54" s="226">
        <v>5530260.84</v>
      </c>
      <c r="F54" s="166">
        <f>(+D54-E54)/E54</f>
        <v>0.007441493482972925</v>
      </c>
      <c r="G54" s="241">
        <f>D54/C54</f>
        <v>0.10870149951042815</v>
      </c>
      <c r="H54" s="242">
        <f>1-G54</f>
        <v>0.8912985004895718</v>
      </c>
      <c r="I54" s="157"/>
    </row>
    <row r="55" spans="1:9" ht="15.75">
      <c r="A55" s="164"/>
      <c r="B55" s="165">
        <f>DATE(17,10,1)</f>
        <v>6484</v>
      </c>
      <c r="C55" s="226">
        <v>48929722.41</v>
      </c>
      <c r="D55" s="226">
        <v>5441119.06</v>
      </c>
      <c r="E55" s="226">
        <v>5730702.37</v>
      </c>
      <c r="F55" s="166">
        <f>(+D55-E55)/E55</f>
        <v>-0.050531905393649074</v>
      </c>
      <c r="G55" s="241">
        <f>D55/C55</f>
        <v>0.11120273715037411</v>
      </c>
      <c r="H55" s="242">
        <f>1-G55</f>
        <v>0.8887972628496259</v>
      </c>
      <c r="I55" s="157"/>
    </row>
    <row r="56" spans="1:9" ht="15.75" thickBot="1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Bot="1" thickTop="1">
      <c r="A57" s="174" t="s">
        <v>14</v>
      </c>
      <c r="B57" s="175"/>
      <c r="C57" s="228">
        <f>SUM(C52:C56)</f>
        <v>202193087.64999998</v>
      </c>
      <c r="D57" s="230">
        <f>SUM(D52:D56)</f>
        <v>22420012.55</v>
      </c>
      <c r="E57" s="271">
        <f>SUM(E52:E56)</f>
        <v>22988167.57</v>
      </c>
      <c r="F57" s="272">
        <f>(+D57-E57)/E57</f>
        <v>-0.024715106946647317</v>
      </c>
      <c r="G57" s="249">
        <f>D57/C57</f>
        <v>0.11088416923930389</v>
      </c>
      <c r="H57" s="270">
        <f>1-G57</f>
        <v>0.8891158307606961</v>
      </c>
      <c r="I57" s="157"/>
    </row>
    <row r="58" spans="1:9" ht="15.75" thickTop="1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>
      <c r="A59" s="164" t="s">
        <v>67</v>
      </c>
      <c r="B59" s="165">
        <f>DATE(17,7,1)</f>
        <v>6392</v>
      </c>
      <c r="C59" s="226">
        <v>109468070.42</v>
      </c>
      <c r="D59" s="226">
        <v>10118088.25</v>
      </c>
      <c r="E59" s="226">
        <v>8936566.59</v>
      </c>
      <c r="F59" s="166">
        <f>(+D59-E59)/E59</f>
        <v>0.13221203558446265</v>
      </c>
      <c r="G59" s="241">
        <f>D59/C59</f>
        <v>0.09242958436354615</v>
      </c>
      <c r="H59" s="242">
        <f>1-G59</f>
        <v>0.9075704156364539</v>
      </c>
      <c r="I59" s="157"/>
    </row>
    <row r="60" spans="1:9" ht="15.75">
      <c r="A60" s="164"/>
      <c r="B60" s="165">
        <f>DATE(17,8,1)</f>
        <v>6423</v>
      </c>
      <c r="C60" s="226">
        <v>102310953.37</v>
      </c>
      <c r="D60" s="226">
        <v>10081520.41</v>
      </c>
      <c r="E60" s="226">
        <v>7748842.64</v>
      </c>
      <c r="F60" s="166">
        <f>(+D60-E60)/E60</f>
        <v>0.3010356356907514</v>
      </c>
      <c r="G60" s="241">
        <f>D60/C60</f>
        <v>0.09853803603550566</v>
      </c>
      <c r="H60" s="242">
        <f>1-G60</f>
        <v>0.9014619639644943</v>
      </c>
      <c r="I60" s="157"/>
    </row>
    <row r="61" spans="1:9" ht="15.75">
      <c r="A61" s="164"/>
      <c r="B61" s="165">
        <f>DATE(17,9,1)</f>
        <v>6454</v>
      </c>
      <c r="C61" s="226">
        <v>103135206.2</v>
      </c>
      <c r="D61" s="226">
        <v>9642813.36</v>
      </c>
      <c r="E61" s="226">
        <v>8194684.76</v>
      </c>
      <c r="F61" s="166">
        <f>(+D61-E61)/E61</f>
        <v>0.17671559582970459</v>
      </c>
      <c r="G61" s="241">
        <f>D61/C61</f>
        <v>0.09349681563927488</v>
      </c>
      <c r="H61" s="242">
        <f>1-G61</f>
        <v>0.9065031843607251</v>
      </c>
      <c r="I61" s="157"/>
    </row>
    <row r="62" spans="1:9" ht="15.75">
      <c r="A62" s="164"/>
      <c r="B62" s="165">
        <f>DATE(17,10,1)</f>
        <v>6484</v>
      </c>
      <c r="C62" s="226">
        <v>98551658.52</v>
      </c>
      <c r="D62" s="226">
        <v>9440836.54</v>
      </c>
      <c r="E62" s="226">
        <v>8155477.29</v>
      </c>
      <c r="F62" s="166">
        <f>(+D62-E62)/E62</f>
        <v>0.15760687011857266</v>
      </c>
      <c r="G62" s="241">
        <f>D62/C62</f>
        <v>0.09579581593833941</v>
      </c>
      <c r="H62" s="242">
        <f>1-G62</f>
        <v>0.9042041840616606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SUM(C59:C63)</f>
        <v>413465888.51</v>
      </c>
      <c r="D64" s="230">
        <f>SUM(D59:D63)</f>
        <v>39283258.56</v>
      </c>
      <c r="E64" s="271">
        <f>SUM(E59:E63)</f>
        <v>33035571.28</v>
      </c>
      <c r="F64" s="176">
        <f>(+D64-E64)/E64</f>
        <v>0.18912000119648</v>
      </c>
      <c r="G64" s="249">
        <f>D64/C64</f>
        <v>0.09500967226477719</v>
      </c>
      <c r="H64" s="270">
        <f>1-G64</f>
        <v>0.9049903277352228</v>
      </c>
      <c r="I64" s="157"/>
    </row>
    <row r="65" spans="1:9" ht="15.75" thickTop="1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>
      <c r="A66" s="164" t="s">
        <v>18</v>
      </c>
      <c r="B66" s="165">
        <f>DATE(17,7,1)</f>
        <v>6392</v>
      </c>
      <c r="C66" s="226">
        <v>149607316.71</v>
      </c>
      <c r="D66" s="226">
        <v>13990899.67</v>
      </c>
      <c r="E66" s="226">
        <v>14874442.41</v>
      </c>
      <c r="F66" s="166">
        <f>(+D66-E66)/E66</f>
        <v>-0.05940005787416943</v>
      </c>
      <c r="G66" s="241">
        <f>D66/C66</f>
        <v>0.0935174828188388</v>
      </c>
      <c r="H66" s="242">
        <f>1-G66</f>
        <v>0.9064825171811612</v>
      </c>
      <c r="I66" s="157"/>
    </row>
    <row r="67" spans="1:9" ht="15.75">
      <c r="A67" s="164"/>
      <c r="B67" s="165">
        <f>DATE(17,8,1)</f>
        <v>6423</v>
      </c>
      <c r="C67" s="226">
        <v>139476395.92</v>
      </c>
      <c r="D67" s="226">
        <v>13373041.55</v>
      </c>
      <c r="E67" s="226">
        <v>13587466.12</v>
      </c>
      <c r="F67" s="166">
        <f>(+D67-E67)/E67</f>
        <v>-0.015781056460878847</v>
      </c>
      <c r="G67" s="241">
        <f>D67/C67</f>
        <v>0.0958803205502272</v>
      </c>
      <c r="H67" s="242">
        <f>1-G67</f>
        <v>0.9041196794497728</v>
      </c>
      <c r="I67" s="157"/>
    </row>
    <row r="68" spans="1:9" ht="15.75">
      <c r="A68" s="164"/>
      <c r="B68" s="165">
        <f>DATE(17,9,1)</f>
        <v>6454</v>
      </c>
      <c r="C68" s="226">
        <v>143776566.54</v>
      </c>
      <c r="D68" s="226">
        <v>13392030.43</v>
      </c>
      <c r="E68" s="226">
        <v>13653509.51</v>
      </c>
      <c r="F68" s="166">
        <f>(+D68-E68)/E68</f>
        <v>-0.019151052687844804</v>
      </c>
      <c r="G68" s="241">
        <f>D68/C68</f>
        <v>0.09314473667219067</v>
      </c>
      <c r="H68" s="242">
        <f>1-G68</f>
        <v>0.9068552633278093</v>
      </c>
      <c r="I68" s="157"/>
    </row>
    <row r="69" spans="1:9" ht="15.75">
      <c r="A69" s="164"/>
      <c r="B69" s="165">
        <f>DATE(17,10,1)</f>
        <v>6484</v>
      </c>
      <c r="C69" s="226">
        <v>137124347.25</v>
      </c>
      <c r="D69" s="226">
        <v>12769108.56</v>
      </c>
      <c r="E69" s="226">
        <v>13910961.09</v>
      </c>
      <c r="F69" s="166">
        <f>(+D69-E69)/E69</f>
        <v>-0.08208293608274332</v>
      </c>
      <c r="G69" s="241">
        <f>D69/C69</f>
        <v>0.09312065155518909</v>
      </c>
      <c r="H69" s="242">
        <f>1-G69</f>
        <v>0.9068793484448109</v>
      </c>
      <c r="I69" s="157"/>
    </row>
    <row r="70" spans="1:9" ht="15.75" customHeight="1" thickBot="1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Bot="1" thickTop="1">
      <c r="A71" s="174" t="s">
        <v>14</v>
      </c>
      <c r="B71" s="181"/>
      <c r="C71" s="228">
        <f>SUM(C66:C70)</f>
        <v>569984626.42</v>
      </c>
      <c r="D71" s="228">
        <f>SUM(D66:D70)</f>
        <v>53525080.21</v>
      </c>
      <c r="E71" s="228">
        <f>SUM(E66:E70)</f>
        <v>56026379.129999995</v>
      </c>
      <c r="F71" s="176">
        <f>(+D71-E71)/E71</f>
        <v>-0.04464502184223153</v>
      </c>
      <c r="G71" s="245">
        <f>D71/C71</f>
        <v>0.09390618225299187</v>
      </c>
      <c r="H71" s="246">
        <f>1-G71</f>
        <v>0.9060938177470081</v>
      </c>
      <c r="I71" s="157"/>
    </row>
    <row r="72" spans="1:9" ht="15.75" thickTop="1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>
      <c r="A73" s="164" t="s">
        <v>58</v>
      </c>
      <c r="B73" s="165">
        <f>DATE(17,7,1)</f>
        <v>6392</v>
      </c>
      <c r="C73" s="226">
        <v>187696645.78</v>
      </c>
      <c r="D73" s="226">
        <v>17449857.02</v>
      </c>
      <c r="E73" s="226">
        <v>18055170.59</v>
      </c>
      <c r="F73" s="166">
        <f>(+D73-E73)/E73</f>
        <v>-0.03352577407024102</v>
      </c>
      <c r="G73" s="241">
        <f>D73/C73</f>
        <v>0.09296840094016942</v>
      </c>
      <c r="H73" s="242">
        <f>1-G73</f>
        <v>0.9070315990598306</v>
      </c>
      <c r="I73" s="157"/>
    </row>
    <row r="74" spans="1:9" ht="15.75">
      <c r="A74" s="164"/>
      <c r="B74" s="165">
        <f>DATE(17,8,1)</f>
        <v>6423</v>
      </c>
      <c r="C74" s="226">
        <v>180877315.36</v>
      </c>
      <c r="D74" s="226">
        <v>16610228.17</v>
      </c>
      <c r="E74" s="226">
        <v>16341152.65</v>
      </c>
      <c r="F74" s="166">
        <f>(+D74-E74)/E74</f>
        <v>0.01646612853836841</v>
      </c>
      <c r="G74" s="241">
        <f>D74/C74</f>
        <v>0.09183146121414215</v>
      </c>
      <c r="H74" s="242">
        <f>1-G74</f>
        <v>0.9081685387858578</v>
      </c>
      <c r="I74" s="157"/>
    </row>
    <row r="75" spans="1:9" ht="15.75">
      <c r="A75" s="164"/>
      <c r="B75" s="165">
        <f>DATE(17,9,1)</f>
        <v>6454</v>
      </c>
      <c r="C75" s="226">
        <v>179839451.12</v>
      </c>
      <c r="D75" s="226">
        <v>16301470.13</v>
      </c>
      <c r="E75" s="226">
        <v>15682621.27</v>
      </c>
      <c r="F75" s="166">
        <f>(+D75-E75)/E75</f>
        <v>0.03946080501120214</v>
      </c>
      <c r="G75" s="241">
        <f>D75/C75</f>
        <v>0.09064457230311858</v>
      </c>
      <c r="H75" s="242">
        <f>1-G75</f>
        <v>0.9093554276968814</v>
      </c>
      <c r="I75" s="157"/>
    </row>
    <row r="76" spans="1:9" ht="15.75">
      <c r="A76" s="164"/>
      <c r="B76" s="165">
        <f>DATE(17,10,1)</f>
        <v>6484</v>
      </c>
      <c r="C76" s="226">
        <v>168519417.42</v>
      </c>
      <c r="D76" s="226">
        <v>15646297.04</v>
      </c>
      <c r="E76" s="226">
        <v>16857793.66</v>
      </c>
      <c r="F76" s="166">
        <f>(+D76-E76)/E76</f>
        <v>-0.07186566904509145</v>
      </c>
      <c r="G76" s="241">
        <f>D76/C76</f>
        <v>0.09284566300751457</v>
      </c>
      <c r="H76" s="242">
        <f>1-G76</f>
        <v>0.9071543369924855</v>
      </c>
      <c r="I76" s="157"/>
    </row>
    <row r="77" spans="1:9" ht="15.75" thickBot="1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SUM(C73:C77)</f>
        <v>716932829.68</v>
      </c>
      <c r="D78" s="228">
        <f>SUM(D73:D77)</f>
        <v>66007852.36</v>
      </c>
      <c r="E78" s="228">
        <f>SUM(E73:E77)</f>
        <v>66936738.17</v>
      </c>
      <c r="F78" s="176">
        <f>(+D78-E78)/E78</f>
        <v>-0.013877070132113405</v>
      </c>
      <c r="G78" s="249">
        <f>D78/C78</f>
        <v>0.09206978621618198</v>
      </c>
      <c r="H78" s="270">
        <f>1-G78</f>
        <v>0.907930213783818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59</v>
      </c>
      <c r="B80" s="165">
        <f>DATE(17,7,1)</f>
        <v>6392</v>
      </c>
      <c r="C80" s="226">
        <v>23593924.79</v>
      </c>
      <c r="D80" s="226">
        <v>2744349.13</v>
      </c>
      <c r="E80" s="226">
        <v>2795817.88</v>
      </c>
      <c r="F80" s="166">
        <f>(+D80-E80)/E80</f>
        <v>-0.01840919266171944</v>
      </c>
      <c r="G80" s="241">
        <f>D80/C80</f>
        <v>0.11631592261255148</v>
      </c>
      <c r="H80" s="242">
        <f>1-G80</f>
        <v>0.8836840773874485</v>
      </c>
      <c r="I80" s="157"/>
    </row>
    <row r="81" spans="1:9" ht="15.75">
      <c r="A81" s="164"/>
      <c r="B81" s="165">
        <f>DATE(17,8,1)</f>
        <v>6423</v>
      </c>
      <c r="C81" s="226">
        <v>21507122.18</v>
      </c>
      <c r="D81" s="226">
        <v>2540959.26</v>
      </c>
      <c r="E81" s="226">
        <v>2610502.16</v>
      </c>
      <c r="F81" s="166">
        <f>(+D81-E81)/E81</f>
        <v>-0.026639663841534753</v>
      </c>
      <c r="G81" s="241">
        <f>D81/C81</f>
        <v>0.11814501441587104</v>
      </c>
      <c r="H81" s="242">
        <f>1-G81</f>
        <v>0.881854985584129</v>
      </c>
      <c r="I81" s="157"/>
    </row>
    <row r="82" spans="1:9" ht="15.75">
      <c r="A82" s="164"/>
      <c r="B82" s="165">
        <f>DATE(17,9,1)</f>
        <v>6454</v>
      </c>
      <c r="C82" s="226">
        <v>22920807.74</v>
      </c>
      <c r="D82" s="226">
        <v>2634253.17</v>
      </c>
      <c r="E82" s="226">
        <v>2597489.31</v>
      </c>
      <c r="F82" s="166">
        <f>(+D82-E82)/E82</f>
        <v>0.01415361359081007</v>
      </c>
      <c r="G82" s="241">
        <f>D82/C82</f>
        <v>0.11492846150455953</v>
      </c>
      <c r="H82" s="242">
        <f>1-G82</f>
        <v>0.8850715384954405</v>
      </c>
      <c r="I82" s="157"/>
    </row>
    <row r="83" spans="1:9" ht="15.75">
      <c r="A83" s="164"/>
      <c r="B83" s="165">
        <f>DATE(17,10,1)</f>
        <v>6484</v>
      </c>
      <c r="C83" s="226">
        <v>20376782.81</v>
      </c>
      <c r="D83" s="226">
        <v>2351008.96</v>
      </c>
      <c r="E83" s="226">
        <v>2658718.15</v>
      </c>
      <c r="F83" s="166">
        <f>(+D83-E83)/E83</f>
        <v>-0.115735919582149</v>
      </c>
      <c r="G83" s="241">
        <f>D83/C83</f>
        <v>0.11537684736209838</v>
      </c>
      <c r="H83" s="242">
        <f>1-G83</f>
        <v>0.8846231526379016</v>
      </c>
      <c r="I83" s="157"/>
    </row>
    <row r="84" spans="1:9" ht="15.75" thickBot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Bot="1" thickTop="1">
      <c r="A85" s="182" t="s">
        <v>14</v>
      </c>
      <c r="B85" s="183"/>
      <c r="C85" s="230">
        <f>SUM(C80:C84)</f>
        <v>88398637.52</v>
      </c>
      <c r="D85" s="230">
        <f>SUM(D80:D84)</f>
        <v>10270570.52</v>
      </c>
      <c r="E85" s="230">
        <f>SUM(E80:E84)</f>
        <v>10662527.5</v>
      </c>
      <c r="F85" s="176">
        <f>(+D85-E85)/E85</f>
        <v>-0.036760231567984275</v>
      </c>
      <c r="G85" s="249">
        <f>D85/C85</f>
        <v>0.116184715151026</v>
      </c>
      <c r="H85" s="246">
        <f>1-G85</f>
        <v>0.883815284848974</v>
      </c>
      <c r="I85" s="157"/>
    </row>
    <row r="86" spans="1:9" ht="15.7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>
      <c r="A87" s="164" t="s">
        <v>40</v>
      </c>
      <c r="B87" s="165">
        <f>DATE(17,7,1)</f>
        <v>6392</v>
      </c>
      <c r="C87" s="226">
        <v>226837676.51</v>
      </c>
      <c r="D87" s="226">
        <v>20250233.59</v>
      </c>
      <c r="E87" s="226">
        <v>20041496.31</v>
      </c>
      <c r="F87" s="166">
        <f>(+D87-E87)/E87</f>
        <v>0.010415254269006285</v>
      </c>
      <c r="G87" s="241">
        <f>D87/C87</f>
        <v>0.08927191417915657</v>
      </c>
      <c r="H87" s="242">
        <f>1-G87</f>
        <v>0.9107280858208434</v>
      </c>
      <c r="I87" s="157"/>
    </row>
    <row r="88" spans="1:9" ht="15.75">
      <c r="A88" s="164"/>
      <c r="B88" s="165">
        <f>DATE(17,8,1)</f>
        <v>6423</v>
      </c>
      <c r="C88" s="226">
        <v>203505092.13</v>
      </c>
      <c r="D88" s="226">
        <v>18649872.98</v>
      </c>
      <c r="E88" s="226">
        <v>18005684.83</v>
      </c>
      <c r="F88" s="166">
        <f>(+D88-E88)/E88</f>
        <v>0.03577693134596549</v>
      </c>
      <c r="G88" s="241">
        <f>D88/C88</f>
        <v>0.09164327430237655</v>
      </c>
      <c r="H88" s="242">
        <f>1-G88</f>
        <v>0.9083567256976235</v>
      </c>
      <c r="I88" s="157"/>
    </row>
    <row r="89" spans="1:9" ht="15.75">
      <c r="A89" s="164"/>
      <c r="B89" s="165">
        <f>DATE(17,9,1)</f>
        <v>6454</v>
      </c>
      <c r="C89" s="226">
        <v>207713230.86</v>
      </c>
      <c r="D89" s="226">
        <v>18449653.52</v>
      </c>
      <c r="E89" s="226">
        <v>18830129.89</v>
      </c>
      <c r="F89" s="166">
        <f>(+D89-E89)/E89</f>
        <v>-0.020205722011618105</v>
      </c>
      <c r="G89" s="241">
        <f>D89/C89</f>
        <v>0.08882271699117318</v>
      </c>
      <c r="H89" s="242">
        <f>1-G89</f>
        <v>0.9111772830088268</v>
      </c>
      <c r="I89" s="157"/>
    </row>
    <row r="90" spans="1:9" ht="15.75">
      <c r="A90" s="164"/>
      <c r="B90" s="165">
        <f>DATE(17,10,1)</f>
        <v>6484</v>
      </c>
      <c r="C90" s="226">
        <v>205445724.16</v>
      </c>
      <c r="D90" s="226">
        <v>17943427.35</v>
      </c>
      <c r="E90" s="226">
        <v>18755897.64</v>
      </c>
      <c r="F90" s="166">
        <f>(+D90-E90)/E90</f>
        <v>-0.04331812348278518</v>
      </c>
      <c r="G90" s="241">
        <f>D90/C90</f>
        <v>0.08733901580753153</v>
      </c>
      <c r="H90" s="242">
        <f>1-G90</f>
        <v>0.9126609841924684</v>
      </c>
      <c r="I90" s="157"/>
    </row>
    <row r="91" spans="1:9" ht="15.75" thickBot="1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SUM(C87:C91)</f>
        <v>843501723.66</v>
      </c>
      <c r="D92" s="228">
        <f>SUM(D87:D91)</f>
        <v>75293187.44</v>
      </c>
      <c r="E92" s="228">
        <f>SUM(E87:E91)</f>
        <v>75633208.67</v>
      </c>
      <c r="F92" s="176">
        <f>(+D92-E92)/E92</f>
        <v>-0.004495660517109252</v>
      </c>
      <c r="G92" s="245">
        <f>D92/C92</f>
        <v>0.08926263613700604</v>
      </c>
      <c r="H92" s="246">
        <f>1-G92</f>
        <v>0.910737363862994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64</v>
      </c>
      <c r="B94" s="165">
        <f>DATE(17,7,1)</f>
        <v>6392</v>
      </c>
      <c r="C94" s="226">
        <v>26722604.05</v>
      </c>
      <c r="D94" s="226">
        <v>3031134.15</v>
      </c>
      <c r="E94" s="226">
        <v>3216307.57</v>
      </c>
      <c r="F94" s="166">
        <f>(+D94-E94)/E94</f>
        <v>-0.057573293588958574</v>
      </c>
      <c r="G94" s="241">
        <f>D94/C94</f>
        <v>0.11342959482273958</v>
      </c>
      <c r="H94" s="242">
        <f>1-G94</f>
        <v>0.8865704051772604</v>
      </c>
      <c r="I94" s="157"/>
    </row>
    <row r="95" spans="1:9" ht="15.75">
      <c r="A95" s="164"/>
      <c r="B95" s="165">
        <f>DATE(17,8,1)</f>
        <v>6423</v>
      </c>
      <c r="C95" s="226">
        <v>27214005.58</v>
      </c>
      <c r="D95" s="226">
        <v>3021204.93</v>
      </c>
      <c r="E95" s="226">
        <v>3011271.54</v>
      </c>
      <c r="F95" s="166">
        <f>(+D95-E95)/E95</f>
        <v>0.003298736054869409</v>
      </c>
      <c r="G95" s="241">
        <f>D95/C95</f>
        <v>0.11101654701725833</v>
      </c>
      <c r="H95" s="242">
        <f>1-G95</f>
        <v>0.8889834529827416</v>
      </c>
      <c r="I95" s="157"/>
    </row>
    <row r="96" spans="1:9" ht="15.75">
      <c r="A96" s="164"/>
      <c r="B96" s="165">
        <f>DATE(17,9,1)</f>
        <v>6454</v>
      </c>
      <c r="C96" s="226">
        <v>29416618.56</v>
      </c>
      <c r="D96" s="226">
        <v>3254625.5</v>
      </c>
      <c r="E96" s="226">
        <v>2994225.71</v>
      </c>
      <c r="F96" s="166">
        <f>(+D96-E96)/E96</f>
        <v>0.08696732151164384</v>
      </c>
      <c r="G96" s="241">
        <f>D96/C96</f>
        <v>0.11063900812942384</v>
      </c>
      <c r="H96" s="242">
        <f>1-G96</f>
        <v>0.8893609918705762</v>
      </c>
      <c r="I96" s="157"/>
    </row>
    <row r="97" spans="1:9" ht="15.75">
      <c r="A97" s="164"/>
      <c r="B97" s="165">
        <f>DATE(17,10,1)</f>
        <v>6484</v>
      </c>
      <c r="C97" s="226">
        <v>28240080.8</v>
      </c>
      <c r="D97" s="226">
        <v>3125463.3</v>
      </c>
      <c r="E97" s="226">
        <v>2995512.05</v>
      </c>
      <c r="F97" s="166">
        <f>(+D97-E97)/E97</f>
        <v>0.043381982055455265</v>
      </c>
      <c r="G97" s="241">
        <f>D97/C97</f>
        <v>0.11067472937258734</v>
      </c>
      <c r="H97" s="242">
        <f>1-G97</f>
        <v>0.8893252706274126</v>
      </c>
      <c r="I97" s="157"/>
    </row>
    <row r="98" spans="1:9" ht="15.75" thickBot="1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69" t="s">
        <v>14</v>
      </c>
      <c r="B99" s="155"/>
      <c r="C99" s="223">
        <f>SUM(C94:C98)</f>
        <v>111593308.99</v>
      </c>
      <c r="D99" s="223">
        <f>SUM(D94:D98)</f>
        <v>12432427.879999999</v>
      </c>
      <c r="E99" s="223">
        <f>SUM(E94:E98)</f>
        <v>12217316.870000001</v>
      </c>
      <c r="F99" s="176">
        <f>(+D99-E99)/E99</f>
        <v>0.017607058267286955</v>
      </c>
      <c r="G99" s="245">
        <f>D99/C99</f>
        <v>0.11140836303289549</v>
      </c>
      <c r="H99" s="246">
        <f>1-G99</f>
        <v>0.8885916369671045</v>
      </c>
      <c r="I99" s="157"/>
    </row>
    <row r="100" spans="1:9" ht="16.5" thickBot="1" thickTop="1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Bot="1" thickTop="1">
      <c r="A101" s="184" t="s">
        <v>41</v>
      </c>
      <c r="B101" s="155"/>
      <c r="C101" s="223">
        <f>C99+C92+C71+C57+C43+C29+C15+C36+C85+C22+C64+C78+C50</f>
        <v>5195024593.67</v>
      </c>
      <c r="D101" s="223">
        <f>D99+D92+D71+D57+D43+D29+D15+D36+D85+D22+D64+D78+D50</f>
        <v>496408649.05</v>
      </c>
      <c r="E101" s="223">
        <f>E99+E92+E71+E57+E43+E29+E15+E36+E85+E22+E64+E78+E50</f>
        <v>492847718.8400001</v>
      </c>
      <c r="F101" s="170">
        <f>(+D101-E101)/E101</f>
        <v>0.007225213943124595</v>
      </c>
      <c r="G101" s="236">
        <f>D101/C101</f>
        <v>0.09555462926101656</v>
      </c>
      <c r="H101" s="237">
        <f>1-G101</f>
        <v>0.9044453707389835</v>
      </c>
      <c r="I101" s="157"/>
    </row>
    <row r="102" spans="1:9" ht="17.25" thickBot="1" thickTop="1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Bot="1" thickTop="1">
      <c r="A103" s="184" t="s">
        <v>42</v>
      </c>
      <c r="B103" s="155"/>
      <c r="C103" s="223">
        <f>+C13+C20+C27+C34+C41+C48+C55+C62+C69+C76+C83+C90+C97</f>
        <v>1241292658.5299997</v>
      </c>
      <c r="D103" s="223">
        <f>+D13+D20+D27+D34+D41+D48+D55+D62+D69+D76+D83+D90+D97</f>
        <v>118064652.39999999</v>
      </c>
      <c r="E103" s="223">
        <f>+E13+E20+E27+E34+E41+E48+E55+E62+E69+E76+E83+E90+E97</f>
        <v>121050144.34</v>
      </c>
      <c r="F103" s="170">
        <f>(+D103-E103)/E103</f>
        <v>-0.02466326625447469</v>
      </c>
      <c r="G103" s="236">
        <f>D103/C103</f>
        <v>0.09511427590316855</v>
      </c>
      <c r="H103" s="246">
        <f>1-G103</f>
        <v>0.9048857240968314</v>
      </c>
      <c r="I103" s="157"/>
    </row>
    <row r="104" spans="1:9" ht="16.5" thickTop="1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>
      <c r="A105" s="188" t="s">
        <v>52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>
      <c r="A107" s="72"/>
      <c r="I107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1" manualBreakCount="1">
    <brk id="5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2017-11-09T14:20:23Z</cp:lastPrinted>
  <dcterms:created xsi:type="dcterms:W3CDTF">2003-09-09T14:41:43Z</dcterms:created>
  <dcterms:modified xsi:type="dcterms:W3CDTF">2017-11-09T20:21:01Z</dcterms:modified>
  <cp:category/>
  <cp:version/>
  <cp:contentType/>
  <cp:contentStatus/>
</cp:coreProperties>
</file>