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STATS'!$A$1:$M$91</definedName>
    <definedName name="_xlnm.Print_Area" localSheetId="3">'SLOT STATS'!$A$1:$I$92</definedName>
    <definedName name="_xlnm.Print_Area" localSheetId="2">'TABLE STATS'!$A$1:$H$91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<sst xmlns="http://schemas.openxmlformats.org/spreadsheetml/2006/main" count="192" uniqueCount="75">
  <si>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</si>
  <si>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</si>
  <si>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</si>
  <si>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</si>
  <si>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</si>
  <si>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</si>
  <si>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</si>
  <si>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</si>
  <si>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</si>
  <si>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</si>
  <si>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</si>
  <si>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</si>
  <si>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</si>
  <si>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</si>
  <si>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</si>
  <si>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</si>
  <si>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</si>
  <si>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</si>
  <si>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</si>
  <si>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</si>
  <si>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</si>
  <si>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</si>
  <si>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</si>
  <si>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</si>
  <si>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</si>
  <si>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</si>
  <si>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</si>
  <si>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</si>
  <si>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</si>
  <si>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</si>
  <si>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</si>
  <si>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</si>
  <si>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</si>
  <si>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</si>
  <si>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</si>
  <si>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</si>
  <si>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</si>
  <si>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</si>
  <si>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</si>
  <si>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</si>
  <si>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</si>
  <si>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</si>
  <si>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</si>
  <si>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</si>
  <si>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</si>
  <si>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</si>
  <si>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</si>
  <si>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</si>
  <si>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</si>
  <si>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</si>
  <si>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</si>
  <si>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</si>
  <si>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</si>
  <si>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</si>
  <si>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</si>
  <si>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</si>
  <si>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</si>
  <si>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</si>
  <si>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</si>
  <si>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</si>
  <si>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</si>
  <si>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</si>
  <si>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</si>
  <si>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</si>
  <si>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</si>
  <si>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</si>
  <si>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</si>
  <si>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</si>
  <si>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2018 YTD ADMISSIONS, PATRONS AND AGR SUMMARY </t>
  </si>
  <si>
    <t>MONTH ENDED:   SEPTEMBER 30, 2017</t>
  </si>
  <si>
    <t>(as reported on the tax remittal database dtd 10/5/17)</t>
  </si>
  <si>
    <t>FOR THE MONTH ENDED:   SEPTEMBER 30, 2017</t>
  </si>
  <si>
    <t>THRU MONTH ENDED:   SEPTEMBER 30, 2017</t>
  </si>
  <si>
    <t>(as reported on the tax remittal database as of 10/5/17)</t>
  </si>
  <si>
    <t>THRU MONTH ENDED:     SEPTEMBER 30,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</si>
</sst>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1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DATE(2017,7,1)</f>
        <v>42917</v>
      </c>
      <c r="C9" s="21">
        <v>295047</v>
      </c>
      <c r="D9" s="22">
        <v>315719</v>
      </c>
      <c r="E9" s="23">
        <f>(+C9-D9)/D9</f>
        <v>-0.06547594538181103</v>
      </c>
      <c r="F9" s="21">
        <f>+C9-138811</f>
        <v>156236</v>
      </c>
      <c r="G9" s="21">
        <f>+D9-154398</f>
        <v>161321</v>
      </c>
      <c r="H9" s="23">
        <f>(+F9-G9)/G9</f>
        <v>-0.031521004704905126</v>
      </c>
      <c r="I9" s="24">
        <f>K9/C9</f>
        <v>47.93787274569814</v>
      </c>
      <c r="J9" s="24">
        <f>K9/F9</f>
        <v>90.52923487544483</v>
      </c>
      <c r="K9" s="21">
        <v>14143925.54</v>
      </c>
      <c r="L9" s="21">
        <v>13957245.75</v>
      </c>
      <c r="M9" s="25">
        <f>(+K9-L9)/L9</f>
        <v>0.013375116648641019</v>
      </c>
      <c r="N9" s="10"/>
      <c r="R9" s="2"/>
    </row>
    <row r="10" spans="1:18" ht="15.75">
      <c r="A10" s="19"/>
      <c r="B10" s="20">
        <f>DATE(2017,8,1)</f>
        <v>42948</v>
      </c>
      <c r="C10" s="21">
        <v>268688</v>
      </c>
      <c r="D10" s="22">
        <v>269746</v>
      </c>
      <c r="E10" s="23">
        <f>(+C10-D10)/D10</f>
        <v>-0.00392220829965968</v>
      </c>
      <c r="F10" s="21">
        <f>+C10-125473</f>
        <v>143215</v>
      </c>
      <c r="G10" s="21">
        <f>+D10-128416</f>
        <v>141330</v>
      </c>
      <c r="H10" s="23">
        <f>(+F10-G10)/G10</f>
        <v>0.013337578716479162</v>
      </c>
      <c r="I10" s="24">
        <f>K10/C10</f>
        <v>48.38335742571309</v>
      </c>
      <c r="J10" s="24">
        <f>K10/F10</f>
        <v>90.7728068987187</v>
      </c>
      <c r="K10" s="21">
        <v>13000027.54</v>
      </c>
      <c r="L10" s="21">
        <v>12325415.85</v>
      </c>
      <c r="M10" s="25">
        <f>(+K10-L10)/L10</f>
        <v>0.05473338167328443</v>
      </c>
      <c r="N10" s="10"/>
      <c r="R10" s="2"/>
    </row>
    <row r="11" spans="1:18" ht="15.75">
      <c r="A11" s="19"/>
      <c r="B11" s="20">
        <f>DATE(2017,9,1)</f>
        <v>42979</v>
      </c>
      <c r="C11" s="21">
        <v>280761</v>
      </c>
      <c r="D11" s="22">
        <v>275432</v>
      </c>
      <c r="E11" s="23">
        <f>(+C11-D11)/D11</f>
        <v>0.019347788201806618</v>
      </c>
      <c r="F11" s="21">
        <f>+C11-133793</f>
        <v>146968</v>
      </c>
      <c r="G11" s="21">
        <f>+D11-130069</f>
        <v>145363</v>
      </c>
      <c r="H11" s="23">
        <f>(+F11-G11)/G11</f>
        <v>0.011041324133376444</v>
      </c>
      <c r="I11" s="24">
        <f>K11/C11</f>
        <v>48.35845110253917</v>
      </c>
      <c r="J11" s="24">
        <f>K11/F11</f>
        <v>92.38179120624898</v>
      </c>
      <c r="K11" s="21">
        <v>13577167.09</v>
      </c>
      <c r="L11" s="21">
        <v>12483472.22</v>
      </c>
      <c r="M11" s="25">
        <f>(+K11-L11)/L11</f>
        <v>0.08761143139708923</v>
      </c>
      <c r="N11" s="10"/>
      <c r="R11" s="2"/>
    </row>
    <row r="12" spans="1:18" ht="15.75" customHeight="1" thickBot="1">
      <c r="A12" s="19"/>
      <c r="B12" s="20"/>
      <c r="C12" s="21"/>
      <c r="D12" s="21"/>
      <c r="E12" s="23"/>
      <c r="F12" s="21"/>
      <c r="G12" s="21"/>
      <c r="H12" s="23"/>
      <c r="I12" s="24"/>
      <c r="J12" s="24"/>
      <c r="K12" s="21"/>
      <c r="L12" s="21"/>
      <c r="M12" s="25"/>
      <c r="N12" s="10"/>
      <c r="R12" s="2"/>
    </row>
    <row r="13" spans="1:18" ht="17.25" thickBot="1" thickTop="1">
      <c r="A13" s="26" t="s">
        <v>14</v>
      </c>
      <c r="B13" s="27"/>
      <c r="C13" s="28">
        <f>SUM(C9:C12)</f>
        <v>844496</v>
      </c>
      <c r="D13" s="28">
        <f>SUM(D9:D12)</f>
        <v>860897</v>
      </c>
      <c r="E13" s="279">
        <f>(+C13-D13)/D13</f>
        <v>-0.019051059534415847</v>
      </c>
      <c r="F13" s="28">
        <f>SUM(F9:F12)</f>
        <v>446419</v>
      </c>
      <c r="G13" s="28">
        <f>SUM(G9:G12)</f>
        <v>448014</v>
      </c>
      <c r="H13" s="30">
        <f>(+F13-G13)/G13</f>
        <v>-0.0035601566022490367</v>
      </c>
      <c r="I13" s="31">
        <f>K13/C13</f>
        <v>48.21943522527046</v>
      </c>
      <c r="J13" s="31">
        <f>K13/F13</f>
        <v>91.21726487895901</v>
      </c>
      <c r="K13" s="28">
        <f>SUM(K9:K12)</f>
        <v>40721120.17</v>
      </c>
      <c r="L13" s="28">
        <f>SUM(L9:L12)</f>
        <v>38766133.82</v>
      </c>
      <c r="M13" s="32">
        <f>(+K13-L13)/L13</f>
        <v>0.050430263669765184</v>
      </c>
      <c r="N13" s="10"/>
      <c r="R13" s="2"/>
    </row>
    <row r="14" spans="1:18" ht="15.75" customHeight="1" thickTop="1">
      <c r="A14" s="15"/>
      <c r="B14" s="16"/>
      <c r="C14" s="16"/>
      <c r="D14" s="16"/>
      <c r="E14" s="17"/>
      <c r="F14" s="16"/>
      <c r="G14" s="16"/>
      <c r="H14" s="17"/>
      <c r="I14" s="16"/>
      <c r="J14" s="16"/>
      <c r="K14" s="195"/>
      <c r="L14" s="195"/>
      <c r="M14" s="18"/>
      <c r="N14" s="10"/>
      <c r="R14" s="2"/>
    </row>
    <row r="15" spans="1:18" ht="15.75">
      <c r="A15" s="19" t="s">
        <v>15</v>
      </c>
      <c r="B15" s="20">
        <f>DATE(2017,7,1)</f>
        <v>42917</v>
      </c>
      <c r="C15" s="21">
        <v>154485</v>
      </c>
      <c r="D15" s="21">
        <v>168156</v>
      </c>
      <c r="E15" s="23">
        <f>(+C15-D15)/D15</f>
        <v>-0.08129950760008564</v>
      </c>
      <c r="F15" s="21">
        <f>+C15-74453</f>
        <v>80032</v>
      </c>
      <c r="G15" s="21">
        <f>+D15-80472</f>
        <v>87684</v>
      </c>
      <c r="H15" s="23">
        <f>(+F15-G15)/G15</f>
        <v>-0.08726791660964373</v>
      </c>
      <c r="I15" s="24">
        <f>K15/C15</f>
        <v>48.313623976437846</v>
      </c>
      <c r="J15" s="24">
        <f>K15/F15</f>
        <v>93.2593237704918</v>
      </c>
      <c r="K15" s="21">
        <v>7463730.2</v>
      </c>
      <c r="L15" s="21">
        <v>7571219.54</v>
      </c>
      <c r="M15" s="25">
        <f>(+K15-L15)/L15</f>
        <v>-0.014197097235407845</v>
      </c>
      <c r="N15" s="10"/>
      <c r="R15" s="2"/>
    </row>
    <row r="16" spans="1:18" ht="15.75">
      <c r="A16" s="19"/>
      <c r="B16" s="20">
        <f>DATE(2017,8,1)</f>
        <v>42948</v>
      </c>
      <c r="C16" s="21">
        <v>146885</v>
      </c>
      <c r="D16" s="21">
        <v>156736</v>
      </c>
      <c r="E16" s="23">
        <f>(+C16-D16)/D16</f>
        <v>-0.06285090853409554</v>
      </c>
      <c r="F16" s="21">
        <f>+C16-69501</f>
        <v>77384</v>
      </c>
      <c r="G16" s="21">
        <f>+D16-73885</f>
        <v>82851</v>
      </c>
      <c r="H16" s="23">
        <f>(+F16-G16)/G16</f>
        <v>-0.0659859265428299</v>
      </c>
      <c r="I16" s="24">
        <f>K16/C16</f>
        <v>46.88712468938285</v>
      </c>
      <c r="J16" s="24">
        <f>K16/F16</f>
        <v>88.99792347255246</v>
      </c>
      <c r="K16" s="21">
        <v>6887015.31</v>
      </c>
      <c r="L16" s="21">
        <v>6873490.36</v>
      </c>
      <c r="M16" s="25">
        <f>(+K16-L16)/L16</f>
        <v>0.0019676975294396506</v>
      </c>
      <c r="N16" s="10"/>
      <c r="R16" s="2"/>
    </row>
    <row r="17" spans="1:18" ht="15.75">
      <c r="A17" s="19"/>
      <c r="B17" s="20">
        <f>DATE(2017,9,1)</f>
        <v>42979</v>
      </c>
      <c r="C17" s="21">
        <v>147779</v>
      </c>
      <c r="D17" s="21">
        <v>155294</v>
      </c>
      <c r="E17" s="23">
        <f>(+C17-D17)/D17</f>
        <v>-0.04839208211521372</v>
      </c>
      <c r="F17" s="21">
        <f>+C17-69992</f>
        <v>77787</v>
      </c>
      <c r="G17" s="21">
        <f>+D17-73977</f>
        <v>81317</v>
      </c>
      <c r="H17" s="23">
        <f>(+F17-G17)/G17</f>
        <v>-0.043410356997921715</v>
      </c>
      <c r="I17" s="24">
        <f>K17/C17</f>
        <v>45.22371304447858</v>
      </c>
      <c r="J17" s="24">
        <f>K17/F17</f>
        <v>85.91557831000038</v>
      </c>
      <c r="K17" s="21">
        <v>6683115.09</v>
      </c>
      <c r="L17" s="21">
        <v>6937402.96</v>
      </c>
      <c r="M17" s="25">
        <f>(+K17-L17)/L17</f>
        <v>-0.036654620102967196</v>
      </c>
      <c r="N17" s="10"/>
      <c r="R17" s="2"/>
    </row>
    <row r="18" spans="1:18" ht="15.75" customHeight="1" thickBot="1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customHeight="1" thickBot="1" thickTop="1">
      <c r="A19" s="26" t="s">
        <v>14</v>
      </c>
      <c r="B19" s="27"/>
      <c r="C19" s="28">
        <f>SUM(C15:C18)</f>
        <v>449149</v>
      </c>
      <c r="D19" s="28">
        <f>SUM(D15:D18)</f>
        <v>480186</v>
      </c>
      <c r="E19" s="279">
        <f>(+C19-D19)/D19</f>
        <v>-0.06463537046061318</v>
      </c>
      <c r="F19" s="28">
        <f>SUM(F15:F18)</f>
        <v>235203</v>
      </c>
      <c r="G19" s="28">
        <f>SUM(G15:G18)</f>
        <v>251852</v>
      </c>
      <c r="H19" s="30">
        <f>(+F19-G19)/G19</f>
        <v>-0.06610628464336198</v>
      </c>
      <c r="I19" s="31">
        <f>K19/C19</f>
        <v>46.830474074304966</v>
      </c>
      <c r="J19" s="31">
        <f>K19/F19</f>
        <v>89.42853875163158</v>
      </c>
      <c r="K19" s="28">
        <f>SUM(K15:K18)</f>
        <v>21033860.6</v>
      </c>
      <c r="L19" s="28">
        <f>SUM(L15:L18)</f>
        <v>21382112.86</v>
      </c>
      <c r="M19" s="32">
        <f>(+K19-L19)/L19</f>
        <v>-0.01628708361424288</v>
      </c>
      <c r="N19" s="10"/>
      <c r="R19" s="2"/>
    </row>
    <row r="20" spans="1:18" ht="15.75" customHeight="1" thickTop="1">
      <c r="A20" s="33"/>
      <c r="B20" s="34"/>
      <c r="C20" s="35"/>
      <c r="D20" s="35"/>
      <c r="E20" s="29"/>
      <c r="F20" s="35"/>
      <c r="G20" s="35"/>
      <c r="H20" s="29"/>
      <c r="I20" s="36"/>
      <c r="J20" s="36"/>
      <c r="K20" s="35"/>
      <c r="L20" s="35"/>
      <c r="M20" s="37"/>
      <c r="N20" s="10"/>
      <c r="R20" s="2"/>
    </row>
    <row r="21" spans="1:18" ht="15.75" customHeight="1">
      <c r="A21" s="19" t="s">
        <v>56</v>
      </c>
      <c r="B21" s="20">
        <f>DATE(2017,7,1)</f>
        <v>42917</v>
      </c>
      <c r="C21" s="21">
        <v>74877</v>
      </c>
      <c r="D21" s="21">
        <v>79290</v>
      </c>
      <c r="E21" s="23">
        <f>(+C21-D21)/D21</f>
        <v>-0.0556564510026485</v>
      </c>
      <c r="F21" s="21">
        <f>+C21-41145</f>
        <v>33732</v>
      </c>
      <c r="G21" s="21">
        <f>+D21-44110</f>
        <v>35180</v>
      </c>
      <c r="H21" s="23">
        <f>(+F21-G21)/G21</f>
        <v>-0.041159749857873795</v>
      </c>
      <c r="I21" s="24">
        <f>K21/C21</f>
        <v>43.82963046062209</v>
      </c>
      <c r="J21" s="24">
        <f>K21/F21</f>
        <v>97.29133285900629</v>
      </c>
      <c r="K21" s="21">
        <v>3281831.24</v>
      </c>
      <c r="L21" s="21">
        <v>3381483.62</v>
      </c>
      <c r="M21" s="25">
        <f>(+K21-L21)/L21</f>
        <v>-0.029470017069016554</v>
      </c>
      <c r="N21" s="10"/>
      <c r="R21" s="2"/>
    </row>
    <row r="22" spans="1:18" ht="15.75" customHeight="1">
      <c r="A22" s="19"/>
      <c r="B22" s="20">
        <f>DATE(2017,8,1)</f>
        <v>42948</v>
      </c>
      <c r="C22" s="21">
        <v>67175</v>
      </c>
      <c r="D22" s="21">
        <v>71059</v>
      </c>
      <c r="E22" s="23">
        <f>(+C22-D22)/D22</f>
        <v>-0.054658804655286455</v>
      </c>
      <c r="F22" s="21">
        <f>+C22-36831</f>
        <v>30344</v>
      </c>
      <c r="G22" s="21">
        <f>+D22-39645</f>
        <v>31414</v>
      </c>
      <c r="H22" s="23">
        <f>(+F22-G22)/G22</f>
        <v>-0.03406124657795887</v>
      </c>
      <c r="I22" s="24">
        <f>K22/C22</f>
        <v>43.37994923706736</v>
      </c>
      <c r="J22" s="24">
        <f>K22/F22</f>
        <v>96.0337493408911</v>
      </c>
      <c r="K22" s="21">
        <v>2914048.09</v>
      </c>
      <c r="L22" s="21">
        <v>2856153.4</v>
      </c>
      <c r="M22" s="25">
        <f>(+K22-L22)/L22</f>
        <v>0.020270161259545776</v>
      </c>
      <c r="N22" s="10"/>
      <c r="R22" s="2"/>
    </row>
    <row r="23" spans="1:18" ht="15.75" customHeight="1">
      <c r="A23" s="19"/>
      <c r="B23" s="20">
        <f>DATE(2017,9,1)</f>
        <v>42979</v>
      </c>
      <c r="C23" s="21">
        <v>69904</v>
      </c>
      <c r="D23" s="21">
        <v>74988</v>
      </c>
      <c r="E23" s="23">
        <f>(+C23-D23)/D23</f>
        <v>-0.0677975142689497</v>
      </c>
      <c r="F23" s="21">
        <f>+C23-38362</f>
        <v>31542</v>
      </c>
      <c r="G23" s="21">
        <f>+D23-41297</f>
        <v>33691</v>
      </c>
      <c r="H23" s="23">
        <f>(+F23-G23)/G23</f>
        <v>-0.06378558071888635</v>
      </c>
      <c r="I23" s="24">
        <f>K23/C23</f>
        <v>46.3982827878233</v>
      </c>
      <c r="J23" s="24">
        <f>K23/F23</f>
        <v>102.82878574598948</v>
      </c>
      <c r="K23" s="21">
        <v>3243425.56</v>
      </c>
      <c r="L23" s="21">
        <v>3135290.49</v>
      </c>
      <c r="M23" s="25">
        <f>(+K23-L23)/L23</f>
        <v>0.03448964947423415</v>
      </c>
      <c r="N23" s="10"/>
      <c r="R23" s="2"/>
    </row>
    <row r="24" spans="1:18" ht="15.75" customHeight="1" thickBot="1">
      <c r="A24" s="38"/>
      <c r="B24" s="20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7.25" customHeight="1" thickBot="1" thickTop="1">
      <c r="A25" s="39" t="s">
        <v>14</v>
      </c>
      <c r="B25" s="40"/>
      <c r="C25" s="41">
        <f>SUM(C21:C24)</f>
        <v>211956</v>
      </c>
      <c r="D25" s="41">
        <f>SUM(D21:D24)</f>
        <v>225337</v>
      </c>
      <c r="E25" s="280">
        <f>(+C25-D25)/D25</f>
        <v>-0.059382169816763336</v>
      </c>
      <c r="F25" s="41">
        <f>SUM(F21:F24)</f>
        <v>95618</v>
      </c>
      <c r="G25" s="41">
        <f>SUM(G21:G24)</f>
        <v>100285</v>
      </c>
      <c r="H25" s="42">
        <f>(+F25-G25)/G25</f>
        <v>-0.04653736849977564</v>
      </c>
      <c r="I25" s="43">
        <f>K25/C25</f>
        <v>44.53426602691125</v>
      </c>
      <c r="J25" s="43">
        <f>K25/F25</f>
        <v>98.71891160660127</v>
      </c>
      <c r="K25" s="41">
        <f>SUM(K21:K24)</f>
        <v>9439304.89</v>
      </c>
      <c r="L25" s="41">
        <f>SUM(L21:L24)</f>
        <v>9372927.51</v>
      </c>
      <c r="M25" s="44">
        <f>(+K25-L25)/L25</f>
        <v>0.007081819413324452</v>
      </c>
      <c r="N25" s="10"/>
      <c r="R25" s="2"/>
    </row>
    <row r="26" spans="1:18" ht="15.75" customHeight="1" thickTop="1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5.75" customHeight="1">
      <c r="A27" s="177" t="s">
        <v>65</v>
      </c>
      <c r="B27" s="20">
        <f>DATE(2017,7,1)</f>
        <v>42917</v>
      </c>
      <c r="C27" s="21">
        <v>502707</v>
      </c>
      <c r="D27" s="21">
        <v>511183</v>
      </c>
      <c r="E27" s="23">
        <f>(+C27-D27)/D27</f>
        <v>-0.016581146086626513</v>
      </c>
      <c r="F27" s="21">
        <f>+C27-258518</f>
        <v>244189</v>
      </c>
      <c r="G27" s="21">
        <f>+D27-260995</f>
        <v>250188</v>
      </c>
      <c r="H27" s="23">
        <f>(+F27-G27)/G27</f>
        <v>-0.023977968567637137</v>
      </c>
      <c r="I27" s="24">
        <f>K27/C27</f>
        <v>42.25315102037568</v>
      </c>
      <c r="J27" s="24">
        <f>K27/F27</f>
        <v>86.9857151223028</v>
      </c>
      <c r="K27" s="21">
        <v>21240954.79</v>
      </c>
      <c r="L27" s="21">
        <v>21271913.41</v>
      </c>
      <c r="M27" s="25">
        <f>(+K27-L27)/L27</f>
        <v>-0.0014553754240766742</v>
      </c>
      <c r="N27" s="10"/>
      <c r="R27" s="2"/>
    </row>
    <row r="28" spans="1:18" ht="15.75" customHeight="1">
      <c r="A28" s="177"/>
      <c r="B28" s="20">
        <f>DATE(2017,8,1)</f>
        <v>42948</v>
      </c>
      <c r="C28" s="21">
        <v>453491</v>
      </c>
      <c r="D28" s="21">
        <v>492813</v>
      </c>
      <c r="E28" s="23">
        <f>(+C28-D28)/D28</f>
        <v>-0.07979091460655462</v>
      </c>
      <c r="F28" s="21">
        <f>+C28-231314</f>
        <v>222177</v>
      </c>
      <c r="G28" s="21">
        <f>+D28-254208</f>
        <v>238605</v>
      </c>
      <c r="H28" s="23">
        <f>(+F28-G28)/G28</f>
        <v>-0.06885019173948576</v>
      </c>
      <c r="I28" s="24">
        <f>K28/C28</f>
        <v>43.557037383321834</v>
      </c>
      <c r="J28" s="24">
        <f>K28/F28</f>
        <v>88.9053522191766</v>
      </c>
      <c r="K28" s="21">
        <v>19752724.44</v>
      </c>
      <c r="L28" s="21">
        <v>20322456.8</v>
      </c>
      <c r="M28" s="25">
        <f>(+K28-L28)/L28</f>
        <v>-0.028034620302403564</v>
      </c>
      <c r="N28" s="10"/>
      <c r="R28" s="2"/>
    </row>
    <row r="29" spans="1:18" ht="15.75" customHeight="1">
      <c r="A29" s="177"/>
      <c r="B29" s="20">
        <f>DATE(2017,9,1)</f>
        <v>42979</v>
      </c>
      <c r="C29" s="21">
        <v>440378</v>
      </c>
      <c r="D29" s="21">
        <v>456081</v>
      </c>
      <c r="E29" s="23">
        <f>(+C29-D29)/D29</f>
        <v>-0.0344302876024215</v>
      </c>
      <c r="F29" s="21">
        <f>+C29-224768</f>
        <v>215610</v>
      </c>
      <c r="G29" s="21">
        <f>+D29-233745</f>
        <v>222336</v>
      </c>
      <c r="H29" s="23">
        <f>(+F29-G29)/G29</f>
        <v>-0.030251511226252158</v>
      </c>
      <c r="I29" s="24">
        <f>K29/C29</f>
        <v>45.40048721779926</v>
      </c>
      <c r="J29" s="24">
        <f>K29/F29</f>
        <v>92.72935281294932</v>
      </c>
      <c r="K29" s="21">
        <v>19993375.76</v>
      </c>
      <c r="L29" s="21">
        <v>19442866.91</v>
      </c>
      <c r="M29" s="25">
        <f>(+K29-L29)/L29</f>
        <v>0.028314180853486155</v>
      </c>
      <c r="N29" s="10"/>
      <c r="R29" s="2"/>
    </row>
    <row r="30" spans="1:18" ht="15.75" thickBot="1">
      <c r="A30" s="38"/>
      <c r="B30" s="45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thickBot="1" thickTop="1">
      <c r="A31" s="39" t="s">
        <v>14</v>
      </c>
      <c r="B31" s="40"/>
      <c r="C31" s="41">
        <f>SUM(C27:C30)</f>
        <v>1396576</v>
      </c>
      <c r="D31" s="41">
        <f>SUM(D27:D30)</f>
        <v>1460077</v>
      </c>
      <c r="E31" s="280">
        <f>(+C31-D31)/D31</f>
        <v>-0.04349154188443486</v>
      </c>
      <c r="F31" s="41">
        <f>SUM(F27:F30)</f>
        <v>681976</v>
      </c>
      <c r="G31" s="41">
        <f>SUM(G27:G30)</f>
        <v>711129</v>
      </c>
      <c r="H31" s="42">
        <f>(+F31-G31)/G31</f>
        <v>-0.04099537496009866</v>
      </c>
      <c r="I31" s="43">
        <f>K31/C31</f>
        <v>43.66898399371034</v>
      </c>
      <c r="J31" s="43">
        <f>K31/F31</f>
        <v>89.42698128673152</v>
      </c>
      <c r="K31" s="41">
        <f>SUM(K27:K30)</f>
        <v>60987054.99000001</v>
      </c>
      <c r="L31" s="41">
        <f>SUM(L27:L30)</f>
        <v>61037237.120000005</v>
      </c>
      <c r="M31" s="44">
        <f>(+K31-L31)/L31</f>
        <v>-0.0008221559881771271</v>
      </c>
      <c r="N31" s="10"/>
      <c r="R31" s="2"/>
    </row>
    <row r="32" spans="1:18" ht="15.75" thickTop="1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>
      <c r="A33" s="19" t="s">
        <v>16</v>
      </c>
      <c r="B33" s="20">
        <f>DATE(2017,7,1)</f>
        <v>42917</v>
      </c>
      <c r="C33" s="21">
        <v>332127</v>
      </c>
      <c r="D33" s="21">
        <v>323462</v>
      </c>
      <c r="E33" s="23">
        <f>(+C33-D33)/D33</f>
        <v>0.026788308982198836</v>
      </c>
      <c r="F33" s="21">
        <f>+C33-153372</f>
        <v>178755</v>
      </c>
      <c r="G33" s="21">
        <f>+D33-151596</f>
        <v>171866</v>
      </c>
      <c r="H33" s="23">
        <f>(+F33-G33)/G33</f>
        <v>0.040083553466072404</v>
      </c>
      <c r="I33" s="24">
        <f>K33/C33</f>
        <v>51.14205313027848</v>
      </c>
      <c r="J33" s="24">
        <f>K33/F33</f>
        <v>95.02199479734833</v>
      </c>
      <c r="K33" s="21">
        <v>16985656.68</v>
      </c>
      <c r="L33" s="21">
        <v>13704607.39</v>
      </c>
      <c r="M33" s="25">
        <f>(+K33-L33)/L33</f>
        <v>0.23941213320668495</v>
      </c>
      <c r="N33" s="10"/>
      <c r="R33" s="2"/>
    </row>
    <row r="34" spans="1:18" ht="15.75">
      <c r="A34" s="19"/>
      <c r="B34" s="20">
        <f>DATE(2017,8,1)</f>
        <v>42948</v>
      </c>
      <c r="C34" s="21">
        <v>318460</v>
      </c>
      <c r="D34" s="21">
        <v>307862</v>
      </c>
      <c r="E34" s="23">
        <f>(+C34-D34)/D34</f>
        <v>0.03442451488004366</v>
      </c>
      <c r="F34" s="21">
        <f>+C34-146549</f>
        <v>171911</v>
      </c>
      <c r="G34" s="21">
        <f>+D34-143781</f>
        <v>164081</v>
      </c>
      <c r="H34" s="23">
        <f>(+F34-G34)/G34</f>
        <v>0.04772033325004114</v>
      </c>
      <c r="I34" s="24">
        <f>K34/C34</f>
        <v>48.91667229793381</v>
      </c>
      <c r="J34" s="24">
        <f>K34/F34</f>
        <v>90.61667641977536</v>
      </c>
      <c r="K34" s="21">
        <v>15578003.46</v>
      </c>
      <c r="L34" s="21">
        <v>14120994.54</v>
      </c>
      <c r="M34" s="25">
        <f>(+K34-L34)/L34</f>
        <v>0.10318033307588843</v>
      </c>
      <c r="N34" s="10"/>
      <c r="R34" s="2"/>
    </row>
    <row r="35" spans="1:18" ht="15.75">
      <c r="A35" s="19"/>
      <c r="B35" s="20">
        <f>DATE(2017,9,1)</f>
        <v>42979</v>
      </c>
      <c r="C35" s="21">
        <v>319116</v>
      </c>
      <c r="D35" s="21">
        <v>293770</v>
      </c>
      <c r="E35" s="23">
        <f>(+C35-D35)/D35</f>
        <v>0.08627838104639685</v>
      </c>
      <c r="F35" s="21">
        <f>+C35-146330</f>
        <v>172786</v>
      </c>
      <c r="G35" s="21">
        <f>+D35-134268</f>
        <v>159502</v>
      </c>
      <c r="H35" s="23">
        <f>(+F35-G35)/G35</f>
        <v>0.08328422214141515</v>
      </c>
      <c r="I35" s="24">
        <f>K35/C35</f>
        <v>48.81698181852367</v>
      </c>
      <c r="J35" s="24">
        <f>K35/F35</f>
        <v>90.15938773974743</v>
      </c>
      <c r="K35" s="21">
        <v>15578279.97</v>
      </c>
      <c r="L35" s="21">
        <v>14466452.66</v>
      </c>
      <c r="M35" s="25">
        <f>(+K35-L35)/L35</f>
        <v>0.07685555928124818</v>
      </c>
      <c r="N35" s="10"/>
      <c r="R35" s="2"/>
    </row>
    <row r="36" spans="1:18" ht="15.75" thickBot="1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thickBot="1" thickTop="1">
      <c r="A37" s="39" t="s">
        <v>14</v>
      </c>
      <c r="B37" s="40"/>
      <c r="C37" s="41">
        <f>SUM(C33:C36)</f>
        <v>969703</v>
      </c>
      <c r="D37" s="41">
        <f>SUM(D33:D36)</f>
        <v>925094</v>
      </c>
      <c r="E37" s="281">
        <f>(+C37-D37)/D37</f>
        <v>0.0482210456450912</v>
      </c>
      <c r="F37" s="47">
        <f>SUM(F33:F36)</f>
        <v>523452</v>
      </c>
      <c r="G37" s="48">
        <f>SUM(G33:G36)</f>
        <v>495449</v>
      </c>
      <c r="H37" s="49">
        <f>(+F37-G37)/G37</f>
        <v>0.05652044912796272</v>
      </c>
      <c r="I37" s="50">
        <f>K37/C37</f>
        <v>49.64606700195833</v>
      </c>
      <c r="J37" s="51">
        <f>K37/F37</f>
        <v>91.97011399326013</v>
      </c>
      <c r="K37" s="48">
        <f>SUM(K33:K36)</f>
        <v>48141940.11</v>
      </c>
      <c r="L37" s="47">
        <f>SUM(L33:L36)</f>
        <v>42292054.59</v>
      </c>
      <c r="M37" s="44">
        <f>(+K37-L37)/L37</f>
        <v>0.13832114747584778</v>
      </c>
      <c r="N37" s="10"/>
      <c r="R37" s="2"/>
    </row>
    <row r="38" spans="1:18" ht="15.75" customHeight="1" thickTop="1">
      <c r="A38" s="273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>
      <c r="A39" s="274" t="s">
        <v>66</v>
      </c>
      <c r="B39" s="20">
        <f>DATE(2017,7,1)</f>
        <v>42917</v>
      </c>
      <c r="C39" s="21">
        <v>155680</v>
      </c>
      <c r="D39" s="21">
        <v>180124</v>
      </c>
      <c r="E39" s="23">
        <f>(+C39-D39)/D39</f>
        <v>-0.13570651329084407</v>
      </c>
      <c r="F39" s="21">
        <f>+C39-76075</f>
        <v>79605</v>
      </c>
      <c r="G39" s="21">
        <f>+D39-87090</f>
        <v>93034</v>
      </c>
      <c r="H39" s="23">
        <f>(+F39-G39)/G39</f>
        <v>-0.14434507814347444</v>
      </c>
      <c r="I39" s="24">
        <f>K39/C39</f>
        <v>36.590878597122305</v>
      </c>
      <c r="J39" s="24">
        <f>K39/F39</f>
        <v>71.55917316751461</v>
      </c>
      <c r="K39" s="21">
        <v>5696467.98</v>
      </c>
      <c r="L39" s="21">
        <v>6090878.36</v>
      </c>
      <c r="M39" s="25">
        <f>(+K39-L39)/L39</f>
        <v>-0.06475426969452726</v>
      </c>
      <c r="N39" s="10"/>
      <c r="R39" s="2"/>
    </row>
    <row r="40" spans="1:18" ht="15.75">
      <c r="A40" s="274"/>
      <c r="B40" s="20">
        <f>DATE(2017,8,1)</f>
        <v>42948</v>
      </c>
      <c r="C40" s="21">
        <v>137297</v>
      </c>
      <c r="D40" s="21">
        <v>157062</v>
      </c>
      <c r="E40" s="23">
        <f>(+C40-D40)/D40</f>
        <v>-0.12584202416879958</v>
      </c>
      <c r="F40" s="21">
        <f>+C40-65122</f>
        <v>72175</v>
      </c>
      <c r="G40" s="21">
        <f>+D40-74517</f>
        <v>82545</v>
      </c>
      <c r="H40" s="23">
        <f>(+F40-G40)/G40</f>
        <v>-0.12562844509055668</v>
      </c>
      <c r="I40" s="24">
        <f>K40/C40</f>
        <v>37.46472952795764</v>
      </c>
      <c r="J40" s="24">
        <f>K40/F40</f>
        <v>71.26837506061655</v>
      </c>
      <c r="K40" s="21">
        <v>5143794.97</v>
      </c>
      <c r="L40" s="21">
        <v>5605573.68</v>
      </c>
      <c r="M40" s="25">
        <f>(+K40-L40)/L40</f>
        <v>-0.08237849261487185</v>
      </c>
      <c r="N40" s="10"/>
      <c r="R40" s="2"/>
    </row>
    <row r="41" spans="1:18" ht="15.75">
      <c r="A41" s="274"/>
      <c r="B41" s="20">
        <f>DATE(2017,9,1)</f>
        <v>42979</v>
      </c>
      <c r="C41" s="21">
        <v>151497</v>
      </c>
      <c r="D41" s="21">
        <v>163013</v>
      </c>
      <c r="E41" s="23">
        <f>(+C41-D41)/D41</f>
        <v>-0.07064467251078135</v>
      </c>
      <c r="F41" s="21">
        <f>+C41-72439</f>
        <v>79058</v>
      </c>
      <c r="G41" s="21">
        <f>+D41-75491</f>
        <v>87522</v>
      </c>
      <c r="H41" s="23">
        <f>(+F41-G41)/G41</f>
        <v>-0.09670711363999909</v>
      </c>
      <c r="I41" s="24">
        <f>K41/C41</f>
        <v>38.87098655418919</v>
      </c>
      <c r="J41" s="24">
        <f>K41/F41</f>
        <v>74.48756419337701</v>
      </c>
      <c r="K41" s="21">
        <v>5888837.85</v>
      </c>
      <c r="L41" s="21">
        <v>5567122.49</v>
      </c>
      <c r="M41" s="25">
        <f>(+K41-L41)/L41</f>
        <v>0.05778844646904821</v>
      </c>
      <c r="N41" s="10"/>
      <c r="R41" s="2"/>
    </row>
    <row r="42" spans="1:18" ht="15.75" customHeight="1" thickBot="1">
      <c r="A42" s="19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customHeight="1" thickBot="1" thickTop="1">
      <c r="A43" s="39" t="s">
        <v>14</v>
      </c>
      <c r="B43" s="52"/>
      <c r="C43" s="47">
        <f>SUM(C39:C42)</f>
        <v>444474</v>
      </c>
      <c r="D43" s="48">
        <f>SUM(D39:D42)</f>
        <v>500199</v>
      </c>
      <c r="E43" s="281">
        <f>(+C43-D43)/D43</f>
        <v>-0.11140566054710226</v>
      </c>
      <c r="F43" s="48">
        <f>SUM(F39:F42)</f>
        <v>230838</v>
      </c>
      <c r="G43" s="47">
        <f>SUM(G39:G42)</f>
        <v>263101</v>
      </c>
      <c r="H43" s="46">
        <f>(+F43-G43)/G43</f>
        <v>-0.12262591172211432</v>
      </c>
      <c r="I43" s="51">
        <f>K43/C43</f>
        <v>37.63797387473733</v>
      </c>
      <c r="J43" s="50">
        <f>K43/F43</f>
        <v>72.47117372356371</v>
      </c>
      <c r="K43" s="47">
        <f>SUM(K39:K42)</f>
        <v>16729100.799999999</v>
      </c>
      <c r="L43" s="48">
        <f>SUM(L39:L42)</f>
        <v>17263574.53</v>
      </c>
      <c r="M43" s="44">
        <f>(+K43-L43)/L43</f>
        <v>-0.030959621315458954</v>
      </c>
      <c r="N43" s="10"/>
      <c r="R43" s="2"/>
    </row>
    <row r="44" spans="1:18" ht="15.75" customHeight="1" thickTop="1">
      <c r="A44" s="19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>
      <c r="A45" s="19" t="s">
        <v>17</v>
      </c>
      <c r="B45" s="20">
        <f>DATE(2017,7,1)</f>
        <v>42917</v>
      </c>
      <c r="C45" s="21">
        <v>176619</v>
      </c>
      <c r="D45" s="21">
        <v>186981</v>
      </c>
      <c r="E45" s="23">
        <f>(+C45-D45)/D45</f>
        <v>-0.05541739535032971</v>
      </c>
      <c r="F45" s="21">
        <f>+C45-82680</f>
        <v>93939</v>
      </c>
      <c r="G45" s="21">
        <f>+D45-86212</f>
        <v>100769</v>
      </c>
      <c r="H45" s="23">
        <f>(+F45-G45)/G45</f>
        <v>-0.06777878117278131</v>
      </c>
      <c r="I45" s="24">
        <f>K45/C45</f>
        <v>35.04590627282455</v>
      </c>
      <c r="J45" s="24">
        <f>K45/F45</f>
        <v>65.89140740267621</v>
      </c>
      <c r="K45" s="21">
        <v>6189772.92</v>
      </c>
      <c r="L45" s="21">
        <v>6390595.25</v>
      </c>
      <c r="M45" s="25">
        <f>(+K45-L45)/L45</f>
        <v>-0.03142466736568868</v>
      </c>
      <c r="N45" s="10"/>
      <c r="R45" s="2"/>
    </row>
    <row r="46" spans="1:18" ht="15.75">
      <c r="A46" s="19"/>
      <c r="B46" s="20">
        <f>DATE(2017,8,1)</f>
        <v>42948</v>
      </c>
      <c r="C46" s="21">
        <v>166602</v>
      </c>
      <c r="D46" s="21">
        <v>177226</v>
      </c>
      <c r="E46" s="23">
        <f>(+C46-D46)/D46</f>
        <v>-0.05994605757620214</v>
      </c>
      <c r="F46" s="21">
        <f>+C46-77233</f>
        <v>89369</v>
      </c>
      <c r="G46" s="21">
        <f>+D46-81305</f>
        <v>95921</v>
      </c>
      <c r="H46" s="23">
        <f>(+F46-G46)/G46</f>
        <v>-0.06830621031890827</v>
      </c>
      <c r="I46" s="24">
        <f>K46/C46</f>
        <v>35.49029021260249</v>
      </c>
      <c r="J46" s="24">
        <f>K46/F46</f>
        <v>66.16112220121072</v>
      </c>
      <c r="K46" s="21">
        <v>5912753.33</v>
      </c>
      <c r="L46" s="21">
        <v>6124719.61</v>
      </c>
      <c r="M46" s="25">
        <f>(+K46-L46)/L46</f>
        <v>-0.03460832389027524</v>
      </c>
      <c r="N46" s="10"/>
      <c r="R46" s="2"/>
    </row>
    <row r="47" spans="1:18" ht="15.75">
      <c r="A47" s="19"/>
      <c r="B47" s="20">
        <f>DATE(2017,9,1)</f>
        <v>42979</v>
      </c>
      <c r="C47" s="21">
        <v>169194</v>
      </c>
      <c r="D47" s="21">
        <v>170326</v>
      </c>
      <c r="E47" s="23">
        <f>(+C47-D47)/D47</f>
        <v>-0.006646078696147388</v>
      </c>
      <c r="F47" s="21">
        <f>+C47-79368</f>
        <v>89826</v>
      </c>
      <c r="G47" s="21">
        <f>+D47-79229</f>
        <v>91097</v>
      </c>
      <c r="H47" s="23">
        <f>(+F47-G47)/G47</f>
        <v>-0.0139521608834539</v>
      </c>
      <c r="I47" s="24">
        <f>K47/C47</f>
        <v>34.892878825490264</v>
      </c>
      <c r="J47" s="24">
        <f>K47/F47</f>
        <v>65.72335114554807</v>
      </c>
      <c r="K47" s="21">
        <v>5903665.74</v>
      </c>
      <c r="L47" s="21">
        <v>5838814.34</v>
      </c>
      <c r="M47" s="25">
        <f>(+K47-L47)/L47</f>
        <v>0.011106946757276132</v>
      </c>
      <c r="N47" s="10"/>
      <c r="R47" s="2"/>
    </row>
    <row r="48" spans="1:18" ht="15.75" customHeight="1" thickBot="1">
      <c r="A48" s="19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Bot="1" thickTop="1">
      <c r="A49" s="39" t="s">
        <v>14</v>
      </c>
      <c r="B49" s="52"/>
      <c r="C49" s="47">
        <f>SUM(C45:C48)</f>
        <v>512415</v>
      </c>
      <c r="D49" s="48">
        <f>SUM(D45:D48)</f>
        <v>534533</v>
      </c>
      <c r="E49" s="281">
        <f>(+C49-D49)/D49</f>
        <v>-0.04137817496768207</v>
      </c>
      <c r="F49" s="48">
        <f>SUM(F45:F48)</f>
        <v>273134</v>
      </c>
      <c r="G49" s="47">
        <f>SUM(G45:G48)</f>
        <v>287787</v>
      </c>
      <c r="H49" s="53">
        <f>(+F49-G49)/G49</f>
        <v>-0.05091612894258601</v>
      </c>
      <c r="I49" s="51">
        <f>K49/C49</f>
        <v>35.13986122576428</v>
      </c>
      <c r="J49" s="50">
        <f>K49/F49</f>
        <v>65.9243887249482</v>
      </c>
      <c r="K49" s="47">
        <f>SUM(K45:K48)</f>
        <v>18006191.990000002</v>
      </c>
      <c r="L49" s="48">
        <f>SUM(L45:L48)</f>
        <v>18354129.2</v>
      </c>
      <c r="M49" s="44">
        <f>(+K49-L49)/L49</f>
        <v>-0.01895689009315665</v>
      </c>
      <c r="N49" s="10"/>
      <c r="R49" s="2"/>
    </row>
    <row r="50" spans="1:18" ht="15.75" customHeight="1" thickTop="1">
      <c r="A50" s="19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>
      <c r="A51" s="19" t="s">
        <v>67</v>
      </c>
      <c r="B51" s="20">
        <f>DATE(2017,7,1)</f>
        <v>42917</v>
      </c>
      <c r="C51" s="21">
        <v>400916</v>
      </c>
      <c r="D51" s="21">
        <v>319321</v>
      </c>
      <c r="E51" s="23">
        <f>(+C51-D51)/D51</f>
        <v>0.2555265704416559</v>
      </c>
      <c r="F51" s="21">
        <f>+C51-189272</f>
        <v>211644</v>
      </c>
      <c r="G51" s="21">
        <f>+D51-152762</f>
        <v>166559</v>
      </c>
      <c r="H51" s="23">
        <f>(+F51-G51)/G51</f>
        <v>0.27068486242112405</v>
      </c>
      <c r="I51" s="24">
        <f>K51/C51</f>
        <v>31.25707287810913</v>
      </c>
      <c r="J51" s="24">
        <f>K51/F51</f>
        <v>59.21009161611008</v>
      </c>
      <c r="K51" s="21">
        <v>12531460.63</v>
      </c>
      <c r="L51" s="21">
        <v>11457006.41</v>
      </c>
      <c r="M51" s="25">
        <f>(+K51-L51)/L51</f>
        <v>0.0937814103920014</v>
      </c>
      <c r="N51" s="10"/>
      <c r="R51" s="2"/>
    </row>
    <row r="52" spans="1:18" ht="15.75" customHeight="1">
      <c r="A52" s="19"/>
      <c r="B52" s="20">
        <f>DATE(2017,8,1)</f>
        <v>42948</v>
      </c>
      <c r="C52" s="21">
        <v>332551</v>
      </c>
      <c r="D52" s="21">
        <v>298389</v>
      </c>
      <c r="E52" s="23">
        <f>(+C52-D52)/D52</f>
        <v>0.11448813461622245</v>
      </c>
      <c r="F52" s="21">
        <f>+C52-143408</f>
        <v>189143</v>
      </c>
      <c r="G52" s="21">
        <f>+D52-153359</f>
        <v>145030</v>
      </c>
      <c r="H52" s="23">
        <f>(+F52-G52)/G52</f>
        <v>0.3041646555884989</v>
      </c>
      <c r="I52" s="24">
        <f>K52/C52</f>
        <v>37.33846450619605</v>
      </c>
      <c r="J52" s="24">
        <f>K52/F52</f>
        <v>65.64844435162814</v>
      </c>
      <c r="K52" s="21">
        <v>12416943.71</v>
      </c>
      <c r="L52" s="21">
        <v>10752916.18</v>
      </c>
      <c r="M52" s="25">
        <f>(+K52-L52)/L52</f>
        <v>0.15475127882936787</v>
      </c>
      <c r="N52" s="10"/>
      <c r="R52" s="2"/>
    </row>
    <row r="53" spans="1:18" ht="15.75" customHeight="1">
      <c r="A53" s="19"/>
      <c r="B53" s="20">
        <f>DATE(2017,9,1)</f>
        <v>42979</v>
      </c>
      <c r="C53" s="21">
        <v>334430</v>
      </c>
      <c r="D53" s="21">
        <v>290533</v>
      </c>
      <c r="E53" s="23">
        <f>(+C53-D53)/D53</f>
        <v>0.1510912701827331</v>
      </c>
      <c r="F53" s="21">
        <f>+C53-144819</f>
        <v>189611</v>
      </c>
      <c r="G53" s="21">
        <f>+D53-140086</f>
        <v>150447</v>
      </c>
      <c r="H53" s="23">
        <f>(+F53-G53)/G53</f>
        <v>0.2603175869242989</v>
      </c>
      <c r="I53" s="24">
        <f>K53/C53</f>
        <v>35.36166635768322</v>
      </c>
      <c r="J53" s="24">
        <f>K53/F53</f>
        <v>62.369810190337056</v>
      </c>
      <c r="K53" s="21">
        <v>11826002.08</v>
      </c>
      <c r="L53" s="21">
        <v>10750831.65</v>
      </c>
      <c r="M53" s="25">
        <f>(+K53-L53)/L53</f>
        <v>0.1000081170464612</v>
      </c>
      <c r="N53" s="10"/>
      <c r="R53" s="2"/>
    </row>
    <row r="54" spans="1:18" ht="15.75" customHeight="1" thickBot="1">
      <c r="A54" s="19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Bot="1" thickTop="1">
      <c r="A55" s="39" t="s">
        <v>14</v>
      </c>
      <c r="B55" s="40"/>
      <c r="C55" s="41">
        <f>SUM(C51:C54)</f>
        <v>1067897</v>
      </c>
      <c r="D55" s="41">
        <f>SUM(D51:D54)</f>
        <v>908243</v>
      </c>
      <c r="E55" s="280">
        <f>(+C55-D55)/D55</f>
        <v>0.17578335313346757</v>
      </c>
      <c r="F55" s="41">
        <f>SUM(F51:F54)</f>
        <v>590398</v>
      </c>
      <c r="G55" s="41">
        <f>SUM(G51:G54)</f>
        <v>462036</v>
      </c>
      <c r="H55" s="42">
        <f>(+F55-G55)/G55</f>
        <v>0.27781817867006037</v>
      </c>
      <c r="I55" s="43">
        <f>K55/C55</f>
        <v>34.43628591521467</v>
      </c>
      <c r="J55" s="43">
        <f>K55/F55</f>
        <v>62.28748474757706</v>
      </c>
      <c r="K55" s="41">
        <f>SUM(K51:K54)</f>
        <v>36774406.42</v>
      </c>
      <c r="L55" s="41">
        <f>SUM(L51:L54)</f>
        <v>32960754.240000002</v>
      </c>
      <c r="M55" s="44">
        <f>(+K55-L55)/L55</f>
        <v>0.115702818941318</v>
      </c>
      <c r="N55" s="10"/>
      <c r="R55" s="2"/>
    </row>
    <row r="56" spans="1:18" ht="15.75" customHeight="1" thickTop="1">
      <c r="A56" s="54"/>
      <c r="B56" s="55"/>
      <c r="C56" s="55"/>
      <c r="D56" s="55"/>
      <c r="E56" s="56"/>
      <c r="F56" s="55"/>
      <c r="G56" s="55"/>
      <c r="H56" s="56"/>
      <c r="I56" s="55"/>
      <c r="J56" s="55"/>
      <c r="K56" s="196"/>
      <c r="L56" s="196"/>
      <c r="M56" s="57"/>
      <c r="N56" s="10"/>
      <c r="R56" s="2"/>
    </row>
    <row r="57" spans="1:18" ht="15.75" customHeight="1">
      <c r="A57" s="19" t="s">
        <v>18</v>
      </c>
      <c r="B57" s="20">
        <f>DATE(2017,7,1)</f>
        <v>42917</v>
      </c>
      <c r="C57" s="21">
        <v>402324</v>
      </c>
      <c r="D57" s="21">
        <v>443593</v>
      </c>
      <c r="E57" s="23">
        <f>(+C57-D57)/D57</f>
        <v>-0.09303347888717811</v>
      </c>
      <c r="F57" s="21">
        <f>+C57-196212</f>
        <v>206112</v>
      </c>
      <c r="G57" s="21">
        <f>+D57-216102</f>
        <v>227491</v>
      </c>
      <c r="H57" s="23">
        <f>(+F57-G57)/G57</f>
        <v>-0.09397734415867001</v>
      </c>
      <c r="I57" s="24">
        <f>K57/C57</f>
        <v>40.6170578190712</v>
      </c>
      <c r="J57" s="24">
        <f>K57/F57</f>
        <v>79.28319151723335</v>
      </c>
      <c r="K57" s="21">
        <v>16341217.17</v>
      </c>
      <c r="L57" s="21">
        <v>16992668.91</v>
      </c>
      <c r="M57" s="25">
        <f>(+K57-L57)/L57</f>
        <v>-0.03833722315489994</v>
      </c>
      <c r="N57" s="10"/>
      <c r="R57" s="2"/>
    </row>
    <row r="58" spans="1:18" ht="15.75" customHeight="1">
      <c r="A58" s="19"/>
      <c r="B58" s="20">
        <f>DATE(2017,8,1)</f>
        <v>42948</v>
      </c>
      <c r="C58" s="21">
        <v>379939</v>
      </c>
      <c r="D58" s="21">
        <v>403931</v>
      </c>
      <c r="E58" s="23">
        <f>(+C58-D58)/D58</f>
        <v>-0.05939628302853705</v>
      </c>
      <c r="F58" s="21">
        <f>+C58-185707</f>
        <v>194232</v>
      </c>
      <c r="G58" s="21">
        <f>+D58-196405</f>
        <v>207526</v>
      </c>
      <c r="H58" s="23">
        <f>(+F58-G58)/G58</f>
        <v>-0.06405944315411082</v>
      </c>
      <c r="I58" s="24">
        <f>K58/C58</f>
        <v>40.309828814625504</v>
      </c>
      <c r="J58" s="24">
        <f>K58/F58</f>
        <v>78.85042655175255</v>
      </c>
      <c r="K58" s="21">
        <v>15315276.05</v>
      </c>
      <c r="L58" s="21">
        <v>15920732.62</v>
      </c>
      <c r="M58" s="25">
        <f>(+K58-L58)/L58</f>
        <v>-0.03802944151196972</v>
      </c>
      <c r="N58" s="10"/>
      <c r="R58" s="2"/>
    </row>
    <row r="59" spans="1:18" ht="15.75" customHeight="1">
      <c r="A59" s="19"/>
      <c r="B59" s="20">
        <f>DATE(2017,9,1)</f>
        <v>42979</v>
      </c>
      <c r="C59" s="21">
        <v>384472</v>
      </c>
      <c r="D59" s="21">
        <v>412152</v>
      </c>
      <c r="E59" s="23">
        <f>(+C59-D59)/D59</f>
        <v>-0.06715968865855315</v>
      </c>
      <c r="F59" s="21">
        <f>+C59-186828</f>
        <v>197644</v>
      </c>
      <c r="G59" s="21">
        <f>+D59-198762</f>
        <v>213390</v>
      </c>
      <c r="H59" s="23">
        <f>(+F59-G59)/G59</f>
        <v>-0.07378977459112424</v>
      </c>
      <c r="I59" s="24">
        <f>K59/C59</f>
        <v>41.71232414844254</v>
      </c>
      <c r="J59" s="24">
        <f>K59/F59</f>
        <v>81.1419556880047</v>
      </c>
      <c r="K59" s="21">
        <v>16037220.69</v>
      </c>
      <c r="L59" s="21">
        <v>15877918.01</v>
      </c>
      <c r="M59" s="25">
        <f>(+K59-L59)/L59</f>
        <v>0.010032970311326082</v>
      </c>
      <c r="N59" s="10"/>
      <c r="R59" s="2"/>
    </row>
    <row r="60" spans="1:18" ht="15.75" customHeight="1" thickBot="1">
      <c r="A60" s="19"/>
      <c r="B60" s="45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7.25" thickBot="1" thickTop="1">
      <c r="A61" s="39" t="s">
        <v>14</v>
      </c>
      <c r="B61" s="40"/>
      <c r="C61" s="41">
        <f>SUM(C57:C60)</f>
        <v>1166735</v>
      </c>
      <c r="D61" s="41">
        <f>SUM(D57:D60)</f>
        <v>1259676</v>
      </c>
      <c r="E61" s="280">
        <f>(+C61-D61)/D61</f>
        <v>-0.07378167084234359</v>
      </c>
      <c r="F61" s="41">
        <f>SUM(F57:F60)</f>
        <v>597988</v>
      </c>
      <c r="G61" s="41">
        <f>SUM(G57:G60)</f>
        <v>648407</v>
      </c>
      <c r="H61" s="42">
        <f>(+F61-G61)/G61</f>
        <v>-0.07775825985839141</v>
      </c>
      <c r="I61" s="43">
        <f>K61/C61</f>
        <v>40.877931929701255</v>
      </c>
      <c r="J61" s="43">
        <f>K61/F61</f>
        <v>79.75697490585095</v>
      </c>
      <c r="K61" s="41">
        <f>SUM(K57:K60)</f>
        <v>47693713.91</v>
      </c>
      <c r="L61" s="41">
        <f>SUM(L57:L60)</f>
        <v>48791319.54</v>
      </c>
      <c r="M61" s="44">
        <f>(+K61-L61)/L61</f>
        <v>-0.022495920183100725</v>
      </c>
      <c r="N61" s="10"/>
      <c r="R61" s="2"/>
    </row>
    <row r="62" spans="1:18" ht="15.75" customHeight="1" thickTop="1">
      <c r="A62" s="54"/>
      <c r="B62" s="55"/>
      <c r="C62" s="55"/>
      <c r="D62" s="55"/>
      <c r="E62" s="56"/>
      <c r="F62" s="55"/>
      <c r="G62" s="55"/>
      <c r="H62" s="56"/>
      <c r="I62" s="55"/>
      <c r="J62" s="55"/>
      <c r="K62" s="196"/>
      <c r="L62" s="196"/>
      <c r="M62" s="57"/>
      <c r="N62" s="10"/>
      <c r="R62" s="2"/>
    </row>
    <row r="63" spans="1:18" ht="15.75" customHeight="1">
      <c r="A63" s="19" t="s">
        <v>58</v>
      </c>
      <c r="B63" s="20">
        <f>DATE(2017,7,1)</f>
        <v>42917</v>
      </c>
      <c r="C63" s="21">
        <v>487621</v>
      </c>
      <c r="D63" s="21">
        <v>530171</v>
      </c>
      <c r="E63" s="23">
        <f>(+C63-D63)/D63</f>
        <v>-0.08025712458810459</v>
      </c>
      <c r="F63" s="21">
        <f>+C63-237847</f>
        <v>249774</v>
      </c>
      <c r="G63" s="21">
        <f>+D63-255599</f>
        <v>274572</v>
      </c>
      <c r="H63" s="23">
        <f>(+F63-G63)/G63</f>
        <v>-0.09031510860539312</v>
      </c>
      <c r="I63" s="24">
        <f>K63/C63</f>
        <v>40.61489082709728</v>
      </c>
      <c r="J63" s="24">
        <f>K63/F63</f>
        <v>79.29037321738852</v>
      </c>
      <c r="K63" s="21">
        <v>19804673.68</v>
      </c>
      <c r="L63" s="21">
        <v>20026177.73</v>
      </c>
      <c r="M63" s="25">
        <f>(+K63-L63)/L63</f>
        <v>-0.011060725266019136</v>
      </c>
      <c r="N63" s="10"/>
      <c r="R63" s="2"/>
    </row>
    <row r="64" spans="1:18" ht="15.75" customHeight="1">
      <c r="A64" s="19"/>
      <c r="B64" s="20">
        <f>DATE(2017,8,1)</f>
        <v>42948</v>
      </c>
      <c r="C64" s="21">
        <v>450515</v>
      </c>
      <c r="D64" s="21">
        <v>452258</v>
      </c>
      <c r="E64" s="23">
        <f>(+C64-D64)/D64</f>
        <v>-0.00385399484365119</v>
      </c>
      <c r="F64" s="21">
        <f>+C64-212107</f>
        <v>238408</v>
      </c>
      <c r="G64" s="21">
        <f>+D64-201862</f>
        <v>250396</v>
      </c>
      <c r="H64" s="23">
        <f>(+F64-G64)/G64</f>
        <v>-0.04787616415597693</v>
      </c>
      <c r="I64" s="24">
        <f>K64/C64</f>
        <v>41.2676607216186</v>
      </c>
      <c r="J64" s="24">
        <f>K64/F64</f>
        <v>77.9827026358176</v>
      </c>
      <c r="K64" s="21">
        <v>18591700.17</v>
      </c>
      <c r="L64" s="21">
        <v>17792626.65</v>
      </c>
      <c r="M64" s="25">
        <f>(+K64-L64)/L64</f>
        <v>0.044910374152093126</v>
      </c>
      <c r="N64" s="10"/>
      <c r="R64" s="2"/>
    </row>
    <row r="65" spans="1:18" ht="15.75" customHeight="1">
      <c r="A65" s="19"/>
      <c r="B65" s="20">
        <f>DATE(2017,9,1)</f>
        <v>42979</v>
      </c>
      <c r="C65" s="21">
        <v>460886</v>
      </c>
      <c r="D65" s="21">
        <v>443833</v>
      </c>
      <c r="E65" s="23">
        <f>(+C65-D65)/D65</f>
        <v>0.03842210921675495</v>
      </c>
      <c r="F65" s="21">
        <f>+C65-224636</f>
        <v>236250</v>
      </c>
      <c r="G65" s="21">
        <f>+D65-215331</f>
        <v>228502</v>
      </c>
      <c r="H65" s="23">
        <f>(+F65-G65)/G65</f>
        <v>0.03390779949409633</v>
      </c>
      <c r="I65" s="24">
        <f>K65/C65</f>
        <v>40.61222109154975</v>
      </c>
      <c r="J65" s="24">
        <f>K65/F65</f>
        <v>79.22795398941798</v>
      </c>
      <c r="K65" s="21">
        <v>18717604.13</v>
      </c>
      <c r="L65" s="21">
        <v>17971661.23</v>
      </c>
      <c r="M65" s="25">
        <f>(+K65-L65)/L65</f>
        <v>0.04150661925202551</v>
      </c>
      <c r="N65" s="10"/>
      <c r="R65" s="2"/>
    </row>
    <row r="66" spans="1:18" ht="15.75" customHeight="1" thickBot="1">
      <c r="A66" s="19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Bot="1" thickTop="1">
      <c r="A67" s="39" t="s">
        <v>14</v>
      </c>
      <c r="B67" s="40"/>
      <c r="C67" s="41">
        <f>SUM(C63:C66)</f>
        <v>1399022</v>
      </c>
      <c r="D67" s="41">
        <f>SUM(D63:D66)</f>
        <v>1426262</v>
      </c>
      <c r="E67" s="280">
        <f>(+C67-D67)/D67</f>
        <v>-0.019098875241715756</v>
      </c>
      <c r="F67" s="41">
        <f>SUM(F63:F66)</f>
        <v>724432</v>
      </c>
      <c r="G67" s="41">
        <f>SUM(G63:G66)</f>
        <v>753470</v>
      </c>
      <c r="H67" s="42">
        <f>(+F67-G67)/G67</f>
        <v>-0.038539026105883445</v>
      </c>
      <c r="I67" s="43">
        <f>K67/C67</f>
        <v>40.82421718886479</v>
      </c>
      <c r="J67" s="43">
        <f>K67/F67</f>
        <v>78.83966746361288</v>
      </c>
      <c r="K67" s="41">
        <f>SUM(K63:K66)</f>
        <v>57113977.980000004</v>
      </c>
      <c r="L67" s="41">
        <f>SUM(L63:L66)</f>
        <v>55790465.61</v>
      </c>
      <c r="M67" s="44">
        <f>(+K67-L67)/L67</f>
        <v>0.02372291314526645</v>
      </c>
      <c r="N67" s="10"/>
      <c r="R67" s="2"/>
    </row>
    <row r="68" spans="1:18" ht="15.75" customHeight="1" thickTop="1">
      <c r="A68" s="58"/>
      <c r="B68" s="59"/>
      <c r="C68" s="59"/>
      <c r="D68" s="59"/>
      <c r="E68" s="60"/>
      <c r="F68" s="59"/>
      <c r="G68" s="59"/>
      <c r="H68" s="60"/>
      <c r="I68" s="59"/>
      <c r="J68" s="59"/>
      <c r="K68" s="197"/>
      <c r="L68" s="197"/>
      <c r="M68" s="61"/>
      <c r="N68" s="10"/>
      <c r="R68" s="2"/>
    </row>
    <row r="69" spans="1:18" ht="15" customHeight="1">
      <c r="A69" s="19" t="s">
        <v>59</v>
      </c>
      <c r="B69" s="20">
        <f>DATE(2017,7,1)</f>
        <v>42917</v>
      </c>
      <c r="C69" s="21">
        <v>62927</v>
      </c>
      <c r="D69" s="21">
        <v>73310</v>
      </c>
      <c r="E69" s="23">
        <f>(+C69-D69)/D69</f>
        <v>-0.14163142818169416</v>
      </c>
      <c r="F69" s="21">
        <f>+C69-30201</f>
        <v>32726</v>
      </c>
      <c r="G69" s="21">
        <f>+D69-35214</f>
        <v>38096</v>
      </c>
      <c r="H69" s="23">
        <f>(+F69-G69)/G69</f>
        <v>-0.14095968080638388</v>
      </c>
      <c r="I69" s="24">
        <f>K69/C69</f>
        <v>46.5557015271664</v>
      </c>
      <c r="J69" s="24">
        <f>K69/F69</f>
        <v>89.51936166962048</v>
      </c>
      <c r="K69" s="21">
        <v>2929610.63</v>
      </c>
      <c r="L69" s="21">
        <v>3001887.38</v>
      </c>
      <c r="M69" s="25">
        <f>(+K69-L69)/L69</f>
        <v>-0.024077102452790884</v>
      </c>
      <c r="N69" s="10"/>
      <c r="R69" s="2"/>
    </row>
    <row r="70" spans="1:18" ht="15" customHeight="1">
      <c r="A70" s="19"/>
      <c r="B70" s="20">
        <f>DATE(2017,8,1)</f>
        <v>42948</v>
      </c>
      <c r="C70" s="21">
        <v>58528</v>
      </c>
      <c r="D70" s="21">
        <v>68681</v>
      </c>
      <c r="E70" s="23">
        <f>(+C70-D70)/D70</f>
        <v>-0.1478283659236179</v>
      </c>
      <c r="F70" s="21">
        <f>+C70-27538</f>
        <v>30990</v>
      </c>
      <c r="G70" s="21">
        <f>+D70-33144</f>
        <v>35537</v>
      </c>
      <c r="H70" s="23">
        <f>(+F70-G70)/G70</f>
        <v>-0.12795114950614853</v>
      </c>
      <c r="I70" s="24">
        <f>K70/C70</f>
        <v>45.66702706396938</v>
      </c>
      <c r="J70" s="24">
        <f>K70/F70</f>
        <v>86.24716876411745</v>
      </c>
      <c r="K70" s="21">
        <v>2672799.76</v>
      </c>
      <c r="L70" s="21">
        <v>2805830.16</v>
      </c>
      <c r="M70" s="25">
        <f>(+K70-L70)/L70</f>
        <v>-0.04741213559412319</v>
      </c>
      <c r="N70" s="10"/>
      <c r="R70" s="2"/>
    </row>
    <row r="71" spans="1:18" ht="15" customHeight="1">
      <c r="A71" s="19"/>
      <c r="B71" s="20">
        <f>DATE(2017,9,1)</f>
        <v>42979</v>
      </c>
      <c r="C71" s="21">
        <v>59418</v>
      </c>
      <c r="D71" s="21">
        <v>66932</v>
      </c>
      <c r="E71" s="23">
        <f>(+C71-D71)/D71</f>
        <v>-0.11226319249387438</v>
      </c>
      <c r="F71" s="21">
        <f>+C71-28421</f>
        <v>30997</v>
      </c>
      <c r="G71" s="21">
        <f>+D71-32466</f>
        <v>34466</v>
      </c>
      <c r="H71" s="23">
        <f>(+F71-G71)/G71</f>
        <v>-0.10064991585910753</v>
      </c>
      <c r="I71" s="24">
        <f>K71/C71</f>
        <v>46.52493638291427</v>
      </c>
      <c r="J71" s="24">
        <f>K71/F71</f>
        <v>89.18342646062521</v>
      </c>
      <c r="K71" s="21">
        <v>2764418.67</v>
      </c>
      <c r="L71" s="21">
        <v>2776425.81</v>
      </c>
      <c r="M71" s="25">
        <f>(+K71-L71)/L71</f>
        <v>-0.0043246752557743046</v>
      </c>
      <c r="N71" s="10"/>
      <c r="R71" s="2"/>
    </row>
    <row r="72" spans="1:18" ht="15.75" thickBot="1">
      <c r="A72" s="38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7.25" thickBot="1" thickTop="1">
      <c r="A73" s="62" t="s">
        <v>14</v>
      </c>
      <c r="B73" s="52"/>
      <c r="C73" s="48">
        <f>SUM(C69:C72)</f>
        <v>180873</v>
      </c>
      <c r="D73" s="48">
        <f>SUM(D69:D72)</f>
        <v>208923</v>
      </c>
      <c r="E73" s="280">
        <f>(+C73-D73)/D73</f>
        <v>-0.1342599905228242</v>
      </c>
      <c r="F73" s="48">
        <f>SUM(F69:F72)</f>
        <v>94713</v>
      </c>
      <c r="G73" s="48">
        <f>SUM(G69:G72)</f>
        <v>108099</v>
      </c>
      <c r="H73" s="42">
        <f>(+F73-G73)/G73</f>
        <v>-0.1238309327560847</v>
      </c>
      <c r="I73" s="50">
        <f>K73/C73</f>
        <v>46.258032210446004</v>
      </c>
      <c r="J73" s="50">
        <f>K73/F73</f>
        <v>88.33876088815686</v>
      </c>
      <c r="K73" s="48">
        <f>SUM(K69:K72)</f>
        <v>8366829.06</v>
      </c>
      <c r="L73" s="48">
        <f>SUM(L69:L72)</f>
        <v>8584143.35</v>
      </c>
      <c r="M73" s="44">
        <f>(+K73-L73)/L73</f>
        <v>-0.025315780636398628</v>
      </c>
      <c r="N73" s="10"/>
      <c r="R73" s="2"/>
    </row>
    <row r="74" spans="1:18" ht="15.75" customHeight="1" thickTop="1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.75">
      <c r="A75" s="19" t="s">
        <v>19</v>
      </c>
      <c r="B75" s="20">
        <f>DATE(2017,7,1)</f>
        <v>42917</v>
      </c>
      <c r="C75" s="21">
        <v>504680</v>
      </c>
      <c r="D75" s="21">
        <v>563540</v>
      </c>
      <c r="E75" s="23">
        <f>(+C75-D75)/D75</f>
        <v>-0.1044468893068815</v>
      </c>
      <c r="F75" s="21">
        <f>+C75-244835</f>
        <v>259845</v>
      </c>
      <c r="G75" s="21">
        <f>+D75-291099</f>
        <v>272441</v>
      </c>
      <c r="H75" s="23">
        <f>(+F75-G75)/G75</f>
        <v>-0.04623386347869814</v>
      </c>
      <c r="I75" s="24">
        <f>K75/C75</f>
        <v>47.030274470951895</v>
      </c>
      <c r="J75" s="24">
        <f>K75/F75</f>
        <v>91.34383544035869</v>
      </c>
      <c r="K75" s="21">
        <v>23735238.92</v>
      </c>
      <c r="L75" s="21">
        <v>23596498.81</v>
      </c>
      <c r="M75" s="25">
        <f>(+K75-L75)/L75</f>
        <v>0.005879690504813631</v>
      </c>
      <c r="N75" s="10"/>
      <c r="R75" s="2"/>
    </row>
    <row r="76" spans="1:18" ht="15.75">
      <c r="A76" s="19"/>
      <c r="B76" s="20">
        <f>DATE(2017,8,1)</f>
        <v>42948</v>
      </c>
      <c r="C76" s="21">
        <v>457330</v>
      </c>
      <c r="D76" s="21">
        <v>486709</v>
      </c>
      <c r="E76" s="23">
        <f>(+C76-D76)/D76</f>
        <v>-0.06036255750355962</v>
      </c>
      <c r="F76" s="21">
        <f>+C76-220324</f>
        <v>237006</v>
      </c>
      <c r="G76" s="21">
        <f>+D76-236659</f>
        <v>250050</v>
      </c>
      <c r="H76" s="23">
        <f>(+F76-G76)/G76</f>
        <v>-0.052165566886622675</v>
      </c>
      <c r="I76" s="24">
        <f>K76/C76</f>
        <v>46.80652019329587</v>
      </c>
      <c r="J76" s="24">
        <f>K76/F76</f>
        <v>90.31849775955038</v>
      </c>
      <c r="K76" s="21">
        <v>21406025.88</v>
      </c>
      <c r="L76" s="21">
        <v>20653783.03</v>
      </c>
      <c r="M76" s="25">
        <f>(+K76-L76)/L76</f>
        <v>0.0364215528413052</v>
      </c>
      <c r="N76" s="10"/>
      <c r="R76" s="2"/>
    </row>
    <row r="77" spans="1:18" ht="15.75">
      <c r="A77" s="19"/>
      <c r="B77" s="20">
        <f>DATE(2017,9,1)</f>
        <v>42979</v>
      </c>
      <c r="C77" s="21">
        <v>469827</v>
      </c>
      <c r="D77" s="21">
        <v>486459</v>
      </c>
      <c r="E77" s="23">
        <f>(+C77-D77)/D77</f>
        <v>-0.03418993173114281</v>
      </c>
      <c r="F77" s="21">
        <f>+C77-233445</f>
        <v>236382</v>
      </c>
      <c r="G77" s="21">
        <f>+D77-234302</f>
        <v>252157</v>
      </c>
      <c r="H77" s="23">
        <f>(+F77-G77)/G77</f>
        <v>-0.06256023033268955</v>
      </c>
      <c r="I77" s="24">
        <f>K77/C77</f>
        <v>46.83050295108625</v>
      </c>
      <c r="J77" s="24">
        <f>K77/F77</f>
        <v>93.07914608557336</v>
      </c>
      <c r="K77" s="21">
        <v>22002234.71</v>
      </c>
      <c r="L77" s="21">
        <v>21731947.99</v>
      </c>
      <c r="M77" s="25">
        <f>(+K77-L77)/L77</f>
        <v>0.012437298309584375</v>
      </c>
      <c r="N77" s="10"/>
      <c r="R77" s="2"/>
    </row>
    <row r="78" spans="1:18" ht="15.75" thickBot="1">
      <c r="A78" s="38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Bot="1" thickTop="1">
      <c r="A79" s="39" t="s">
        <v>14</v>
      </c>
      <c r="B79" s="40"/>
      <c r="C79" s="41">
        <f>SUM(C75:C78)</f>
        <v>1431837</v>
      </c>
      <c r="D79" s="41">
        <f>SUM(D75:D78)</f>
        <v>1536708</v>
      </c>
      <c r="E79" s="280">
        <f>(+C79-D79)/D79</f>
        <v>-0.06824393443647069</v>
      </c>
      <c r="F79" s="41">
        <f>SUM(F75:F78)</f>
        <v>733233</v>
      </c>
      <c r="G79" s="41">
        <f>SUM(G75:G78)</f>
        <v>774648</v>
      </c>
      <c r="H79" s="42">
        <f>(+F79-G79)/G79</f>
        <v>-0.053462992223564765</v>
      </c>
      <c r="I79" s="43">
        <f>K79/C79</f>
        <v>46.893256362281456</v>
      </c>
      <c r="J79" s="43">
        <f>K79/F79</f>
        <v>91.57184620714014</v>
      </c>
      <c r="K79" s="41">
        <f>SUM(K75:K78)</f>
        <v>67143499.50999999</v>
      </c>
      <c r="L79" s="41">
        <f>SUM(L75:L78)</f>
        <v>65982229.83</v>
      </c>
      <c r="M79" s="44">
        <f>(+K79-L79)/L79</f>
        <v>0.01759973379183982</v>
      </c>
      <c r="N79" s="10"/>
      <c r="R79" s="2"/>
    </row>
    <row r="80" spans="1:18" ht="15.75" customHeight="1" thickTop="1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.75">
      <c r="A81" s="19" t="s">
        <v>63</v>
      </c>
      <c r="B81" s="20">
        <f>DATE(2017,7,1)</f>
        <v>42917</v>
      </c>
      <c r="C81" s="21">
        <v>79906</v>
      </c>
      <c r="D81" s="21">
        <v>90995</v>
      </c>
      <c r="E81" s="23">
        <f>(+C81-D81)/D81</f>
        <v>-0.12186383867245452</v>
      </c>
      <c r="F81" s="21">
        <f>+C81-36860</f>
        <v>43046</v>
      </c>
      <c r="G81" s="21">
        <f>+D81-43310</f>
        <v>47685</v>
      </c>
      <c r="H81" s="23">
        <f>(+F81-G81)/G81</f>
        <v>-0.09728426129810212</v>
      </c>
      <c r="I81" s="24">
        <f>K81/C81</f>
        <v>41.48382036392761</v>
      </c>
      <c r="J81" s="24">
        <f>K81/F81</f>
        <v>77.00613645867212</v>
      </c>
      <c r="K81" s="21">
        <v>3314806.15</v>
      </c>
      <c r="L81" s="21">
        <v>3405161.57</v>
      </c>
      <c r="M81" s="25">
        <f>(+K81-L81)/L81</f>
        <v>-0.026534840753532858</v>
      </c>
      <c r="N81" s="10"/>
      <c r="R81" s="2"/>
    </row>
    <row r="82" spans="1:18" ht="15.75">
      <c r="A82" s="19"/>
      <c r="B82" s="20">
        <f>DATE(2017,8,1)</f>
        <v>42948</v>
      </c>
      <c r="C82" s="21">
        <v>79833</v>
      </c>
      <c r="D82" s="21">
        <v>81875</v>
      </c>
      <c r="E82" s="23">
        <f>(+C82-D82)/D82</f>
        <v>-0.024940458015267175</v>
      </c>
      <c r="F82" s="21">
        <f>+C82-35871</f>
        <v>43962</v>
      </c>
      <c r="G82" s="21">
        <f>+D82-38874</f>
        <v>43001</v>
      </c>
      <c r="H82" s="23">
        <f>(+F82-G82)/G82</f>
        <v>0.022348317480988814</v>
      </c>
      <c r="I82" s="24">
        <f>K82/C82</f>
        <v>40.51858166422407</v>
      </c>
      <c r="J82" s="24">
        <f>K82/F82</f>
        <v>73.5799083299213</v>
      </c>
      <c r="K82" s="21">
        <v>3234719.93</v>
      </c>
      <c r="L82" s="21">
        <v>3227442.54</v>
      </c>
      <c r="M82" s="25">
        <f>(+K82-L82)/L82</f>
        <v>0.002254847269875835</v>
      </c>
      <c r="N82" s="10"/>
      <c r="R82" s="2"/>
    </row>
    <row r="83" spans="1:18" ht="15.75">
      <c r="A83" s="19"/>
      <c r="B83" s="20">
        <f>DATE(2017,9,1)</f>
        <v>42979</v>
      </c>
      <c r="C83" s="21">
        <v>84353</v>
      </c>
      <c r="D83" s="21">
        <v>77996</v>
      </c>
      <c r="E83" s="23">
        <f>(+C83-D83)/D83</f>
        <v>0.08150417970152316</v>
      </c>
      <c r="F83" s="21">
        <f>+C83-38205</f>
        <v>46148</v>
      </c>
      <c r="G83" s="21">
        <f>+D83-37134</f>
        <v>40862</v>
      </c>
      <c r="H83" s="23">
        <f>(+F83-G83)/G83</f>
        <v>0.12936224364935636</v>
      </c>
      <c r="I83" s="24">
        <f>K83/C83</f>
        <v>41.11760103375102</v>
      </c>
      <c r="J83" s="24">
        <f>K83/F83</f>
        <v>75.15803501776892</v>
      </c>
      <c r="K83" s="21">
        <v>3468393</v>
      </c>
      <c r="L83" s="21">
        <v>3211171.21</v>
      </c>
      <c r="M83" s="25">
        <f>(+K83-L83)/L83</f>
        <v>0.08010217244069028</v>
      </c>
      <c r="N83" s="10"/>
      <c r="R83" s="2"/>
    </row>
    <row r="84" spans="1:18" ht="15.75" thickBot="1">
      <c r="A84" s="38"/>
      <c r="B84" s="45"/>
      <c r="C84" s="21"/>
      <c r="D84" s="21"/>
      <c r="E84" s="23"/>
      <c r="F84" s="21"/>
      <c r="G84" s="21"/>
      <c r="H84" s="23"/>
      <c r="I84" s="24"/>
      <c r="J84" s="24"/>
      <c r="K84" s="21"/>
      <c r="L84" s="21"/>
      <c r="M84" s="25"/>
      <c r="N84" s="10"/>
      <c r="R84" s="2"/>
    </row>
    <row r="85" spans="1:18" ht="17.25" thickBot="1" thickTop="1">
      <c r="A85" s="26" t="s">
        <v>14</v>
      </c>
      <c r="B85" s="27"/>
      <c r="C85" s="28">
        <f>SUM(C81:C84)</f>
        <v>244092</v>
      </c>
      <c r="D85" s="28">
        <f>SUM(D81:D84)</f>
        <v>250866</v>
      </c>
      <c r="E85" s="280">
        <f>(+C85-D85)/D85</f>
        <v>-0.027002463466551864</v>
      </c>
      <c r="F85" s="28">
        <f>SUM(F81:F84)</f>
        <v>133156</v>
      </c>
      <c r="G85" s="28">
        <f>SUM(G81:G84)</f>
        <v>131548</v>
      </c>
      <c r="H85" s="42">
        <f>(+F85-G85)/G85</f>
        <v>0.012223675008361967</v>
      </c>
      <c r="I85" s="43">
        <f>K85/C85</f>
        <v>41.04157071923701</v>
      </c>
      <c r="J85" s="43">
        <f>K85/F85</f>
        <v>75.23445492505031</v>
      </c>
      <c r="K85" s="28">
        <f>SUM(K81:K84)</f>
        <v>10017919.08</v>
      </c>
      <c r="L85" s="28">
        <f>SUM(L81:L84)</f>
        <v>9843775.32</v>
      </c>
      <c r="M85" s="44">
        <f>(+K85-L85)/L85</f>
        <v>0.01769074916269013</v>
      </c>
      <c r="N85" s="10"/>
      <c r="R85" s="2"/>
    </row>
    <row r="86" spans="1:18" ht="16.5" thickBot="1" thickTop="1">
      <c r="A86" s="63"/>
      <c r="B86" s="34"/>
      <c r="C86" s="35"/>
      <c r="D86" s="35"/>
      <c r="E86" s="29"/>
      <c r="F86" s="35"/>
      <c r="G86" s="35"/>
      <c r="H86" s="29"/>
      <c r="I86" s="36"/>
      <c r="J86" s="36"/>
      <c r="K86" s="35"/>
      <c r="L86" s="35"/>
      <c r="M86" s="37"/>
      <c r="N86" s="10"/>
      <c r="R86" s="2"/>
    </row>
    <row r="87" spans="1:18" ht="17.25" thickBot="1" thickTop="1">
      <c r="A87" s="64" t="s">
        <v>20</v>
      </c>
      <c r="B87" s="65"/>
      <c r="C87" s="28">
        <f>C85+C79+C37+C49+C55+C25+C13+C61+C67+C31+C73+C19+C43</f>
        <v>10319225</v>
      </c>
      <c r="D87" s="28">
        <f>D85+D79+D37+D49+D55+D25+D13+D61+D67+D31+D73+D19+D43</f>
        <v>10577001</v>
      </c>
      <c r="E87" s="279">
        <f>(+C87-D87)/D87</f>
        <v>-0.02437136954038295</v>
      </c>
      <c r="F87" s="28">
        <f>F85+F79+F37+F49+F55+F25+F13+F61+F67+F31+F73+F19+F43</f>
        <v>5360560</v>
      </c>
      <c r="G87" s="28">
        <f>G85+G79+G37+G49+G55+G25+G13+G61+G67+G31+G73+G19+G43</f>
        <v>5435825</v>
      </c>
      <c r="H87" s="30">
        <f>(+F87-G87)/G87</f>
        <v>-0.013846104317191963</v>
      </c>
      <c r="I87" s="31">
        <f>K87/C87</f>
        <v>42.84904336420614</v>
      </c>
      <c r="J87" s="31">
        <f>K87/F87</f>
        <v>82.4855835043354</v>
      </c>
      <c r="K87" s="28">
        <f>K85+K79+K37+K49+K55+K25+K13+K61+K67+K31+K73+K19+K43</f>
        <v>442168919.5100001</v>
      </c>
      <c r="L87" s="28">
        <f>L85+L79+L37+L49+L55+L25+L13+L61+L67+L31+L73+L19+L43</f>
        <v>430420857.52</v>
      </c>
      <c r="M87" s="32">
        <f>(+K87-L87)/L87</f>
        <v>0.02729436035625723</v>
      </c>
      <c r="N87" s="10"/>
      <c r="R87" s="2"/>
    </row>
    <row r="88" spans="1:18" ht="17.25" thickBot="1" thickTop="1">
      <c r="A88" s="64"/>
      <c r="B88" s="65"/>
      <c r="C88" s="28"/>
      <c r="D88" s="28"/>
      <c r="E88" s="29"/>
      <c r="F88" s="28"/>
      <c r="G88" s="28"/>
      <c r="H88" s="30"/>
      <c r="I88" s="31"/>
      <c r="J88" s="31"/>
      <c r="K88" s="28"/>
      <c r="L88" s="28"/>
      <c r="M88" s="32"/>
      <c r="N88" s="10"/>
      <c r="R88" s="2"/>
    </row>
    <row r="89" spans="1:18" ht="17.25" thickBot="1" thickTop="1">
      <c r="A89" s="64" t="s">
        <v>21</v>
      </c>
      <c r="B89" s="65"/>
      <c r="C89" s="28">
        <f>+C11+C17+C23+C29+C35+C41+C47+C53+C59+C65+C71+C77+C83</f>
        <v>3372015</v>
      </c>
      <c r="D89" s="28">
        <f>+D11+D17+D23+D29+D35+D41+D47+D53+D59+D65+D71+D77+D83</f>
        <v>3366809</v>
      </c>
      <c r="E89" s="279">
        <f>(+C89-D89)/D89</f>
        <v>0.0015462712616011185</v>
      </c>
      <c r="F89" s="28">
        <f>+F11+F17+F23+F29+F35+F41+F47+F53+F59+F65+F71+F77+F83</f>
        <v>1750609</v>
      </c>
      <c r="G89" s="28">
        <f>+G11+G17+G23+G29+G35+G41+G47+G53+G59+G65+G71+G77+G83</f>
        <v>1740652</v>
      </c>
      <c r="H89" s="30">
        <f>(+F89-G89)/G89</f>
        <v>0.005720270335483485</v>
      </c>
      <c r="I89" s="31">
        <f>K89/C89</f>
        <v>43.203764022402034</v>
      </c>
      <c r="J89" s="31">
        <f>K89/F89</f>
        <v>83.21889144863302</v>
      </c>
      <c r="K89" s="28">
        <f>+K11+K17+K23+K29+K35+K41+K47+K53+K59+K65+K71+K77+K83</f>
        <v>145683740.34</v>
      </c>
      <c r="L89" s="28">
        <f>+L11+L17+L23+L29+L35+L41+L47+L53+L59+L65+L71+L77+L83</f>
        <v>140191377.97000003</v>
      </c>
      <c r="M89" s="44">
        <f>(+K89-L89)/L89</f>
        <v>0.03917760456834444</v>
      </c>
      <c r="N89" s="10"/>
      <c r="R89" s="2"/>
    </row>
    <row r="90" spans="1:18" ht="15.75" thickTop="1">
      <c r="A90" s="66"/>
      <c r="B90" s="67"/>
      <c r="C90" s="68"/>
      <c r="D90" s="67"/>
      <c r="E90" s="67"/>
      <c r="F90" s="67"/>
      <c r="G90" s="67"/>
      <c r="H90" s="67"/>
      <c r="I90" s="67"/>
      <c r="J90" s="67"/>
      <c r="K90" s="68"/>
      <c r="L90" s="68"/>
      <c r="M90" s="67"/>
      <c r="R90" s="2"/>
    </row>
    <row r="91" spans="1:18" ht="18.75">
      <c r="A91" s="264" t="s">
        <v>22</v>
      </c>
      <c r="B91" s="70"/>
      <c r="C91" s="71"/>
      <c r="D91" s="71"/>
      <c r="E91" s="71"/>
      <c r="F91" s="71"/>
      <c r="G91" s="71"/>
      <c r="H91" s="71"/>
      <c r="I91" s="71"/>
      <c r="J91" s="71"/>
      <c r="K91" s="198"/>
      <c r="L91" s="198"/>
      <c r="M91" s="71"/>
      <c r="N91" s="2"/>
      <c r="O91" s="2"/>
      <c r="P91" s="2"/>
      <c r="Q91" s="2"/>
      <c r="R91" s="2"/>
    </row>
    <row r="92" spans="1:18" ht="18">
      <c r="A92" s="69"/>
      <c r="B92" s="70"/>
      <c r="C92" s="71"/>
      <c r="D92" s="71"/>
      <c r="E92" s="71"/>
      <c r="F92" s="71"/>
      <c r="G92" s="71"/>
      <c r="H92" s="71"/>
      <c r="I92" s="71"/>
      <c r="J92" s="71"/>
      <c r="K92" s="198"/>
      <c r="L92" s="198"/>
      <c r="M92" s="71"/>
      <c r="N92" s="2"/>
      <c r="O92" s="2"/>
      <c r="P92" s="2"/>
      <c r="Q92" s="2"/>
      <c r="R92" s="2"/>
    </row>
    <row r="93" spans="1:18" ht="15.75">
      <c r="A93" s="72"/>
      <c r="B93" s="73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ht="15">
      <c r="A94" s="2"/>
      <c r="B94" s="73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ht="15">
      <c r="A95" s="2"/>
      <c r="B95" s="73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">
      <c r="A96" s="2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ht="15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ht="15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ht="15">
      <c r="A99" s="2"/>
      <c r="B99" s="73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ht="15">
      <c r="A100" s="2"/>
      <c r="B100" s="73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ht="15">
      <c r="A101" s="2"/>
      <c r="B101" s="73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ht="15">
      <c r="A102" s="2"/>
      <c r="B102" s="73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4"/>
      <c r="N102" s="2"/>
      <c r="O102" s="2"/>
      <c r="P102" s="2"/>
      <c r="Q102" s="2"/>
      <c r="R102" s="2"/>
    </row>
    <row r="103" spans="1:18" ht="15">
      <c r="A103" s="2"/>
      <c r="B103" s="73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4"/>
      <c r="N103" s="2"/>
      <c r="O103" s="2"/>
      <c r="P103" s="2"/>
      <c r="Q103" s="2"/>
      <c r="R103" s="2"/>
    </row>
    <row r="104" spans="1:18" ht="15">
      <c r="A104" s="2"/>
      <c r="B104" s="70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4"/>
      <c r="N104" s="2"/>
      <c r="O104" s="2"/>
      <c r="P104" s="2"/>
      <c r="Q104" s="2"/>
      <c r="R104" s="2"/>
    </row>
    <row r="105" spans="1:18" ht="15.75">
      <c r="A105" s="76"/>
      <c r="B105" s="70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.75">
      <c r="A106" s="76"/>
      <c r="B106" s="70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.75">
      <c r="A107" s="76"/>
      <c r="B107" s="70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70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.75">
      <c r="A109" s="76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">
      <c r="A112" s="2"/>
      <c r="B112" s="77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">
      <c r="A113" s="2"/>
      <c r="B113" s="77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">
      <c r="A114" s="2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ht="15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ht="15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ht="15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2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.75">
      <c r="A122" s="76"/>
      <c r="B122" s="2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2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2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.75">
      <c r="A125" s="76"/>
      <c r="B125" s="2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.75">
      <c r="A126" s="76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.75">
      <c r="A127" s="76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77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">
      <c r="A135" s="2"/>
      <c r="B135" s="77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77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77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">
      <c r="A139" s="2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.75">
      <c r="A140" s="76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.75">
      <c r="A143" s="76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.75">
      <c r="A149" s="76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>
      <c r="A152" s="76"/>
      <c r="B152" s="76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DATE(2017,7,1)</f>
        <v>42917</v>
      </c>
      <c r="B10" s="89">
        <f>'MONTHLY STATS'!$C$9*2</f>
        <v>590094</v>
      </c>
      <c r="C10" s="89">
        <f>'MONTHLY STATS'!$C$15*2</f>
        <v>308970</v>
      </c>
      <c r="D10" s="89">
        <f>'MONTHLY STATS'!$C$21*2</f>
        <v>149754</v>
      </c>
      <c r="E10" s="89">
        <f>'MONTHLY STATS'!$C$27*2</f>
        <v>1005414</v>
      </c>
      <c r="F10" s="89">
        <f>'MONTHLY STATS'!$C$33*2</f>
        <v>664254</v>
      </c>
      <c r="G10" s="89">
        <f>'MONTHLY STATS'!$C$39*2</f>
        <v>311360</v>
      </c>
      <c r="H10" s="89">
        <f>'MONTHLY STATS'!$C$45*2</f>
        <v>353238</v>
      </c>
      <c r="I10" s="89">
        <f>'MONTHLY STATS'!$C$51*2</f>
        <v>801832</v>
      </c>
      <c r="J10" s="89">
        <f>'MONTHLY STATS'!$C$57*2</f>
        <v>804648</v>
      </c>
      <c r="K10" s="89">
        <f>'MONTHLY STATS'!$C$63*2</f>
        <v>975242</v>
      </c>
      <c r="L10" s="89">
        <f>'MONTHLY STATS'!$C$69*2</f>
        <v>125854</v>
      </c>
      <c r="M10" s="89">
        <f>'MONTHLY STATS'!$C$75*2</f>
        <v>1009360</v>
      </c>
      <c r="N10" s="89">
        <f>'MONTHLY STATS'!$C$81*2</f>
        <v>159812</v>
      </c>
      <c r="O10" s="90">
        <f>SUM(B10:N10)</f>
        <v>7259832</v>
      </c>
      <c r="P10" s="83"/>
    </row>
    <row r="11" spans="1:16" ht="15.75">
      <c r="A11" s="88">
        <f>DATE(2017,8,1)</f>
        <v>42948</v>
      </c>
      <c r="B11" s="89">
        <f>'MONTHLY STATS'!$C$10*2</f>
        <v>537376</v>
      </c>
      <c r="C11" s="89">
        <f>'MONTHLY STATS'!$C$16*2</f>
        <v>293770</v>
      </c>
      <c r="D11" s="89">
        <f>'MONTHLY STATS'!$C$22*2</f>
        <v>134350</v>
      </c>
      <c r="E11" s="89">
        <f>'MONTHLY STATS'!$C$28*2</f>
        <v>906982</v>
      </c>
      <c r="F11" s="89">
        <f>'MONTHLY STATS'!$C$34*2</f>
        <v>636920</v>
      </c>
      <c r="G11" s="89">
        <f>'MONTHLY STATS'!$C$40*2</f>
        <v>274594</v>
      </c>
      <c r="H11" s="89">
        <f>'MONTHLY STATS'!$C$46*2</f>
        <v>333204</v>
      </c>
      <c r="I11" s="89">
        <f>'MONTHLY STATS'!$C$52*2</f>
        <v>665102</v>
      </c>
      <c r="J11" s="89">
        <f>'MONTHLY STATS'!$C$58*2</f>
        <v>759878</v>
      </c>
      <c r="K11" s="89">
        <f>'MONTHLY STATS'!$C$64*2</f>
        <v>901030</v>
      </c>
      <c r="L11" s="89">
        <f>'MONTHLY STATS'!$C$70*2</f>
        <v>117056</v>
      </c>
      <c r="M11" s="89">
        <f>'MONTHLY STATS'!$C$76*2</f>
        <v>914660</v>
      </c>
      <c r="N11" s="89">
        <f>'MONTHLY STATS'!$C$82*2</f>
        <v>159666</v>
      </c>
      <c r="O11" s="90">
        <f>SUM(B11:N11)</f>
        <v>6634588</v>
      </c>
      <c r="P11" s="83"/>
    </row>
    <row r="12" spans="1:16" ht="15.75">
      <c r="A12" s="88">
        <f>DATE(2017,9,1)</f>
        <v>42979</v>
      </c>
      <c r="B12" s="89">
        <f>'MONTHLY STATS'!$C$11*2</f>
        <v>561522</v>
      </c>
      <c r="C12" s="89">
        <f>'MONTHLY STATS'!$C$17*2</f>
        <v>295558</v>
      </c>
      <c r="D12" s="89">
        <f>'MONTHLY STATS'!$C$23*2</f>
        <v>139808</v>
      </c>
      <c r="E12" s="89">
        <f>'MONTHLY STATS'!$C$29*2</f>
        <v>880756</v>
      </c>
      <c r="F12" s="89">
        <f>'MONTHLY STATS'!$C$35*2</f>
        <v>638232</v>
      </c>
      <c r="G12" s="89">
        <f>'MONTHLY STATS'!$C$41*2</f>
        <v>302994</v>
      </c>
      <c r="H12" s="89">
        <f>'MONTHLY STATS'!$C$47*2</f>
        <v>338388</v>
      </c>
      <c r="I12" s="89">
        <f>'MONTHLY STATS'!$C$53*2</f>
        <v>668860</v>
      </c>
      <c r="J12" s="89">
        <f>'MONTHLY STATS'!$C$59*2</f>
        <v>768944</v>
      </c>
      <c r="K12" s="89">
        <f>'MONTHLY STATS'!$C$65*2</f>
        <v>921772</v>
      </c>
      <c r="L12" s="89">
        <f>'MONTHLY STATS'!$C$71*2</f>
        <v>118836</v>
      </c>
      <c r="M12" s="89">
        <f>'MONTHLY STATS'!$C$77*2</f>
        <v>939654</v>
      </c>
      <c r="N12" s="89">
        <f>'MONTHLY STATS'!$C$83*2</f>
        <v>168706</v>
      </c>
      <c r="O12" s="90">
        <f>SUM(B12:N12)</f>
        <v>6744030</v>
      </c>
      <c r="P12" s="83"/>
    </row>
    <row r="13" spans="1:16" ht="15.7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0" ref="B23:O23">SUM(B10:B21)</f>
        <v>1688992</v>
      </c>
      <c r="C23" s="90">
        <f t="shared" si="0"/>
        <v>898298</v>
      </c>
      <c r="D23" s="90">
        <f t="shared" si="0"/>
        <v>423912</v>
      </c>
      <c r="E23" s="90">
        <f t="shared" si="0"/>
        <v>2793152</v>
      </c>
      <c r="F23" s="90">
        <f t="shared" si="0"/>
        <v>1939406</v>
      </c>
      <c r="G23" s="90">
        <f>SUM(G10:G21)</f>
        <v>888948</v>
      </c>
      <c r="H23" s="90">
        <f t="shared" si="0"/>
        <v>1024830</v>
      </c>
      <c r="I23" s="90">
        <f>SUM(I10:I21)</f>
        <v>2135794</v>
      </c>
      <c r="J23" s="90">
        <f t="shared" si="0"/>
        <v>2333470</v>
      </c>
      <c r="K23" s="90">
        <f>SUM(K10:K21)</f>
        <v>2798044</v>
      </c>
      <c r="L23" s="90">
        <f t="shared" si="0"/>
        <v>361746</v>
      </c>
      <c r="M23" s="90">
        <f t="shared" si="0"/>
        <v>2863674</v>
      </c>
      <c r="N23" s="90">
        <f t="shared" si="0"/>
        <v>488184</v>
      </c>
      <c r="O23" s="90">
        <f t="shared" si="0"/>
        <v>20638450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DATE(2017,7,1)</f>
        <v>42917</v>
      </c>
      <c r="B31" s="89">
        <f>'MONTHLY STATS'!$K$9*0.21</f>
        <v>2970224.3633999997</v>
      </c>
      <c r="C31" s="89">
        <f>'MONTHLY STATS'!$K$15*0.21</f>
        <v>1567383.342</v>
      </c>
      <c r="D31" s="89">
        <f>'MONTHLY STATS'!$K$21*0.21</f>
        <v>689184.5604000001</v>
      </c>
      <c r="E31" s="89">
        <f>'MONTHLY STATS'!$K$27*0.21</f>
        <v>4460600.505899999</v>
      </c>
      <c r="F31" s="89">
        <f>'MONTHLY STATS'!$K$33*0.21</f>
        <v>3566987.9028</v>
      </c>
      <c r="G31" s="89">
        <f>'MONTHLY STATS'!$K$39*0.21</f>
        <v>1196258.2758</v>
      </c>
      <c r="H31" s="89">
        <f>'MONTHLY STATS'!$K$45*0.21</f>
        <v>1299852.3132</v>
      </c>
      <c r="I31" s="89">
        <f>'MONTHLY STATS'!$K$51*0.21</f>
        <v>2631606.7323000003</v>
      </c>
      <c r="J31" s="89">
        <f>'MONTHLY STATS'!$K$57*0.21</f>
        <v>3431655.6056999997</v>
      </c>
      <c r="K31" s="89">
        <f>'MONTHLY STATS'!$K$63*0.21</f>
        <v>4158981.4727999996</v>
      </c>
      <c r="L31" s="89">
        <f>'MONTHLY STATS'!$K$69*0.21</f>
        <v>615218.2322999999</v>
      </c>
      <c r="M31" s="89">
        <f>'MONTHLY STATS'!$K$75*0.21</f>
        <v>4984400.1732</v>
      </c>
      <c r="N31" s="89">
        <f>'MONTHLY STATS'!$K$81*0.21</f>
        <v>696109.2914999999</v>
      </c>
      <c r="O31" s="90">
        <f>SUM(B31:N31)</f>
        <v>32268462.771299995</v>
      </c>
      <c r="P31" s="83"/>
    </row>
    <row r="32" spans="1:16" ht="15.75">
      <c r="A32" s="88">
        <f>DATE(2017,8,1)</f>
        <v>42948</v>
      </c>
      <c r="B32" s="89">
        <f>'MONTHLY STATS'!$K$10*0.21</f>
        <v>2730005.7833999996</v>
      </c>
      <c r="C32" s="89">
        <f>'MONTHLY STATS'!$K$16*0.21</f>
        <v>1446273.2151</v>
      </c>
      <c r="D32" s="89">
        <f>'MONTHLY STATS'!$K$22*0.21</f>
        <v>611950.0989</v>
      </c>
      <c r="E32" s="89">
        <f>'MONTHLY STATS'!$K$28*0.21</f>
        <v>4148072.1324</v>
      </c>
      <c r="F32" s="89">
        <f>'MONTHLY STATS'!$K$34*0.21</f>
        <v>3271380.7266</v>
      </c>
      <c r="G32" s="89">
        <f>'MONTHLY STATS'!$K$40*0.21</f>
        <v>1080196.9437</v>
      </c>
      <c r="H32" s="89">
        <f>'MONTHLY STATS'!$K$46*0.21</f>
        <v>1241678.1993</v>
      </c>
      <c r="I32" s="89">
        <f>'MONTHLY STATS'!$K$52*0.21</f>
        <v>2607558.1791000003</v>
      </c>
      <c r="J32" s="89">
        <f>'MONTHLY STATS'!$K$58*0.21</f>
        <v>3216207.9705</v>
      </c>
      <c r="K32" s="89">
        <f>'MONTHLY STATS'!$K$64*0.21</f>
        <v>3904257.0357000004</v>
      </c>
      <c r="L32" s="89">
        <f>'MONTHLY STATS'!$K$70*0.21</f>
        <v>561287.9495999999</v>
      </c>
      <c r="M32" s="89">
        <f>'MONTHLY STATS'!$K$76*0.21</f>
        <v>4495265.4348</v>
      </c>
      <c r="N32" s="89">
        <f>'MONTHLY STATS'!$K$82*0.21</f>
        <v>679291.1853</v>
      </c>
      <c r="O32" s="90">
        <f>SUM(B32:N32)</f>
        <v>29993424.8544</v>
      </c>
      <c r="P32" s="83"/>
    </row>
    <row r="33" spans="1:16" ht="15.75">
      <c r="A33" s="88">
        <f>DATE(2017,9,1)</f>
        <v>42979</v>
      </c>
      <c r="B33" s="89">
        <f>'MONTHLY STATS'!$K$11*0.21</f>
        <v>2851205.0889</v>
      </c>
      <c r="C33" s="89">
        <f>'MONTHLY STATS'!$K$17*0.21</f>
        <v>1403454.1689</v>
      </c>
      <c r="D33" s="89">
        <f>'MONTHLY STATS'!$K$23*0.21</f>
        <v>681119.3676</v>
      </c>
      <c r="E33" s="89">
        <f>'MONTHLY STATS'!$K$29*0.21</f>
        <v>4198608.9096</v>
      </c>
      <c r="F33" s="89">
        <f>'MONTHLY STATS'!$K$35*0.21</f>
        <v>3271438.7937</v>
      </c>
      <c r="G33" s="89">
        <f>'MONTHLY STATS'!$K$41*0.21</f>
        <v>1236655.9485</v>
      </c>
      <c r="H33" s="89">
        <f>'MONTHLY STATS'!$K$47*0.21</f>
        <v>1239769.8054</v>
      </c>
      <c r="I33" s="89">
        <f>'MONTHLY STATS'!$K$53*0.21</f>
        <v>2483460.4368</v>
      </c>
      <c r="J33" s="89">
        <f>'MONTHLY STATS'!$K$59*0.21</f>
        <v>3367816.3449</v>
      </c>
      <c r="K33" s="89">
        <f>'MONTHLY STATS'!$K$65*0.21</f>
        <v>3930696.8672999996</v>
      </c>
      <c r="L33" s="89">
        <f>'MONTHLY STATS'!$K$71*0.21</f>
        <v>580527.9207</v>
      </c>
      <c r="M33" s="89">
        <f>'MONTHLY STATS'!$K$77*0.21</f>
        <v>4620469.2891</v>
      </c>
      <c r="N33" s="89">
        <f>'MONTHLY STATS'!$K$83*0.21</f>
        <v>728362.53</v>
      </c>
      <c r="O33" s="90">
        <f>SUM(B33:N33)</f>
        <v>30593585.4714</v>
      </c>
      <c r="P33" s="83"/>
    </row>
    <row r="34" spans="1:16" ht="15.7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1" ref="B44:O44">SUM(B31:B42)</f>
        <v>8551435.2357</v>
      </c>
      <c r="C44" s="90">
        <f t="shared" si="1"/>
        <v>4417110.726</v>
      </c>
      <c r="D44" s="90">
        <f t="shared" si="1"/>
        <v>1982254.0269</v>
      </c>
      <c r="E44" s="90">
        <f t="shared" si="1"/>
        <v>12807281.547899999</v>
      </c>
      <c r="F44" s="90">
        <f t="shared" si="1"/>
        <v>10109807.4231</v>
      </c>
      <c r="G44" s="90">
        <f t="shared" si="1"/>
        <v>3513111.1679999996</v>
      </c>
      <c r="H44" s="90">
        <f t="shared" si="1"/>
        <v>3781300.3179</v>
      </c>
      <c r="I44" s="90">
        <f>SUM(I31:I42)</f>
        <v>7722625.348200001</v>
      </c>
      <c r="J44" s="90">
        <f t="shared" si="1"/>
        <v>10015679.921099998</v>
      </c>
      <c r="K44" s="90">
        <f>SUM(K31:K42)</f>
        <v>11993935.3758</v>
      </c>
      <c r="L44" s="90">
        <f t="shared" si="1"/>
        <v>1757034.1025999999</v>
      </c>
      <c r="M44" s="90">
        <f t="shared" si="1"/>
        <v>14100134.897099998</v>
      </c>
      <c r="N44" s="90">
        <f t="shared" si="1"/>
        <v>2103763.0067999996</v>
      </c>
      <c r="O44" s="90">
        <f t="shared" si="1"/>
        <v>92855473.09709999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DATE(2017,7,1)</f>
        <v>42917</v>
      </c>
      <c r="C9" s="204">
        <v>9106294</v>
      </c>
      <c r="D9" s="204">
        <v>1744231.98</v>
      </c>
      <c r="E9" s="204">
        <v>1196577.74</v>
      </c>
      <c r="F9" s="132">
        <f>(+D9-E9)/E9</f>
        <v>0.4576837941177144</v>
      </c>
      <c r="G9" s="215">
        <f>D9/C9</f>
        <v>0.1915413646868858</v>
      </c>
      <c r="H9" s="123"/>
    </row>
    <row r="10" spans="1:8" ht="15.75">
      <c r="A10" s="130"/>
      <c r="B10" s="131">
        <f>DATE(2017,8,1)</f>
        <v>42948</v>
      </c>
      <c r="C10" s="204">
        <v>7945722</v>
      </c>
      <c r="D10" s="204">
        <v>1558308</v>
      </c>
      <c r="E10" s="204">
        <v>1298265.83</v>
      </c>
      <c r="F10" s="132">
        <f>(+D10-E10)/E10</f>
        <v>0.20029963355039537</v>
      </c>
      <c r="G10" s="215">
        <f>D10/C10</f>
        <v>0.19611911919395117</v>
      </c>
      <c r="H10" s="123"/>
    </row>
    <row r="11" spans="1:8" ht="15.75">
      <c r="A11" s="130"/>
      <c r="B11" s="131">
        <f>DATE(2017,9,1)</f>
        <v>42979</v>
      </c>
      <c r="C11" s="204">
        <v>8101748</v>
      </c>
      <c r="D11" s="204">
        <v>1764006.5</v>
      </c>
      <c r="E11" s="204">
        <v>1352172.02</v>
      </c>
      <c r="F11" s="132">
        <f>(+D11-E11)/E11</f>
        <v>0.3045725498742386</v>
      </c>
      <c r="G11" s="215">
        <f>D11/C11</f>
        <v>0.21773159323148536</v>
      </c>
      <c r="H11" s="123"/>
    </row>
    <row r="12" spans="1:8" ht="15.75" thickBot="1">
      <c r="A12" s="133"/>
      <c r="B12" s="134"/>
      <c r="C12" s="204"/>
      <c r="D12" s="204"/>
      <c r="E12" s="204"/>
      <c r="F12" s="132"/>
      <c r="G12" s="215"/>
      <c r="H12" s="123"/>
    </row>
    <row r="13" spans="1:8" ht="17.25" thickBot="1" thickTop="1">
      <c r="A13" s="135" t="s">
        <v>14</v>
      </c>
      <c r="B13" s="136"/>
      <c r="C13" s="201">
        <f>SUM(C9:C12)</f>
        <v>25153764</v>
      </c>
      <c r="D13" s="201">
        <f>SUM(D9:D12)</f>
        <v>5066546.48</v>
      </c>
      <c r="E13" s="201">
        <f>SUM(E9:E12)</f>
        <v>3847015.5900000003</v>
      </c>
      <c r="F13" s="137">
        <f>(+D13-E13)/E13</f>
        <v>0.31700700490272776</v>
      </c>
      <c r="G13" s="212">
        <f>D13/C13</f>
        <v>0.2014229949839714</v>
      </c>
      <c r="H13" s="123"/>
    </row>
    <row r="14" spans="1:8" ht="15.75" customHeight="1" thickTop="1">
      <c r="A14" s="138"/>
      <c r="B14" s="139"/>
      <c r="C14" s="205"/>
      <c r="D14" s="205"/>
      <c r="E14" s="205"/>
      <c r="F14" s="140"/>
      <c r="G14" s="216"/>
      <c r="H14" s="123"/>
    </row>
    <row r="15" spans="1:8" ht="15.75">
      <c r="A15" s="19" t="s">
        <v>15</v>
      </c>
      <c r="B15" s="131">
        <f>DATE(2017,7,1)</f>
        <v>42917</v>
      </c>
      <c r="C15" s="204">
        <v>2522382</v>
      </c>
      <c r="D15" s="204">
        <v>642088</v>
      </c>
      <c r="E15" s="204">
        <v>472086</v>
      </c>
      <c r="F15" s="132">
        <f>(+D15-E15)/E15</f>
        <v>0.36010811589413794</v>
      </c>
      <c r="G15" s="215">
        <f>D15/C15</f>
        <v>0.254556209170538</v>
      </c>
      <c r="H15" s="123"/>
    </row>
    <row r="16" spans="1:8" ht="15.75">
      <c r="A16" s="19"/>
      <c r="B16" s="131">
        <f>DATE(2017,8,1)</f>
        <v>42948</v>
      </c>
      <c r="C16" s="204">
        <v>2406702</v>
      </c>
      <c r="D16" s="204">
        <v>490413</v>
      </c>
      <c r="E16" s="204">
        <v>589363</v>
      </c>
      <c r="F16" s="132">
        <f>(+D16-E16)/E16</f>
        <v>-0.16789313207649614</v>
      </c>
      <c r="G16" s="215">
        <f>D16/C16</f>
        <v>0.2037697230483874</v>
      </c>
      <c r="H16" s="123"/>
    </row>
    <row r="17" spans="1:8" ht="15.75">
      <c r="A17" s="19"/>
      <c r="B17" s="131">
        <f>DATE(2017,9,1)</f>
        <v>42979</v>
      </c>
      <c r="C17" s="204">
        <v>2522640</v>
      </c>
      <c r="D17" s="204">
        <v>534707</v>
      </c>
      <c r="E17" s="204">
        <v>511288.5</v>
      </c>
      <c r="F17" s="132">
        <f>(+D17-E17)/E17</f>
        <v>0.045802907751690096</v>
      </c>
      <c r="G17" s="215">
        <f>D17/C17</f>
        <v>0.21196326071100116</v>
      </c>
      <c r="H17" s="123"/>
    </row>
    <row r="18" spans="1:8" ht="15.75" thickBot="1">
      <c r="A18" s="133"/>
      <c r="B18" s="131"/>
      <c r="C18" s="204"/>
      <c r="D18" s="204"/>
      <c r="E18" s="204"/>
      <c r="F18" s="132"/>
      <c r="G18" s="215"/>
      <c r="H18" s="123"/>
    </row>
    <row r="19" spans="1:8" ht="17.25" thickBot="1" thickTop="1">
      <c r="A19" s="135" t="s">
        <v>14</v>
      </c>
      <c r="B19" s="136"/>
      <c r="C19" s="201">
        <f>SUM(C15:C18)</f>
        <v>7451724</v>
      </c>
      <c r="D19" s="201">
        <f>SUM(D15:D18)</f>
        <v>1667208</v>
      </c>
      <c r="E19" s="201">
        <f>SUM(E15:E18)</f>
        <v>1572737.5</v>
      </c>
      <c r="F19" s="137">
        <f>(+D19-E19)/E19</f>
        <v>0.060067557364150086</v>
      </c>
      <c r="G19" s="212">
        <f>D19/C19</f>
        <v>0.2237345344513565</v>
      </c>
      <c r="H19" s="123"/>
    </row>
    <row r="20" spans="1:8" ht="15.75" customHeight="1" thickTop="1">
      <c r="A20" s="255"/>
      <c r="B20" s="139"/>
      <c r="C20" s="205"/>
      <c r="D20" s="205"/>
      <c r="E20" s="205"/>
      <c r="F20" s="140"/>
      <c r="G20" s="219"/>
      <c r="H20" s="123"/>
    </row>
    <row r="21" spans="1:8" ht="15.75">
      <c r="A21" s="19" t="s">
        <v>56</v>
      </c>
      <c r="B21" s="131">
        <f>DATE(2017,7,1)</f>
        <v>42917</v>
      </c>
      <c r="C21" s="204">
        <v>1479706</v>
      </c>
      <c r="D21" s="204">
        <v>330815.5</v>
      </c>
      <c r="E21" s="204">
        <v>360412.5</v>
      </c>
      <c r="F21" s="132">
        <f>(+D21-E21)/E21</f>
        <v>-0.08211979329240801</v>
      </c>
      <c r="G21" s="215">
        <f>D21/C21</f>
        <v>0.223568398046639</v>
      </c>
      <c r="H21" s="123"/>
    </row>
    <row r="22" spans="1:8" ht="15.75">
      <c r="A22" s="19"/>
      <c r="B22" s="131">
        <f>DATE(2017,8,1)</f>
        <v>42948</v>
      </c>
      <c r="C22" s="204">
        <v>1531572</v>
      </c>
      <c r="D22" s="204">
        <v>326287.5</v>
      </c>
      <c r="E22" s="204">
        <v>239413.5</v>
      </c>
      <c r="F22" s="132">
        <f>(+D22-E22)/E22</f>
        <v>0.36286174338539806</v>
      </c>
      <c r="G22" s="215">
        <f>D22/C22</f>
        <v>0.21304091482476828</v>
      </c>
      <c r="H22" s="123"/>
    </row>
    <row r="23" spans="1:8" ht="15.75">
      <c r="A23" s="19"/>
      <c r="B23" s="131">
        <f>DATE(2017,9,1)</f>
        <v>42979</v>
      </c>
      <c r="C23" s="204">
        <v>1408112</v>
      </c>
      <c r="D23" s="204">
        <v>453438</v>
      </c>
      <c r="E23" s="204">
        <v>301041.5</v>
      </c>
      <c r="F23" s="132">
        <f>(+D23-E23)/E23</f>
        <v>0.5062308685015189</v>
      </c>
      <c r="G23" s="215">
        <f>D23/C23</f>
        <v>0.3220184189893986</v>
      </c>
      <c r="H23" s="123"/>
    </row>
    <row r="24" spans="1:8" ht="15.75" thickBot="1">
      <c r="A24" s="133"/>
      <c r="B24" s="131"/>
      <c r="C24" s="204"/>
      <c r="D24" s="204"/>
      <c r="E24" s="204"/>
      <c r="F24" s="132"/>
      <c r="G24" s="215"/>
      <c r="H24" s="123"/>
    </row>
    <row r="25" spans="1:8" ht="17.25" thickBot="1" thickTop="1">
      <c r="A25" s="141" t="s">
        <v>14</v>
      </c>
      <c r="B25" s="142"/>
      <c r="C25" s="206">
        <f>SUM(C21:C24)</f>
        <v>4419390</v>
      </c>
      <c r="D25" s="206">
        <f>SUM(D21:D24)</f>
        <v>1110541</v>
      </c>
      <c r="E25" s="206">
        <f>SUM(E21:E24)</f>
        <v>900867.5</v>
      </c>
      <c r="F25" s="143">
        <f>(+D25-E25)/E25</f>
        <v>0.2327462140658865</v>
      </c>
      <c r="G25" s="217">
        <f>D25/C25</f>
        <v>0.25128829996900026</v>
      </c>
      <c r="H25" s="123"/>
    </row>
    <row r="26" spans="1:8" ht="15.75" thickTop="1">
      <c r="A26" s="133"/>
      <c r="B26" s="134"/>
      <c r="C26" s="204"/>
      <c r="D26" s="204"/>
      <c r="E26" s="204"/>
      <c r="F26" s="132"/>
      <c r="G26" s="218"/>
      <c r="H26" s="123"/>
    </row>
    <row r="27" spans="1:8" ht="15.75">
      <c r="A27" s="177" t="s">
        <v>65</v>
      </c>
      <c r="B27" s="131">
        <f>DATE(2017,7,1)</f>
        <v>42917</v>
      </c>
      <c r="C27" s="204">
        <v>15842408</v>
      </c>
      <c r="D27" s="204">
        <v>3444883.46</v>
      </c>
      <c r="E27" s="204">
        <v>3130542.12</v>
      </c>
      <c r="F27" s="132">
        <f>(+D27-E27)/E27</f>
        <v>0.10041115179117917</v>
      </c>
      <c r="G27" s="215">
        <f>D27/C27</f>
        <v>0.21744696008334086</v>
      </c>
      <c r="H27" s="123"/>
    </row>
    <row r="28" spans="1:8" ht="15.75">
      <c r="A28" s="177"/>
      <c r="B28" s="131">
        <f>DATE(2017,8,1)</f>
        <v>42948</v>
      </c>
      <c r="C28" s="204">
        <v>13052978</v>
      </c>
      <c r="D28" s="204">
        <v>2738890.99</v>
      </c>
      <c r="E28" s="204">
        <v>3206208.5</v>
      </c>
      <c r="F28" s="132">
        <f>(+D28-E28)/E28</f>
        <v>-0.14575393646420678</v>
      </c>
      <c r="G28" s="215">
        <f>D28/C28</f>
        <v>0.20982882143829557</v>
      </c>
      <c r="H28" s="123"/>
    </row>
    <row r="29" spans="1:8" ht="15.75">
      <c r="A29" s="177"/>
      <c r="B29" s="131">
        <f>DATE(2017,9,1)</f>
        <v>42979</v>
      </c>
      <c r="C29" s="204">
        <v>13344756</v>
      </c>
      <c r="D29" s="204">
        <v>3077099.69</v>
      </c>
      <c r="E29" s="204">
        <v>2415045.66</v>
      </c>
      <c r="F29" s="132">
        <f>(+D29-E29)/E29</f>
        <v>0.27413727241910607</v>
      </c>
      <c r="G29" s="215">
        <f>D29/C29</f>
        <v>0.2305849346364969</v>
      </c>
      <c r="H29" s="123"/>
    </row>
    <row r="30" spans="1:8" ht="15.75" customHeight="1" thickBot="1">
      <c r="A30" s="133"/>
      <c r="B30" s="134"/>
      <c r="C30" s="204"/>
      <c r="D30" s="204"/>
      <c r="E30" s="204"/>
      <c r="F30" s="132"/>
      <c r="G30" s="215"/>
      <c r="H30" s="123"/>
    </row>
    <row r="31" spans="1:8" ht="17.25" customHeight="1" thickBot="1" thickTop="1">
      <c r="A31" s="141" t="s">
        <v>14</v>
      </c>
      <c r="B31" s="142"/>
      <c r="C31" s="206">
        <f>SUM(C27:C30)</f>
        <v>42240142</v>
      </c>
      <c r="D31" s="206">
        <f>SUM(D27:D30)</f>
        <v>9260874.14</v>
      </c>
      <c r="E31" s="206">
        <f>SUM(E27:E30)</f>
        <v>8751796.280000001</v>
      </c>
      <c r="F31" s="143">
        <f>(+D31-E31)/E31</f>
        <v>0.05816838551913817</v>
      </c>
      <c r="G31" s="217">
        <f>D31/C31</f>
        <v>0.219243442410776</v>
      </c>
      <c r="H31" s="123"/>
    </row>
    <row r="32" spans="1:8" ht="15.75" customHeight="1" thickTop="1">
      <c r="A32" s="133"/>
      <c r="B32" s="134"/>
      <c r="C32" s="204"/>
      <c r="D32" s="204"/>
      <c r="E32" s="204"/>
      <c r="F32" s="132"/>
      <c r="G32" s="218"/>
      <c r="H32" s="123"/>
    </row>
    <row r="33" spans="1:8" ht="15" customHeight="1">
      <c r="A33" s="130" t="s">
        <v>39</v>
      </c>
      <c r="B33" s="131">
        <f>DATE(2017,7,1)</f>
        <v>42917</v>
      </c>
      <c r="C33" s="204">
        <v>17883666</v>
      </c>
      <c r="D33" s="204">
        <v>4596352</v>
      </c>
      <c r="E33" s="204">
        <v>2718467</v>
      </c>
      <c r="F33" s="132">
        <f>(+D33-E33)/E33</f>
        <v>0.6907882273354798</v>
      </c>
      <c r="G33" s="215">
        <f>D33/C33</f>
        <v>0.25701397017815025</v>
      </c>
      <c r="H33" s="123"/>
    </row>
    <row r="34" spans="1:8" ht="15" customHeight="1">
      <c r="A34" s="130"/>
      <c r="B34" s="131">
        <f>DATE(2017,8,1)</f>
        <v>42948</v>
      </c>
      <c r="C34" s="204">
        <v>16620305</v>
      </c>
      <c r="D34" s="204">
        <v>3842200.5</v>
      </c>
      <c r="E34" s="204">
        <v>3097592</v>
      </c>
      <c r="F34" s="132">
        <f>(+D34-E34)/E34</f>
        <v>0.2403830136441468</v>
      </c>
      <c r="G34" s="215">
        <f>D34/C34</f>
        <v>0.23117508974714965</v>
      </c>
      <c r="H34" s="123"/>
    </row>
    <row r="35" spans="1:8" ht="15" customHeight="1">
      <c r="A35" s="130"/>
      <c r="B35" s="131">
        <f>DATE(2017,9,1)</f>
        <v>42979</v>
      </c>
      <c r="C35" s="204">
        <v>17068391</v>
      </c>
      <c r="D35" s="204">
        <v>3686124</v>
      </c>
      <c r="E35" s="204">
        <v>3708385.5</v>
      </c>
      <c r="F35" s="132">
        <f>(+D35-E35)/E35</f>
        <v>-0.006003016676664279</v>
      </c>
      <c r="G35" s="215">
        <f>D35/C35</f>
        <v>0.2159620083697403</v>
      </c>
      <c r="H35" s="123"/>
    </row>
    <row r="36" spans="1:8" ht="15.75" thickBot="1">
      <c r="A36" s="133"/>
      <c r="B36" s="131"/>
      <c r="C36" s="204"/>
      <c r="D36" s="204"/>
      <c r="E36" s="204"/>
      <c r="F36" s="132"/>
      <c r="G36" s="215"/>
      <c r="H36" s="123"/>
    </row>
    <row r="37" spans="1:8" ht="17.25" customHeight="1" thickBot="1" thickTop="1">
      <c r="A37" s="141" t="s">
        <v>14</v>
      </c>
      <c r="B37" s="142"/>
      <c r="C37" s="207">
        <f>SUM(C33:C36)</f>
        <v>51572362</v>
      </c>
      <c r="D37" s="261">
        <f>SUM(D33:D36)</f>
        <v>12124676.5</v>
      </c>
      <c r="E37" s="206">
        <f>SUM(E33:E36)</f>
        <v>9524444.5</v>
      </c>
      <c r="F37" s="268">
        <f>(+D37-E37)/E37</f>
        <v>0.27300615799693095</v>
      </c>
      <c r="G37" s="267">
        <f>D37/C37</f>
        <v>0.23510027522105736</v>
      </c>
      <c r="H37" s="123"/>
    </row>
    <row r="38" spans="1:8" ht="15.75" customHeight="1" thickTop="1">
      <c r="A38" s="130"/>
      <c r="B38" s="134"/>
      <c r="C38" s="204"/>
      <c r="D38" s="204"/>
      <c r="E38" s="204"/>
      <c r="F38" s="132"/>
      <c r="G38" s="218"/>
      <c r="H38" s="123"/>
    </row>
    <row r="39" spans="1:8" ht="15.75">
      <c r="A39" s="130" t="s">
        <v>66</v>
      </c>
      <c r="B39" s="131">
        <f>DATE(2017,7,1)</f>
        <v>42917</v>
      </c>
      <c r="C39" s="204">
        <v>2593382</v>
      </c>
      <c r="D39" s="204">
        <v>704742.5</v>
      </c>
      <c r="E39" s="204">
        <v>754116</v>
      </c>
      <c r="F39" s="132">
        <f>(+D39-E39)/E39</f>
        <v>-0.06547202287181282</v>
      </c>
      <c r="G39" s="215">
        <f>D39/C39</f>
        <v>0.2717465070706899</v>
      </c>
      <c r="H39" s="123"/>
    </row>
    <row r="40" spans="1:8" ht="15.75">
      <c r="A40" s="130"/>
      <c r="B40" s="131">
        <f>DATE(2017,8,1)</f>
        <v>42948</v>
      </c>
      <c r="C40" s="204">
        <v>2465059</v>
      </c>
      <c r="D40" s="204">
        <v>551376.5</v>
      </c>
      <c r="E40" s="204">
        <v>722738.5</v>
      </c>
      <c r="F40" s="132">
        <f>(+D40-E40)/E40</f>
        <v>-0.23710097082139667</v>
      </c>
      <c r="G40" s="215">
        <f>D40/C40</f>
        <v>0.22367679637688184</v>
      </c>
      <c r="H40" s="123"/>
    </row>
    <row r="41" spans="1:8" ht="15.75">
      <c r="A41" s="130"/>
      <c r="B41" s="131">
        <f>DATE(2017,9,1)</f>
        <v>42979</v>
      </c>
      <c r="C41" s="204">
        <v>2623530</v>
      </c>
      <c r="D41" s="204">
        <v>737548.5</v>
      </c>
      <c r="E41" s="204">
        <v>677597</v>
      </c>
      <c r="F41" s="132">
        <f>(+D41-E41)/E41</f>
        <v>0.08847663139004452</v>
      </c>
      <c r="G41" s="215">
        <f>D41/C41</f>
        <v>0.28112828898468856</v>
      </c>
      <c r="H41" s="123"/>
    </row>
    <row r="42" spans="1:8" ht="15.75" customHeight="1" thickBot="1">
      <c r="A42" s="130"/>
      <c r="B42" s="131"/>
      <c r="C42" s="204"/>
      <c r="D42" s="204"/>
      <c r="E42" s="204"/>
      <c r="F42" s="132"/>
      <c r="G42" s="215"/>
      <c r="H42" s="123"/>
    </row>
    <row r="43" spans="1:8" ht="17.25" thickBot="1" thickTop="1">
      <c r="A43" s="141" t="s">
        <v>14</v>
      </c>
      <c r="B43" s="142"/>
      <c r="C43" s="207">
        <f>SUM(C39:C42)</f>
        <v>7681971</v>
      </c>
      <c r="D43" s="261">
        <f>SUM(D39:D42)</f>
        <v>1993667.5</v>
      </c>
      <c r="E43" s="207">
        <f>SUM(E39:E42)</f>
        <v>2154451.5</v>
      </c>
      <c r="F43" s="268">
        <f>(+D43-E43)/E43</f>
        <v>-0.07462873961191514</v>
      </c>
      <c r="G43" s="267">
        <f>D43/C43</f>
        <v>0.2595255176047918</v>
      </c>
      <c r="H43" s="123"/>
    </row>
    <row r="44" spans="1:8" ht="15.75" customHeight="1" thickTop="1">
      <c r="A44" s="130"/>
      <c r="B44" s="134"/>
      <c r="C44" s="204"/>
      <c r="D44" s="204"/>
      <c r="E44" s="204"/>
      <c r="F44" s="132"/>
      <c r="G44" s="218"/>
      <c r="H44" s="123"/>
    </row>
    <row r="45" spans="1:8" ht="15.75">
      <c r="A45" s="130" t="s">
        <v>17</v>
      </c>
      <c r="B45" s="131">
        <f>DATE(2017,7,1)</f>
        <v>42917</v>
      </c>
      <c r="C45" s="204">
        <v>1774615.5</v>
      </c>
      <c r="D45" s="204">
        <v>367602</v>
      </c>
      <c r="E45" s="204">
        <v>441103</v>
      </c>
      <c r="F45" s="132">
        <f>(+D45-E45)/E45</f>
        <v>-0.1666300161186843</v>
      </c>
      <c r="G45" s="215">
        <f>D45/C45</f>
        <v>0.20714458991257542</v>
      </c>
      <c r="H45" s="123"/>
    </row>
    <row r="46" spans="1:8" ht="15.75">
      <c r="A46" s="130"/>
      <c r="B46" s="131">
        <f>DATE(2017,8,1)</f>
        <v>42948</v>
      </c>
      <c r="C46" s="204">
        <v>1671518</v>
      </c>
      <c r="D46" s="204">
        <v>327445</v>
      </c>
      <c r="E46" s="204">
        <v>347007.5</v>
      </c>
      <c r="F46" s="132">
        <f>(+D46-E46)/E46</f>
        <v>-0.056374862214793625</v>
      </c>
      <c r="G46" s="215">
        <f>D46/C46</f>
        <v>0.19589678364217436</v>
      </c>
      <c r="H46" s="123"/>
    </row>
    <row r="47" spans="1:8" ht="15.75">
      <c r="A47" s="130"/>
      <c r="B47" s="131">
        <f>DATE(2017,9,1)</f>
        <v>42979</v>
      </c>
      <c r="C47" s="204">
        <v>1667123.5</v>
      </c>
      <c r="D47" s="204">
        <v>332251.5</v>
      </c>
      <c r="E47" s="204">
        <v>308553.5</v>
      </c>
      <c r="F47" s="132">
        <f>(+D47-E47)/E47</f>
        <v>0.0768035365017736</v>
      </c>
      <c r="G47" s="215">
        <f>D47/C47</f>
        <v>0.1992962728916004</v>
      </c>
      <c r="H47" s="123"/>
    </row>
    <row r="48" spans="1:8" ht="15.75" customHeight="1" thickBot="1">
      <c r="A48" s="130"/>
      <c r="B48" s="131"/>
      <c r="C48" s="204"/>
      <c r="D48" s="204"/>
      <c r="E48" s="204"/>
      <c r="F48" s="132"/>
      <c r="G48" s="215"/>
      <c r="H48" s="123"/>
    </row>
    <row r="49" spans="1:8" ht="17.25" thickBot="1" thickTop="1">
      <c r="A49" s="141" t="s">
        <v>14</v>
      </c>
      <c r="B49" s="142"/>
      <c r="C49" s="207">
        <f>SUM(C45:C48)</f>
        <v>5113257</v>
      </c>
      <c r="D49" s="261">
        <f>SUM(D45:D48)</f>
        <v>1027298.5</v>
      </c>
      <c r="E49" s="207">
        <f>SUM(E45:E48)</f>
        <v>1096664</v>
      </c>
      <c r="F49" s="269">
        <f>(+D49-E49)/E49</f>
        <v>-0.06325136960819358</v>
      </c>
      <c r="G49" s="267">
        <f>D49/C49</f>
        <v>0.20090883364556095</v>
      </c>
      <c r="H49" s="123"/>
    </row>
    <row r="50" spans="1:8" ht="15.75" customHeight="1" thickTop="1">
      <c r="A50" s="130"/>
      <c r="B50" s="139"/>
      <c r="C50" s="205"/>
      <c r="D50" s="205"/>
      <c r="E50" s="205"/>
      <c r="F50" s="140"/>
      <c r="G50" s="216"/>
      <c r="H50" s="123"/>
    </row>
    <row r="51" spans="1:8" ht="15.75">
      <c r="A51" s="130" t="s">
        <v>55</v>
      </c>
      <c r="B51" s="131">
        <f>DATE(2017,7,1)</f>
        <v>42917</v>
      </c>
      <c r="C51" s="204">
        <v>11293642</v>
      </c>
      <c r="D51" s="204">
        <v>2413372.38</v>
      </c>
      <c r="E51" s="204">
        <v>2520439.82</v>
      </c>
      <c r="F51" s="132">
        <f>(+D51-E51)/E51</f>
        <v>-0.04247966531492109</v>
      </c>
      <c r="G51" s="215">
        <f>D51/C51</f>
        <v>0.21369301240467867</v>
      </c>
      <c r="H51" s="123"/>
    </row>
    <row r="52" spans="1:8" ht="15.75">
      <c r="A52" s="130"/>
      <c r="B52" s="131">
        <f>DATE(2017,8,1)</f>
        <v>42948</v>
      </c>
      <c r="C52" s="204">
        <v>10516670</v>
      </c>
      <c r="D52" s="204">
        <v>2335423.3</v>
      </c>
      <c r="E52" s="204">
        <v>3004073.54</v>
      </c>
      <c r="F52" s="132">
        <f>(+D52-E52)/E52</f>
        <v>-0.22258118221699733</v>
      </c>
      <c r="G52" s="215">
        <f>D52/C52</f>
        <v>0.22206870615888868</v>
      </c>
      <c r="H52" s="123"/>
    </row>
    <row r="53" spans="1:8" ht="15.75">
      <c r="A53" s="130"/>
      <c r="B53" s="131">
        <f>DATE(2017,9,1)</f>
        <v>42979</v>
      </c>
      <c r="C53" s="204">
        <v>10643966</v>
      </c>
      <c r="D53" s="204">
        <v>2183188.72</v>
      </c>
      <c r="E53" s="204">
        <v>2556146.89</v>
      </c>
      <c r="F53" s="132">
        <f>(+D53-E53)/E53</f>
        <v>-0.14590639194447855</v>
      </c>
      <c r="G53" s="215">
        <f>D53/C53</f>
        <v>0.20511045600859681</v>
      </c>
      <c r="H53" s="123"/>
    </row>
    <row r="54" spans="1:8" ht="15.75" customHeight="1" thickBot="1">
      <c r="A54" s="130"/>
      <c r="B54" s="131"/>
      <c r="C54" s="204"/>
      <c r="D54" s="204"/>
      <c r="E54" s="204"/>
      <c r="F54" s="132"/>
      <c r="G54" s="215"/>
      <c r="H54" s="123"/>
    </row>
    <row r="55" spans="1:8" ht="17.25" thickBot="1" thickTop="1">
      <c r="A55" s="141" t="s">
        <v>14</v>
      </c>
      <c r="B55" s="142"/>
      <c r="C55" s="206">
        <f>SUM(C51:C54)</f>
        <v>32454278</v>
      </c>
      <c r="D55" s="206">
        <f>SUM(D51:D54)</f>
        <v>6931984.4</v>
      </c>
      <c r="E55" s="206">
        <f>SUM(E51:E54)</f>
        <v>8080660.25</v>
      </c>
      <c r="F55" s="143">
        <f>(+D55-E55)/E55</f>
        <v>-0.14215123696111337</v>
      </c>
      <c r="G55" s="217">
        <f>D55/C55</f>
        <v>0.21359231593443553</v>
      </c>
      <c r="H55" s="123"/>
    </row>
    <row r="56" spans="1:8" ht="15.75" customHeight="1" thickTop="1">
      <c r="A56" s="138"/>
      <c r="B56" s="139"/>
      <c r="C56" s="205"/>
      <c r="D56" s="205"/>
      <c r="E56" s="205"/>
      <c r="F56" s="140"/>
      <c r="G56" s="216"/>
      <c r="H56" s="123"/>
    </row>
    <row r="57" spans="1:8" ht="15.75">
      <c r="A57" s="130" t="s">
        <v>18</v>
      </c>
      <c r="B57" s="131">
        <f>DATE(2017,7,1)</f>
        <v>42917</v>
      </c>
      <c r="C57" s="204">
        <v>11171474.5</v>
      </c>
      <c r="D57" s="204">
        <v>2350317.5</v>
      </c>
      <c r="E57" s="204">
        <v>2118226.5</v>
      </c>
      <c r="F57" s="132">
        <f>(+D57-E57)/E57</f>
        <v>0.1095685470840819</v>
      </c>
      <c r="G57" s="215">
        <f>D57/C57</f>
        <v>0.2103856120335771</v>
      </c>
      <c r="H57" s="123"/>
    </row>
    <row r="58" spans="1:8" ht="15.75">
      <c r="A58" s="130"/>
      <c r="B58" s="131">
        <f>DATE(2017,8,1)</f>
        <v>42948</v>
      </c>
      <c r="C58" s="204">
        <v>11368179</v>
      </c>
      <c r="D58" s="204">
        <v>1942234.5</v>
      </c>
      <c r="E58" s="204">
        <v>2333266.5</v>
      </c>
      <c r="F58" s="132">
        <f>(+D58-E58)/E58</f>
        <v>-0.167589943111942</v>
      </c>
      <c r="G58" s="215">
        <f>D58/C58</f>
        <v>0.17084833903477417</v>
      </c>
      <c r="H58" s="123"/>
    </row>
    <row r="59" spans="1:8" ht="15.75">
      <c r="A59" s="130"/>
      <c r="B59" s="131">
        <f>DATE(2017,9,1)</f>
        <v>42979</v>
      </c>
      <c r="C59" s="204">
        <v>10900273.26</v>
      </c>
      <c r="D59" s="204">
        <v>2645190.26</v>
      </c>
      <c r="E59" s="204">
        <v>2224408.5</v>
      </c>
      <c r="F59" s="132">
        <f>(+D59-E59)/E59</f>
        <v>0.18916568606890316</v>
      </c>
      <c r="G59" s="215">
        <f>D59/C59</f>
        <v>0.2426719217862984</v>
      </c>
      <c r="H59" s="123"/>
    </row>
    <row r="60" spans="1:8" ht="15.75" customHeight="1" thickBot="1">
      <c r="A60" s="130"/>
      <c r="B60" s="131"/>
      <c r="C60" s="204"/>
      <c r="D60" s="204"/>
      <c r="E60" s="204"/>
      <c r="F60" s="132"/>
      <c r="G60" s="215"/>
      <c r="H60" s="123"/>
    </row>
    <row r="61" spans="1:8" ht="17.25" thickBot="1" thickTop="1">
      <c r="A61" s="141" t="s">
        <v>14</v>
      </c>
      <c r="B61" s="142"/>
      <c r="C61" s="206">
        <f>SUM(C57:C60)</f>
        <v>33439926.759999998</v>
      </c>
      <c r="D61" s="206">
        <f>SUM(D57:D60)</f>
        <v>6937742.26</v>
      </c>
      <c r="E61" s="206">
        <f>SUM(E57:E60)</f>
        <v>6675901.5</v>
      </c>
      <c r="F61" s="143">
        <f>(+D61-E61)/E61</f>
        <v>0.03922178300563598</v>
      </c>
      <c r="G61" s="217">
        <f>D61/C61</f>
        <v>0.207468823415569</v>
      </c>
      <c r="H61" s="123"/>
    </row>
    <row r="62" spans="1:8" ht="15.75" customHeight="1" thickTop="1">
      <c r="A62" s="138"/>
      <c r="B62" s="139"/>
      <c r="C62" s="205"/>
      <c r="D62" s="205"/>
      <c r="E62" s="205"/>
      <c r="F62" s="140"/>
      <c r="G62" s="216"/>
      <c r="H62" s="123"/>
    </row>
    <row r="63" spans="1:8" ht="15.75">
      <c r="A63" s="130" t="s">
        <v>58</v>
      </c>
      <c r="B63" s="131">
        <f>DATE(2017,7,1)</f>
        <v>42917</v>
      </c>
      <c r="C63" s="204">
        <v>12458554</v>
      </c>
      <c r="D63" s="204">
        <v>2354816.66</v>
      </c>
      <c r="E63" s="204">
        <v>1971007.14</v>
      </c>
      <c r="F63" s="132">
        <f>(+D63-E63)/E63</f>
        <v>0.19472761524344365</v>
      </c>
      <c r="G63" s="215">
        <f>D63/C63</f>
        <v>0.1890120362282814</v>
      </c>
      <c r="H63" s="123"/>
    </row>
    <row r="64" spans="1:8" ht="15.75">
      <c r="A64" s="130"/>
      <c r="B64" s="131">
        <f>DATE(2017,8,1)</f>
        <v>42948</v>
      </c>
      <c r="C64" s="204">
        <v>11608228</v>
      </c>
      <c r="D64" s="204">
        <v>1981472</v>
      </c>
      <c r="E64" s="204">
        <v>1451474</v>
      </c>
      <c r="F64" s="132">
        <f>(+D64-E64)/E64</f>
        <v>0.3651446736214359</v>
      </c>
      <c r="G64" s="215">
        <f>D64/C64</f>
        <v>0.17069547565743884</v>
      </c>
      <c r="H64" s="123"/>
    </row>
    <row r="65" spans="1:8" ht="15.75">
      <c r="A65" s="130"/>
      <c r="B65" s="131">
        <f>DATE(2017,9,1)</f>
        <v>42979</v>
      </c>
      <c r="C65" s="204">
        <v>11938179</v>
      </c>
      <c r="D65" s="204">
        <v>2416134</v>
      </c>
      <c r="E65" s="204">
        <v>2289039.96</v>
      </c>
      <c r="F65" s="132">
        <f>(+D65-E65)/E65</f>
        <v>0.05552285771367663</v>
      </c>
      <c r="G65" s="215">
        <f>D65/C65</f>
        <v>0.2023871479896557</v>
      </c>
      <c r="H65" s="123"/>
    </row>
    <row r="66" spans="1:8" ht="15.75" thickBot="1">
      <c r="A66" s="133"/>
      <c r="B66" s="131"/>
      <c r="C66" s="204"/>
      <c r="D66" s="204"/>
      <c r="E66" s="204"/>
      <c r="F66" s="132"/>
      <c r="G66" s="215"/>
      <c r="H66" s="123"/>
    </row>
    <row r="67" spans="1:8" ht="17.25" thickBot="1" thickTop="1">
      <c r="A67" s="141" t="s">
        <v>14</v>
      </c>
      <c r="B67" s="142"/>
      <c r="C67" s="207">
        <f>SUM(C63:C66)</f>
        <v>36004961</v>
      </c>
      <c r="D67" s="207">
        <f>SUM(D63:D66)</f>
        <v>6752422.66</v>
      </c>
      <c r="E67" s="207">
        <f>SUM(E63:E66)</f>
        <v>5711521.1</v>
      </c>
      <c r="F67" s="143">
        <f>(+D67-E67)/E67</f>
        <v>0.18224594495501392</v>
      </c>
      <c r="G67" s="267">
        <f>D67/C67</f>
        <v>0.18754145185714824</v>
      </c>
      <c r="H67" s="123"/>
    </row>
    <row r="68" spans="1:8" ht="15.75" customHeight="1" thickTop="1">
      <c r="A68" s="138"/>
      <c r="B68" s="139"/>
      <c r="C68" s="205"/>
      <c r="D68" s="205"/>
      <c r="E68" s="205"/>
      <c r="F68" s="140"/>
      <c r="G68" s="219"/>
      <c r="H68" s="123"/>
    </row>
    <row r="69" spans="1:8" ht="15.75">
      <c r="A69" s="130" t="s">
        <v>59</v>
      </c>
      <c r="B69" s="131">
        <f>DATE(2017,7,1)</f>
        <v>42917</v>
      </c>
      <c r="C69" s="204">
        <v>808349</v>
      </c>
      <c r="D69" s="204">
        <v>185261.5</v>
      </c>
      <c r="E69" s="204">
        <v>206069.5</v>
      </c>
      <c r="F69" s="132">
        <f>(+D69-E69)/E69</f>
        <v>-0.10097564171311135</v>
      </c>
      <c r="G69" s="215">
        <f>D69/C69</f>
        <v>0.22918504259917435</v>
      </c>
      <c r="H69" s="123"/>
    </row>
    <row r="70" spans="1:8" ht="15.75">
      <c r="A70" s="130"/>
      <c r="B70" s="131">
        <f>DATE(2017,8,1)</f>
        <v>42948</v>
      </c>
      <c r="C70" s="204">
        <v>727832</v>
      </c>
      <c r="D70" s="204">
        <v>131840.5</v>
      </c>
      <c r="E70" s="204">
        <v>195328</v>
      </c>
      <c r="F70" s="132">
        <f>(+D70-E70)/E70</f>
        <v>-0.32503020560288337</v>
      </c>
      <c r="G70" s="215">
        <f>D70/C70</f>
        <v>0.1811413897712659</v>
      </c>
      <c r="H70" s="123"/>
    </row>
    <row r="71" spans="1:8" ht="15.75">
      <c r="A71" s="130"/>
      <c r="B71" s="131">
        <f>DATE(2017,9,1)</f>
        <v>42979</v>
      </c>
      <c r="C71" s="204">
        <v>793144</v>
      </c>
      <c r="D71" s="204">
        <v>130165.5</v>
      </c>
      <c r="E71" s="204">
        <v>178936.5</v>
      </c>
      <c r="F71" s="132">
        <f>(+D71-E71)/E71</f>
        <v>-0.27256037756410795</v>
      </c>
      <c r="G71" s="215">
        <f>D71/C71</f>
        <v>0.16411332620558183</v>
      </c>
      <c r="H71" s="123"/>
    </row>
    <row r="72" spans="1:8" ht="15.75" thickBot="1">
      <c r="A72" s="133"/>
      <c r="B72" s="134"/>
      <c r="C72" s="204"/>
      <c r="D72" s="204"/>
      <c r="E72" s="204"/>
      <c r="F72" s="132"/>
      <c r="G72" s="215"/>
      <c r="H72" s="123"/>
    </row>
    <row r="73" spans="1:8" ht="17.25" thickBot="1" thickTop="1">
      <c r="A73" s="144" t="s">
        <v>14</v>
      </c>
      <c r="B73" s="145"/>
      <c r="C73" s="207">
        <f>SUM(C69:C72)</f>
        <v>2329325</v>
      </c>
      <c r="D73" s="207">
        <f>SUM(D69:D72)</f>
        <v>447267.5</v>
      </c>
      <c r="E73" s="207">
        <f>SUM(E69:E72)</f>
        <v>580334</v>
      </c>
      <c r="F73" s="143">
        <f>(+D73-E73)/E73</f>
        <v>-0.2292929588822988</v>
      </c>
      <c r="G73" s="217">
        <f>D73/C73</f>
        <v>0.19201592736093073</v>
      </c>
      <c r="H73" s="123"/>
    </row>
    <row r="74" spans="1:8" ht="15.75" customHeight="1" thickTop="1">
      <c r="A74" s="130"/>
      <c r="B74" s="134"/>
      <c r="C74" s="204"/>
      <c r="D74" s="204"/>
      <c r="E74" s="204"/>
      <c r="F74" s="132"/>
      <c r="G74" s="218"/>
      <c r="H74" s="123"/>
    </row>
    <row r="75" spans="1:8" ht="15.75">
      <c r="A75" s="130" t="s">
        <v>40</v>
      </c>
      <c r="B75" s="131">
        <f>DATE(2017,7,1)</f>
        <v>42917</v>
      </c>
      <c r="C75" s="204">
        <v>15476448</v>
      </c>
      <c r="D75" s="204">
        <v>3485005.33</v>
      </c>
      <c r="E75" s="204">
        <v>3555002.5</v>
      </c>
      <c r="F75" s="132">
        <f>(+D75-E75)/E75</f>
        <v>-0.019689766744186515</v>
      </c>
      <c r="G75" s="215">
        <f>D75/C75</f>
        <v>0.22518121276923492</v>
      </c>
      <c r="H75" s="123"/>
    </row>
    <row r="76" spans="1:8" ht="15.75">
      <c r="A76" s="130"/>
      <c r="B76" s="131">
        <f>DATE(2017,8,1)</f>
        <v>42948</v>
      </c>
      <c r="C76" s="204">
        <v>14484713</v>
      </c>
      <c r="D76" s="204">
        <v>2756152.9</v>
      </c>
      <c r="E76" s="204">
        <v>2648098.2</v>
      </c>
      <c r="F76" s="132">
        <f>(+D76-E76)/E76</f>
        <v>0.04080464236560401</v>
      </c>
      <c r="G76" s="215">
        <f>D76/C76</f>
        <v>0.19028011808035133</v>
      </c>
      <c r="H76" s="123"/>
    </row>
    <row r="77" spans="1:8" ht="15.75">
      <c r="A77" s="130"/>
      <c r="B77" s="131">
        <f>DATE(2017,9,1)</f>
        <v>42979</v>
      </c>
      <c r="C77" s="204">
        <v>16041731</v>
      </c>
      <c r="D77" s="204">
        <v>3554590.84</v>
      </c>
      <c r="E77" s="204">
        <v>2901818.1</v>
      </c>
      <c r="F77" s="132">
        <f>(+D77-E77)/E77</f>
        <v>0.22495301824742212</v>
      </c>
      <c r="G77" s="215">
        <f>D77/C77</f>
        <v>0.22158399489431657</v>
      </c>
      <c r="H77" s="123"/>
    </row>
    <row r="78" spans="1:8" ht="15.75" thickBot="1">
      <c r="A78" s="133"/>
      <c r="B78" s="134"/>
      <c r="C78" s="204"/>
      <c r="D78" s="204"/>
      <c r="E78" s="204"/>
      <c r="F78" s="132"/>
      <c r="G78" s="215"/>
      <c r="H78" s="123"/>
    </row>
    <row r="79" spans="1:8" ht="17.25" thickBot="1" thickTop="1">
      <c r="A79" s="141" t="s">
        <v>14</v>
      </c>
      <c r="B79" s="142"/>
      <c r="C79" s="206">
        <f>SUM(C75:C78)</f>
        <v>46002892</v>
      </c>
      <c r="D79" s="207">
        <f>SUM(D75:D78)</f>
        <v>9795749.07</v>
      </c>
      <c r="E79" s="206">
        <f>SUM(E75:E78)</f>
        <v>9104918.8</v>
      </c>
      <c r="F79" s="143">
        <f>(+D79-E79)/E79</f>
        <v>0.07587440208692466</v>
      </c>
      <c r="G79" s="217">
        <f>D79/C79</f>
        <v>0.21293767943980565</v>
      </c>
      <c r="H79" s="123"/>
    </row>
    <row r="80" spans="1:8" ht="15.75" customHeight="1" thickTop="1">
      <c r="A80" s="130"/>
      <c r="B80" s="134"/>
      <c r="C80" s="204"/>
      <c r="D80" s="204"/>
      <c r="E80" s="204"/>
      <c r="F80" s="132"/>
      <c r="G80" s="218"/>
      <c r="H80" s="123"/>
    </row>
    <row r="81" spans="1:8" ht="15.75">
      <c r="A81" s="130" t="s">
        <v>64</v>
      </c>
      <c r="B81" s="131">
        <f>DATE(2017,7,1)</f>
        <v>42917</v>
      </c>
      <c r="C81" s="204">
        <v>829717</v>
      </c>
      <c r="D81" s="204">
        <v>283672</v>
      </c>
      <c r="E81" s="204">
        <v>188854</v>
      </c>
      <c r="F81" s="132">
        <f>(+D81-E81)/E81</f>
        <v>0.5020703824118102</v>
      </c>
      <c r="G81" s="215">
        <f>D81/C81</f>
        <v>0.341890066130982</v>
      </c>
      <c r="H81" s="123"/>
    </row>
    <row r="82" spans="1:8" ht="15.75">
      <c r="A82" s="130"/>
      <c r="B82" s="131">
        <f>DATE(2017,8,1)</f>
        <v>42948</v>
      </c>
      <c r="C82" s="204">
        <v>771356</v>
      </c>
      <c r="D82" s="204">
        <v>213515</v>
      </c>
      <c r="E82" s="204">
        <v>216171</v>
      </c>
      <c r="F82" s="132">
        <f>(+D82-E82)/E82</f>
        <v>-0.012286569428831804</v>
      </c>
      <c r="G82" s="215">
        <f>D82/C82</f>
        <v>0.27680474385368103</v>
      </c>
      <c r="H82" s="123"/>
    </row>
    <row r="83" spans="1:8" ht="15.75">
      <c r="A83" s="130"/>
      <c r="B83" s="131">
        <f>DATE(2017,9,1)</f>
        <v>42979</v>
      </c>
      <c r="C83" s="204">
        <v>789203</v>
      </c>
      <c r="D83" s="204">
        <v>213767.5</v>
      </c>
      <c r="E83" s="204">
        <v>216945.5</v>
      </c>
      <c r="F83" s="132">
        <f>(+D83-E83)/E83</f>
        <v>-0.014648840376961033</v>
      </c>
      <c r="G83" s="215">
        <f>D83/C83</f>
        <v>0.27086503725910827</v>
      </c>
      <c r="H83" s="123"/>
    </row>
    <row r="84" spans="1:8" ht="15.75" thickBot="1">
      <c r="A84" s="133"/>
      <c r="B84" s="134"/>
      <c r="C84" s="204"/>
      <c r="D84" s="204"/>
      <c r="E84" s="204"/>
      <c r="F84" s="132"/>
      <c r="G84" s="215"/>
      <c r="H84" s="123"/>
    </row>
    <row r="85" spans="1:8" ht="17.25" thickBot="1" thickTop="1">
      <c r="A85" s="135" t="s">
        <v>14</v>
      </c>
      <c r="B85" s="136"/>
      <c r="C85" s="201">
        <f>SUM(C81:C84)</f>
        <v>2390276</v>
      </c>
      <c r="D85" s="207">
        <f>SUM(D81:D84)</f>
        <v>710954.5</v>
      </c>
      <c r="E85" s="207">
        <f>SUM(E81:E84)</f>
        <v>621970.5</v>
      </c>
      <c r="F85" s="143">
        <f>(+D85-E85)/E85</f>
        <v>0.14306787862125295</v>
      </c>
      <c r="G85" s="217">
        <f>D85/C85</f>
        <v>0.2974361538165467</v>
      </c>
      <c r="H85" s="123"/>
    </row>
    <row r="86" spans="1:8" ht="16.5" thickBot="1" thickTop="1">
      <c r="A86" s="146"/>
      <c r="B86" s="139"/>
      <c r="C86" s="205"/>
      <c r="D86" s="205"/>
      <c r="E86" s="205"/>
      <c r="F86" s="140"/>
      <c r="G86" s="216"/>
      <c r="H86" s="123"/>
    </row>
    <row r="87" spans="1:8" ht="17.25" thickBot="1" thickTop="1">
      <c r="A87" s="147" t="s">
        <v>41</v>
      </c>
      <c r="B87" s="121"/>
      <c r="C87" s="201">
        <f>C85+C79+C61+C49+C37+C25+C13+C31+C73+C19+C55+C67+C43</f>
        <v>296254268.76</v>
      </c>
      <c r="D87" s="201">
        <f>D85+D79+D61+D49+D37+D25+D13+D31+D73+D19+D55+D67+D43</f>
        <v>63826932.510000005</v>
      </c>
      <c r="E87" s="201">
        <f>E85+E79+E61+E49+E37+E25+E13+E31+E73+E19+E55+E67+E43</f>
        <v>58623283.02</v>
      </c>
      <c r="F87" s="137">
        <f>(+D87-E87)/E87</f>
        <v>0.0887642114520389</v>
      </c>
      <c r="G87" s="212">
        <f>D87/C87</f>
        <v>0.21544645677901492</v>
      </c>
      <c r="H87" s="123"/>
    </row>
    <row r="88" spans="1:8" ht="17.25" thickBot="1" thickTop="1">
      <c r="A88" s="147"/>
      <c r="B88" s="121"/>
      <c r="C88" s="201"/>
      <c r="D88" s="201"/>
      <c r="E88" s="201"/>
      <c r="F88" s="137"/>
      <c r="G88" s="212"/>
      <c r="H88" s="123"/>
    </row>
    <row r="89" spans="1:8" ht="17.25" thickBot="1" thickTop="1">
      <c r="A89" s="265" t="s">
        <v>42</v>
      </c>
      <c r="B89" s="266"/>
      <c r="C89" s="206">
        <f>+C11+C17+C23+C29+C35+C41+C47+C53+C59+C65+C71+C77+C83</f>
        <v>97842796.76</v>
      </c>
      <c r="D89" s="206">
        <f>+D11+D17+D23+D29+D35+D41+D47+D53+D59+D65+D71+D77+D83</f>
        <v>21728212.01</v>
      </c>
      <c r="E89" s="206">
        <f>+E11+E17+E23+E29+E35+E41+E47+E53+E59+E65+E71+E77+E83</f>
        <v>19641379.130000003</v>
      </c>
      <c r="F89" s="143">
        <f>(+D89-E89)/E89</f>
        <v>0.106246759262062</v>
      </c>
      <c r="G89" s="217">
        <f>D89/C89</f>
        <v>0.22207267912933276</v>
      </c>
      <c r="H89" s="123"/>
    </row>
    <row r="90" spans="1:8" ht="16.5" thickTop="1">
      <c r="A90" s="256"/>
      <c r="B90" s="258"/>
      <c r="C90" s="259"/>
      <c r="D90" s="259"/>
      <c r="E90" s="259"/>
      <c r="F90" s="260"/>
      <c r="G90" s="257"/>
      <c r="H90" s="257"/>
    </row>
    <row r="91" spans="1:7" ht="18.75">
      <c r="A91" s="263" t="s">
        <v>43</v>
      </c>
      <c r="B91" s="117"/>
      <c r="C91" s="208"/>
      <c r="D91" s="208"/>
      <c r="E91" s="208"/>
      <c r="F91" s="148"/>
      <c r="G91" s="220"/>
    </row>
    <row r="92" ht="15.75">
      <c r="A92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4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DATE(17,7,1)</f>
        <v>6392</v>
      </c>
      <c r="C10" s="226">
        <v>128003135.76</v>
      </c>
      <c r="D10" s="226">
        <v>12399693.56</v>
      </c>
      <c r="E10" s="226">
        <v>12760668.01</v>
      </c>
      <c r="F10" s="166">
        <f>(+D10-E10)/E10</f>
        <v>-0.02828805276629082</v>
      </c>
      <c r="G10" s="241">
        <f>D10/C10</f>
        <v>0.09687023279842813</v>
      </c>
      <c r="H10" s="242">
        <f>1-G10</f>
        <v>0.9031297672015719</v>
      </c>
      <c r="I10" s="157"/>
    </row>
    <row r="11" spans="1:9" ht="15.75">
      <c r="A11" s="164"/>
      <c r="B11" s="165">
        <f>DATE(17,8,1)</f>
        <v>6423</v>
      </c>
      <c r="C11" s="226">
        <v>116499333.11</v>
      </c>
      <c r="D11" s="226">
        <v>11441719.54</v>
      </c>
      <c r="E11" s="226">
        <v>11027150.02</v>
      </c>
      <c r="F11" s="166">
        <f>(+D11-E11)/E11</f>
        <v>0.03759534596410611</v>
      </c>
      <c r="G11" s="241">
        <f>D11/C11</f>
        <v>0.09821274709956147</v>
      </c>
      <c r="H11" s="242">
        <f>1-G11</f>
        <v>0.9017872529004385</v>
      </c>
      <c r="I11" s="157"/>
    </row>
    <row r="12" spans="1:9" ht="15.75">
      <c r="A12" s="164"/>
      <c r="B12" s="165">
        <f>DATE(17,9,1)</f>
        <v>6454</v>
      </c>
      <c r="C12" s="226">
        <v>121499196.15</v>
      </c>
      <c r="D12" s="226">
        <v>11813160.59</v>
      </c>
      <c r="E12" s="226">
        <v>11131300.2</v>
      </c>
      <c r="F12" s="166">
        <f>(+D12-E12)/E12</f>
        <v>0.06125613160626111</v>
      </c>
      <c r="G12" s="241">
        <f>D12/C12</f>
        <v>0.09722830244420509</v>
      </c>
      <c r="H12" s="242">
        <f>1-G12</f>
        <v>0.9027716975557949</v>
      </c>
      <c r="I12" s="157"/>
    </row>
    <row r="13" spans="1:9" ht="15.75" thickBot="1">
      <c r="A13" s="167"/>
      <c r="B13" s="168"/>
      <c r="C13" s="226"/>
      <c r="D13" s="226"/>
      <c r="E13" s="226"/>
      <c r="F13" s="166"/>
      <c r="G13" s="241"/>
      <c r="H13" s="242"/>
      <c r="I13" s="157"/>
    </row>
    <row r="14" spans="1:9" ht="17.25" thickBot="1" thickTop="1">
      <c r="A14" s="169" t="s">
        <v>14</v>
      </c>
      <c r="B14" s="155"/>
      <c r="C14" s="223">
        <f>SUM(C10:C13)</f>
        <v>366001665.02</v>
      </c>
      <c r="D14" s="223">
        <f>SUM(D10:D13)</f>
        <v>35654573.69</v>
      </c>
      <c r="E14" s="223">
        <f>SUM(E10:E13)</f>
        <v>34919118.230000004</v>
      </c>
      <c r="F14" s="170">
        <f>(+D14-E14)/E14</f>
        <v>0.021061684752627655</v>
      </c>
      <c r="G14" s="236">
        <f>D14/C14</f>
        <v>0.09741642483525771</v>
      </c>
      <c r="H14" s="237">
        <f>1-G14</f>
        <v>0.9025835751647423</v>
      </c>
      <c r="I14" s="157"/>
    </row>
    <row r="15" spans="1:9" ht="15.75" thickTop="1">
      <c r="A15" s="171"/>
      <c r="B15" s="172"/>
      <c r="C15" s="227"/>
      <c r="D15" s="227"/>
      <c r="E15" s="227"/>
      <c r="F15" s="173"/>
      <c r="G15" s="243"/>
      <c r="H15" s="244"/>
      <c r="I15" s="157"/>
    </row>
    <row r="16" spans="1:9" ht="15.75">
      <c r="A16" s="19" t="s">
        <v>51</v>
      </c>
      <c r="B16" s="165">
        <f>DATE(17,7,1)</f>
        <v>6392</v>
      </c>
      <c r="C16" s="226">
        <v>70369862.87</v>
      </c>
      <c r="D16" s="226">
        <v>6821642.2</v>
      </c>
      <c r="E16" s="226">
        <v>7099133.54</v>
      </c>
      <c r="F16" s="166">
        <f>(+D16-E16)/E16</f>
        <v>-0.03908805749835209</v>
      </c>
      <c r="G16" s="241">
        <f>D16/C16</f>
        <v>0.09693982511522264</v>
      </c>
      <c r="H16" s="242">
        <f>1-G16</f>
        <v>0.9030601748847773</v>
      </c>
      <c r="I16" s="157"/>
    </row>
    <row r="17" spans="1:9" ht="15.75">
      <c r="A17" s="19"/>
      <c r="B17" s="165">
        <f>DATE(17,8,1)</f>
        <v>6423</v>
      </c>
      <c r="C17" s="226">
        <v>64182696.16</v>
      </c>
      <c r="D17" s="226">
        <v>6396602.31</v>
      </c>
      <c r="E17" s="226">
        <v>6284127.36</v>
      </c>
      <c r="F17" s="166">
        <f>(+D17-E17)/E17</f>
        <v>0.017898260737987216</v>
      </c>
      <c r="G17" s="241">
        <f>D17/C17</f>
        <v>0.09966241203164812</v>
      </c>
      <c r="H17" s="242">
        <f>1-G17</f>
        <v>0.9003375879683518</v>
      </c>
      <c r="I17" s="157"/>
    </row>
    <row r="18" spans="1:9" ht="15.75">
      <c r="A18" s="19"/>
      <c r="B18" s="165">
        <f>DATE(17,9,1)</f>
        <v>6454</v>
      </c>
      <c r="C18" s="226">
        <v>64033578.3</v>
      </c>
      <c r="D18" s="226">
        <v>6148408.09</v>
      </c>
      <c r="E18" s="226">
        <v>6426114.46</v>
      </c>
      <c r="F18" s="166">
        <f>(+D18-E18)/E18</f>
        <v>-0.04321528533744793</v>
      </c>
      <c r="G18" s="241">
        <f>D18/C18</f>
        <v>0.09601849925041593</v>
      </c>
      <c r="H18" s="242">
        <f>1-G18</f>
        <v>0.903981500749584</v>
      </c>
      <c r="I18" s="157"/>
    </row>
    <row r="19" spans="1:9" ht="15.75" thickBot="1">
      <c r="A19" s="167"/>
      <c r="B19" s="165"/>
      <c r="C19" s="226"/>
      <c r="D19" s="226"/>
      <c r="E19" s="226"/>
      <c r="F19" s="166"/>
      <c r="G19" s="241"/>
      <c r="H19" s="242"/>
      <c r="I19" s="157"/>
    </row>
    <row r="20" spans="1:9" ht="17.25" thickBot="1" thickTop="1">
      <c r="A20" s="169" t="s">
        <v>14</v>
      </c>
      <c r="B20" s="155"/>
      <c r="C20" s="223">
        <f>SUM(C16:C19)</f>
        <v>198586137.32999998</v>
      </c>
      <c r="D20" s="223">
        <f>SUM(D16:D19)</f>
        <v>19366652.6</v>
      </c>
      <c r="E20" s="223">
        <f>SUM(E16:E19)</f>
        <v>19809375.36</v>
      </c>
      <c r="F20" s="170">
        <f>(+D20-E20)/E20</f>
        <v>-0.02234915296188309</v>
      </c>
      <c r="G20" s="236">
        <f>D20/C20</f>
        <v>0.0975226813935029</v>
      </c>
      <c r="H20" s="237">
        <f>1-G20</f>
        <v>0.9024773186064972</v>
      </c>
      <c r="I20" s="157"/>
    </row>
    <row r="21" spans="1:9" ht="15.75" thickTop="1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.75">
      <c r="A22" s="19" t="s">
        <v>60</v>
      </c>
      <c r="B22" s="165">
        <f>DATE(17,7,1)</f>
        <v>6392</v>
      </c>
      <c r="C22" s="226">
        <v>27686533.48</v>
      </c>
      <c r="D22" s="226">
        <v>2951015.74</v>
      </c>
      <c r="E22" s="226">
        <v>3021071.12</v>
      </c>
      <c r="F22" s="166">
        <f>(+D22-E22)/E22</f>
        <v>-0.0231889211532365</v>
      </c>
      <c r="G22" s="241">
        <f>D22/C22</f>
        <v>0.10658668201028973</v>
      </c>
      <c r="H22" s="242">
        <f>1-G22</f>
        <v>0.8934133179897102</v>
      </c>
      <c r="I22" s="157"/>
    </row>
    <row r="23" spans="1:9" ht="15.75">
      <c r="A23" s="19"/>
      <c r="B23" s="165">
        <f>DATE(17,8,1)</f>
        <v>6423</v>
      </c>
      <c r="C23" s="226">
        <v>24319135.61</v>
      </c>
      <c r="D23" s="226">
        <v>2587760.59</v>
      </c>
      <c r="E23" s="226">
        <v>2616739.9</v>
      </c>
      <c r="F23" s="166">
        <f>(+D23-E23)/E23</f>
        <v>-0.011074585594082184</v>
      </c>
      <c r="G23" s="241">
        <f>D23/C23</f>
        <v>0.1064084115282418</v>
      </c>
      <c r="H23" s="242">
        <f>1-G23</f>
        <v>0.8935915884717582</v>
      </c>
      <c r="I23" s="157"/>
    </row>
    <row r="24" spans="1:9" ht="15.75">
      <c r="A24" s="19"/>
      <c r="B24" s="165">
        <f>DATE(17,9,1)</f>
        <v>6454</v>
      </c>
      <c r="C24" s="226">
        <v>25776531.98</v>
      </c>
      <c r="D24" s="226">
        <v>2789987.56</v>
      </c>
      <c r="E24" s="226">
        <v>2834248.99</v>
      </c>
      <c r="F24" s="166">
        <f>(+D24-E24)/E24</f>
        <v>-0.015616634302831722</v>
      </c>
      <c r="G24" s="241">
        <f>D24/C24</f>
        <v>0.10823750697590934</v>
      </c>
      <c r="H24" s="242">
        <f>1-G24</f>
        <v>0.8917624930240906</v>
      </c>
      <c r="I24" s="157"/>
    </row>
    <row r="25" spans="1:9" ht="15.75" thickBot="1">
      <c r="A25" s="167"/>
      <c r="B25" s="165"/>
      <c r="C25" s="226"/>
      <c r="D25" s="226"/>
      <c r="E25" s="226"/>
      <c r="F25" s="166"/>
      <c r="G25" s="241"/>
      <c r="H25" s="242"/>
      <c r="I25" s="157"/>
    </row>
    <row r="26" spans="1:9" ht="17.25" thickBot="1" thickTop="1">
      <c r="A26" s="174" t="s">
        <v>14</v>
      </c>
      <c r="B26" s="175"/>
      <c r="C26" s="228">
        <f>SUM(C22:C25)</f>
        <v>77782201.07000001</v>
      </c>
      <c r="D26" s="228">
        <f>SUM(D22:D25)</f>
        <v>8328763.890000001</v>
      </c>
      <c r="E26" s="228">
        <f>SUM(E22:E25)</f>
        <v>8472060.01</v>
      </c>
      <c r="F26" s="176">
        <f>(+D26-E26)/E26</f>
        <v>-0.016913964234301873</v>
      </c>
      <c r="G26" s="245">
        <f>D26/C26</f>
        <v>0.10707801753391548</v>
      </c>
      <c r="H26" s="246">
        <f>1-G26</f>
        <v>0.8929219824660846</v>
      </c>
      <c r="I26" s="157"/>
    </row>
    <row r="27" spans="1:9" ht="15.75" thickTop="1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5.75">
      <c r="A28" s="177" t="s">
        <v>65</v>
      </c>
      <c r="B28" s="165">
        <f>DATE(17,7,1)</f>
        <v>6392</v>
      </c>
      <c r="C28" s="226">
        <v>199002675.73</v>
      </c>
      <c r="D28" s="226">
        <v>17796071.33</v>
      </c>
      <c r="E28" s="226">
        <v>18141371.29</v>
      </c>
      <c r="F28" s="166">
        <f>(+D28-E28)/E28</f>
        <v>-0.019033840081887268</v>
      </c>
      <c r="G28" s="241">
        <f>D28/C28</f>
        <v>0.08942629170546983</v>
      </c>
      <c r="H28" s="242">
        <f>1-G28</f>
        <v>0.9105737082945302</v>
      </c>
      <c r="I28" s="157"/>
    </row>
    <row r="29" spans="1:9" ht="15.75">
      <c r="A29" s="177"/>
      <c r="B29" s="165">
        <f>DATE(17,8,1)</f>
        <v>6423</v>
      </c>
      <c r="C29" s="226">
        <v>185850095.92</v>
      </c>
      <c r="D29" s="226">
        <v>17013833.45</v>
      </c>
      <c r="E29" s="226">
        <v>17116248.3</v>
      </c>
      <c r="F29" s="166">
        <f>(+D29-E29)/E29</f>
        <v>-0.005983487047217087</v>
      </c>
      <c r="G29" s="241">
        <f>D29/C29</f>
        <v>0.0915460030611105</v>
      </c>
      <c r="H29" s="242">
        <f>1-G29</f>
        <v>0.9084539969388895</v>
      </c>
      <c r="I29" s="157"/>
    </row>
    <row r="30" spans="1:9" ht="15.75">
      <c r="A30" s="177"/>
      <c r="B30" s="165">
        <f>DATE(17,9,1)</f>
        <v>6454</v>
      </c>
      <c r="C30" s="226">
        <v>179235333.71</v>
      </c>
      <c r="D30" s="226">
        <v>16916276.07</v>
      </c>
      <c r="E30" s="226">
        <v>17027821.25</v>
      </c>
      <c r="F30" s="166">
        <f>(+D30-E30)/E30</f>
        <v>-0.006550760567797228</v>
      </c>
      <c r="G30" s="241">
        <f>D30/C30</f>
        <v>0.09438025259779566</v>
      </c>
      <c r="H30" s="242">
        <f>1-G30</f>
        <v>0.9056197474022043</v>
      </c>
      <c r="I30" s="157"/>
    </row>
    <row r="31" spans="1:9" ht="15.75" thickBot="1">
      <c r="A31" s="167"/>
      <c r="B31" s="168"/>
      <c r="C31" s="226"/>
      <c r="D31" s="226"/>
      <c r="E31" s="226"/>
      <c r="F31" s="166"/>
      <c r="G31" s="241"/>
      <c r="H31" s="242"/>
      <c r="I31" s="157"/>
    </row>
    <row r="32" spans="1:9" ht="17.25" thickBot="1" thickTop="1">
      <c r="A32" s="174" t="s">
        <v>14</v>
      </c>
      <c r="B32" s="178"/>
      <c r="C32" s="228">
        <f>SUM(C28:C31)</f>
        <v>564088105.36</v>
      </c>
      <c r="D32" s="228">
        <f>SUM(D28:D31)</f>
        <v>51726180.85</v>
      </c>
      <c r="E32" s="228">
        <f>SUM(E28:E31)</f>
        <v>52285440.84</v>
      </c>
      <c r="F32" s="176">
        <f>(+D32-E32)/E32</f>
        <v>-0.010696285256758333</v>
      </c>
      <c r="G32" s="245">
        <f>D32/C32</f>
        <v>0.09169876187513021</v>
      </c>
      <c r="H32" s="246">
        <f>1-G32</f>
        <v>0.9083012381248698</v>
      </c>
      <c r="I32" s="157"/>
    </row>
    <row r="33" spans="1:9" ht="15.75" thickTop="1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>
      <c r="A34" s="164" t="s">
        <v>16</v>
      </c>
      <c r="B34" s="165">
        <f>DATE(17,7,1)</f>
        <v>6392</v>
      </c>
      <c r="C34" s="226">
        <v>122650754.72</v>
      </c>
      <c r="D34" s="226">
        <v>12389304.68</v>
      </c>
      <c r="E34" s="226">
        <v>10986140.39</v>
      </c>
      <c r="F34" s="166">
        <f>(+D34-E34)/E34</f>
        <v>0.12772131432775174</v>
      </c>
      <c r="G34" s="241">
        <f>D34/C34</f>
        <v>0.1010128694950439</v>
      </c>
      <c r="H34" s="242">
        <f>1-G34</f>
        <v>0.8989871305049562</v>
      </c>
      <c r="I34" s="157"/>
    </row>
    <row r="35" spans="1:9" ht="15.75">
      <c r="A35" s="164"/>
      <c r="B35" s="165">
        <f>DATE(17,8,1)</f>
        <v>6423</v>
      </c>
      <c r="C35" s="226">
        <v>118081260.75</v>
      </c>
      <c r="D35" s="226">
        <v>11735802.96</v>
      </c>
      <c r="E35" s="226">
        <v>11023402.54</v>
      </c>
      <c r="F35" s="166">
        <f>(+D35-E35)/E35</f>
        <v>0.06462618210801561</v>
      </c>
      <c r="G35" s="241">
        <f>D35/C35</f>
        <v>0.0993875140344824</v>
      </c>
      <c r="H35" s="242">
        <f>1-G35</f>
        <v>0.9006124859655176</v>
      </c>
      <c r="I35" s="157"/>
    </row>
    <row r="36" spans="1:9" ht="15.75">
      <c r="A36" s="164"/>
      <c r="B36" s="165">
        <f>DATE(17,9,1)</f>
        <v>6454</v>
      </c>
      <c r="C36" s="226">
        <v>124802163.83</v>
      </c>
      <c r="D36" s="226">
        <v>11892155.97</v>
      </c>
      <c r="E36" s="226">
        <v>10758067.16</v>
      </c>
      <c r="F36" s="166">
        <f>(+D36-E36)/E36</f>
        <v>0.10541752464761528</v>
      </c>
      <c r="G36" s="241">
        <f>D36/C36</f>
        <v>0.09528805915736342</v>
      </c>
      <c r="H36" s="242">
        <f>1-G36</f>
        <v>0.9047119408426366</v>
      </c>
      <c r="I36" s="157"/>
    </row>
    <row r="37" spans="1:9" ht="15.7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Bot="1" thickTop="1">
      <c r="A38" s="174" t="s">
        <v>14</v>
      </c>
      <c r="B38" s="175"/>
      <c r="C38" s="228">
        <f>SUM(C34:C37)</f>
        <v>365534179.3</v>
      </c>
      <c r="D38" s="230">
        <f>SUM(D34:D37)</f>
        <v>36017263.61</v>
      </c>
      <c r="E38" s="271">
        <f>SUM(E34:E37)</f>
        <v>32767610.09</v>
      </c>
      <c r="F38" s="272">
        <f>(+D38-E38)/E38</f>
        <v>0.09917273524295649</v>
      </c>
      <c r="G38" s="249">
        <f>D38/C38</f>
        <v>0.09853323067892929</v>
      </c>
      <c r="H38" s="270">
        <f>1-G38</f>
        <v>0.9014667693210707</v>
      </c>
      <c r="I38" s="157"/>
    </row>
    <row r="39" spans="1:9" ht="15.75" thickTop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>
      <c r="A40" s="164" t="s">
        <v>66</v>
      </c>
      <c r="B40" s="165">
        <f>DATE(17,7,1)</f>
        <v>6392</v>
      </c>
      <c r="C40" s="226">
        <v>48763845.1</v>
      </c>
      <c r="D40" s="226">
        <v>4991725.48</v>
      </c>
      <c r="E40" s="226">
        <v>5336762.36</v>
      </c>
      <c r="F40" s="166">
        <f>(+D40-E40)/E40</f>
        <v>-0.0646528469369582</v>
      </c>
      <c r="G40" s="241">
        <f>D40/C40</f>
        <v>0.10236529686622273</v>
      </c>
      <c r="H40" s="242">
        <f>1-G40</f>
        <v>0.8976347031337772</v>
      </c>
      <c r="I40" s="157"/>
    </row>
    <row r="41" spans="1:9" ht="15.75">
      <c r="A41" s="164"/>
      <c r="B41" s="165">
        <f>DATE(17,8,1)</f>
        <v>6423</v>
      </c>
      <c r="C41" s="226">
        <v>46643306.34</v>
      </c>
      <c r="D41" s="226">
        <v>4592418.47</v>
      </c>
      <c r="E41" s="226">
        <v>4882835.18</v>
      </c>
      <c r="F41" s="166">
        <f>(+D41-E41)/E41</f>
        <v>-0.05947706594511756</v>
      </c>
      <c r="G41" s="241">
        <f>D41/C41</f>
        <v>0.0984582532919985</v>
      </c>
      <c r="H41" s="242">
        <f>1-G41</f>
        <v>0.9015417467080015</v>
      </c>
      <c r="I41" s="157"/>
    </row>
    <row r="42" spans="1:9" ht="15.75">
      <c r="A42" s="164"/>
      <c r="B42" s="165">
        <f>DATE(17,9,1)</f>
        <v>6454</v>
      </c>
      <c r="C42" s="226">
        <v>47450126.56</v>
      </c>
      <c r="D42" s="226">
        <v>5151289.35</v>
      </c>
      <c r="E42" s="226">
        <v>4889525.49</v>
      </c>
      <c r="F42" s="166">
        <f>(+D42-E42)/E42</f>
        <v>0.0535356366451828</v>
      </c>
      <c r="G42" s="241">
        <f>D42/C42</f>
        <v>0.1085621835694425</v>
      </c>
      <c r="H42" s="242">
        <f>1-G42</f>
        <v>0.8914378164305575</v>
      </c>
      <c r="I42" s="157"/>
    </row>
    <row r="43" spans="1:9" ht="15.75" thickBot="1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7.25" thickBot="1" thickTop="1">
      <c r="A44" s="174" t="s">
        <v>14</v>
      </c>
      <c r="B44" s="175"/>
      <c r="C44" s="228">
        <f>SUM(C40:C43)</f>
        <v>142857278</v>
      </c>
      <c r="D44" s="230">
        <f>SUM(D40:D43)</f>
        <v>14735433.299999999</v>
      </c>
      <c r="E44" s="271">
        <f>SUM(E40:E43)</f>
        <v>15109123.03</v>
      </c>
      <c r="F44" s="272">
        <f>(+D44-E44)/E44</f>
        <v>-0.024732721366952856</v>
      </c>
      <c r="G44" s="249">
        <f>D44/C44</f>
        <v>0.103147935522053</v>
      </c>
      <c r="H44" s="270">
        <f>1-G44</f>
        <v>0.896852064477947</v>
      </c>
      <c r="I44" s="157"/>
    </row>
    <row r="45" spans="1:9" ht="15.75" thickTop="1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>
      <c r="A46" s="164" t="s">
        <v>17</v>
      </c>
      <c r="B46" s="165">
        <f>DATE(17,7,1)</f>
        <v>6392</v>
      </c>
      <c r="C46" s="226">
        <v>51730614.82</v>
      </c>
      <c r="D46" s="226">
        <v>5822170.92</v>
      </c>
      <c r="E46" s="226">
        <v>5949492.25</v>
      </c>
      <c r="F46" s="166">
        <f>(+D46-E46)/E46</f>
        <v>-0.021400369081916205</v>
      </c>
      <c r="G46" s="241">
        <f>D46/C46</f>
        <v>0.11254787789123748</v>
      </c>
      <c r="H46" s="242">
        <f>1-G46</f>
        <v>0.8874521221087626</v>
      </c>
      <c r="I46" s="157"/>
    </row>
    <row r="47" spans="1:9" ht="15.75">
      <c r="A47" s="164"/>
      <c r="B47" s="165">
        <f>DATE(17,8,1)</f>
        <v>6423</v>
      </c>
      <c r="C47" s="226">
        <v>50278496.66</v>
      </c>
      <c r="D47" s="226">
        <v>5585308.33</v>
      </c>
      <c r="E47" s="226">
        <v>5777712.11</v>
      </c>
      <c r="F47" s="166">
        <f>(+D47-E47)/E47</f>
        <v>-0.033301032716218225</v>
      </c>
      <c r="G47" s="241">
        <f>D47/C47</f>
        <v>0.11108741710735152</v>
      </c>
      <c r="H47" s="242">
        <f>1-G47</f>
        <v>0.8889125828926485</v>
      </c>
      <c r="I47" s="157"/>
    </row>
    <row r="48" spans="1:9" ht="15.75">
      <c r="A48" s="164"/>
      <c r="B48" s="165">
        <f>DATE(17,9,1)</f>
        <v>6454</v>
      </c>
      <c r="C48" s="226">
        <v>51254253.76</v>
      </c>
      <c r="D48" s="226">
        <v>5571414.24</v>
      </c>
      <c r="E48" s="226">
        <v>5530260.84</v>
      </c>
      <c r="F48" s="166">
        <f>(+D48-E48)/E48</f>
        <v>0.007441493482972925</v>
      </c>
      <c r="G48" s="241">
        <f>D48/C48</f>
        <v>0.10870149951042815</v>
      </c>
      <c r="H48" s="242">
        <f>1-G48</f>
        <v>0.8912985004895718</v>
      </c>
      <c r="I48" s="157"/>
    </row>
    <row r="49" spans="1:9" ht="15.75" thickBot="1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Bot="1" thickTop="1">
      <c r="A50" s="174" t="s">
        <v>14</v>
      </c>
      <c r="B50" s="175"/>
      <c r="C50" s="228">
        <f>SUM(C46:C49)</f>
        <v>153263365.23999998</v>
      </c>
      <c r="D50" s="230">
        <f>SUM(D46:D49)</f>
        <v>16978893.490000002</v>
      </c>
      <c r="E50" s="271">
        <f>SUM(E46:E49)</f>
        <v>17257465.2</v>
      </c>
      <c r="F50" s="272">
        <f>(+D50-E50)/E50</f>
        <v>-0.01614209889874193</v>
      </c>
      <c r="G50" s="249">
        <f>D50/C50</f>
        <v>0.11078246561669981</v>
      </c>
      <c r="H50" s="270">
        <f>1-G50</f>
        <v>0.8892175343833002</v>
      </c>
      <c r="I50" s="157"/>
    </row>
    <row r="51" spans="1:9" ht="15.75" thickTop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>
      <c r="A52" s="164" t="s">
        <v>67</v>
      </c>
      <c r="B52" s="165">
        <f>DATE(17,7,1)</f>
        <v>6392</v>
      </c>
      <c r="C52" s="226">
        <v>109468070.42</v>
      </c>
      <c r="D52" s="226">
        <v>10118088.25</v>
      </c>
      <c r="E52" s="226">
        <v>8936566.59</v>
      </c>
      <c r="F52" s="166">
        <f>(+D52-E52)/E52</f>
        <v>0.13221203558446265</v>
      </c>
      <c r="G52" s="241">
        <f>D52/C52</f>
        <v>0.09242958436354615</v>
      </c>
      <c r="H52" s="242">
        <f>1-G52</f>
        <v>0.9075704156364539</v>
      </c>
      <c r="I52" s="157"/>
    </row>
    <row r="53" spans="1:9" ht="15.75">
      <c r="A53" s="164"/>
      <c r="B53" s="165">
        <f>DATE(17,8,1)</f>
        <v>6423</v>
      </c>
      <c r="C53" s="226">
        <v>102310953.37</v>
      </c>
      <c r="D53" s="226">
        <v>10081520.41</v>
      </c>
      <c r="E53" s="226">
        <v>7748842.64</v>
      </c>
      <c r="F53" s="166">
        <f>(+D53-E53)/E53</f>
        <v>0.3010356356907514</v>
      </c>
      <c r="G53" s="241">
        <f>D53/C53</f>
        <v>0.09853803603550566</v>
      </c>
      <c r="H53" s="242">
        <f>1-G53</f>
        <v>0.9014619639644943</v>
      </c>
      <c r="I53" s="157"/>
    </row>
    <row r="54" spans="1:9" ht="15.75">
      <c r="A54" s="164"/>
      <c r="B54" s="165">
        <f>DATE(17,9,1)</f>
        <v>6454</v>
      </c>
      <c r="C54" s="226">
        <v>103135206.2</v>
      </c>
      <c r="D54" s="226">
        <v>9642813.36</v>
      </c>
      <c r="E54" s="226">
        <v>8194684.76</v>
      </c>
      <c r="F54" s="166">
        <f>(+D54-E54)/E54</f>
        <v>0.17671559582970459</v>
      </c>
      <c r="G54" s="241">
        <f>D54/C54</f>
        <v>0.09349681563927488</v>
      </c>
      <c r="H54" s="242">
        <f>1-G54</f>
        <v>0.9065031843607251</v>
      </c>
      <c r="I54" s="157"/>
    </row>
    <row r="55" spans="1:9" ht="15.75" thickBot="1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Bot="1" thickTop="1">
      <c r="A56" s="174" t="s">
        <v>14</v>
      </c>
      <c r="B56" s="175"/>
      <c r="C56" s="228">
        <f>SUM(C52:C55)</f>
        <v>314914229.99</v>
      </c>
      <c r="D56" s="230">
        <f>SUM(D52:D55)</f>
        <v>29842422.02</v>
      </c>
      <c r="E56" s="271">
        <f>SUM(E52:E55)</f>
        <v>24880093.990000002</v>
      </c>
      <c r="F56" s="176">
        <f>(+D56-E56)/E56</f>
        <v>0.19944973005304942</v>
      </c>
      <c r="G56" s="249">
        <f>D56/C56</f>
        <v>0.09476365047380562</v>
      </c>
      <c r="H56" s="270">
        <f>1-G56</f>
        <v>0.9052363495261944</v>
      </c>
      <c r="I56" s="157"/>
    </row>
    <row r="57" spans="1:9" ht="15.75" thickTop="1">
      <c r="A57" s="167"/>
      <c r="B57" s="179"/>
      <c r="C57" s="229"/>
      <c r="D57" s="229"/>
      <c r="E57" s="229"/>
      <c r="F57" s="180"/>
      <c r="G57" s="247"/>
      <c r="H57" s="248"/>
      <c r="I57" s="157"/>
    </row>
    <row r="58" spans="1:9" ht="15.75">
      <c r="A58" s="164" t="s">
        <v>18</v>
      </c>
      <c r="B58" s="165">
        <f>DATE(17,7,1)</f>
        <v>6392</v>
      </c>
      <c r="C58" s="226">
        <v>149607316.71</v>
      </c>
      <c r="D58" s="226">
        <v>13990899.67</v>
      </c>
      <c r="E58" s="226">
        <v>14874442.41</v>
      </c>
      <c r="F58" s="166">
        <f>(+D58-E58)/E58</f>
        <v>-0.05940005787416943</v>
      </c>
      <c r="G58" s="241">
        <f>D58/C58</f>
        <v>0.0935174828188388</v>
      </c>
      <c r="H58" s="242">
        <f>1-G58</f>
        <v>0.9064825171811612</v>
      </c>
      <c r="I58" s="157"/>
    </row>
    <row r="59" spans="1:9" ht="15.75">
      <c r="A59" s="164"/>
      <c r="B59" s="165">
        <f>DATE(17,8,1)</f>
        <v>6423</v>
      </c>
      <c r="C59" s="226">
        <v>139476395.92</v>
      </c>
      <c r="D59" s="226">
        <v>13373041.55</v>
      </c>
      <c r="E59" s="226">
        <v>13587466.12</v>
      </c>
      <c r="F59" s="166">
        <f>(+D59-E59)/E59</f>
        <v>-0.015781056460878847</v>
      </c>
      <c r="G59" s="241">
        <f>D59/C59</f>
        <v>0.0958803205502272</v>
      </c>
      <c r="H59" s="242">
        <f>1-G59</f>
        <v>0.9041196794497728</v>
      </c>
      <c r="I59" s="157"/>
    </row>
    <row r="60" spans="1:9" ht="15.75">
      <c r="A60" s="164"/>
      <c r="B60" s="165">
        <f>DATE(17,9,1)</f>
        <v>6454</v>
      </c>
      <c r="C60" s="226">
        <v>135403810.23</v>
      </c>
      <c r="D60" s="226">
        <v>13392030.43</v>
      </c>
      <c r="E60" s="226">
        <v>13653509.51</v>
      </c>
      <c r="F60" s="166">
        <f>(+D60-E60)/E60</f>
        <v>-0.019151052687844804</v>
      </c>
      <c r="G60" s="241">
        <f>D60/C60</f>
        <v>0.0989043839109992</v>
      </c>
      <c r="H60" s="242">
        <f>1-G60</f>
        <v>0.9010956160890008</v>
      </c>
      <c r="I60" s="157"/>
    </row>
    <row r="61" spans="1:9" ht="15.75" customHeight="1" thickBot="1">
      <c r="A61" s="164"/>
      <c r="B61" s="165"/>
      <c r="C61" s="226"/>
      <c r="D61" s="226"/>
      <c r="E61" s="226"/>
      <c r="F61" s="166"/>
      <c r="G61" s="241"/>
      <c r="H61" s="242"/>
      <c r="I61" s="157"/>
    </row>
    <row r="62" spans="1:9" ht="17.25" thickBot="1" thickTop="1">
      <c r="A62" s="174" t="s">
        <v>14</v>
      </c>
      <c r="B62" s="181"/>
      <c r="C62" s="228">
        <f>SUM(C58:C61)</f>
        <v>424487522.86</v>
      </c>
      <c r="D62" s="228">
        <f>SUM(D58:D61)</f>
        <v>40755971.65</v>
      </c>
      <c r="E62" s="228">
        <f>SUM(E58:E61)</f>
        <v>42115418.04</v>
      </c>
      <c r="F62" s="176">
        <f>(+D62-E62)/E62</f>
        <v>-0.03227906674721447</v>
      </c>
      <c r="G62" s="245">
        <f>D62/C62</f>
        <v>0.09601217810927673</v>
      </c>
      <c r="H62" s="246">
        <f>1-G62</f>
        <v>0.9039878218907232</v>
      </c>
      <c r="I62" s="157"/>
    </row>
    <row r="63" spans="1:9" ht="15.75" thickTop="1">
      <c r="A63" s="171"/>
      <c r="B63" s="172"/>
      <c r="C63" s="227"/>
      <c r="D63" s="227"/>
      <c r="E63" s="227"/>
      <c r="F63" s="173"/>
      <c r="G63" s="243"/>
      <c r="H63" s="244"/>
      <c r="I63" s="157"/>
    </row>
    <row r="64" spans="1:9" ht="15.75">
      <c r="A64" s="164" t="s">
        <v>58</v>
      </c>
      <c r="B64" s="165">
        <f>DATE(17,7,1)</f>
        <v>6392</v>
      </c>
      <c r="C64" s="226">
        <v>187696645.78</v>
      </c>
      <c r="D64" s="226">
        <v>17449857.02</v>
      </c>
      <c r="E64" s="226">
        <v>18055170.59</v>
      </c>
      <c r="F64" s="166">
        <f>(+D64-E64)/E64</f>
        <v>-0.03352577407024102</v>
      </c>
      <c r="G64" s="241">
        <f>D64/C64</f>
        <v>0.09296840094016942</v>
      </c>
      <c r="H64" s="242">
        <f>1-G64</f>
        <v>0.9070315990598306</v>
      </c>
      <c r="I64" s="157"/>
    </row>
    <row r="65" spans="1:9" ht="15.75">
      <c r="A65" s="164"/>
      <c r="B65" s="165">
        <f>DATE(17,8,1)</f>
        <v>6423</v>
      </c>
      <c r="C65" s="226">
        <v>180877315.36</v>
      </c>
      <c r="D65" s="226">
        <v>16610228.17</v>
      </c>
      <c r="E65" s="226">
        <v>16341152.65</v>
      </c>
      <c r="F65" s="166">
        <f>(+D65-E65)/E65</f>
        <v>0.01646612853836841</v>
      </c>
      <c r="G65" s="241">
        <f>D65/C65</f>
        <v>0.09183146121414215</v>
      </c>
      <c r="H65" s="242">
        <f>1-G65</f>
        <v>0.9081685387858578</v>
      </c>
      <c r="I65" s="157"/>
    </row>
    <row r="66" spans="1:9" ht="15.75">
      <c r="A66" s="164"/>
      <c r="B66" s="165">
        <f>DATE(17,9,1)</f>
        <v>6454</v>
      </c>
      <c r="C66" s="226">
        <v>179839451.12</v>
      </c>
      <c r="D66" s="226">
        <v>16301470.13</v>
      </c>
      <c r="E66" s="226">
        <v>15682621.27</v>
      </c>
      <c r="F66" s="166">
        <f>(+D66-E66)/E66</f>
        <v>0.03946080501120214</v>
      </c>
      <c r="G66" s="241">
        <f>D66/C66</f>
        <v>0.09064457230311858</v>
      </c>
      <c r="H66" s="242">
        <f>1-G66</f>
        <v>0.9093554276968814</v>
      </c>
      <c r="I66" s="157"/>
    </row>
    <row r="67" spans="1:9" ht="15.75" thickBot="1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Bot="1" thickTop="1">
      <c r="A68" s="174" t="s">
        <v>14</v>
      </c>
      <c r="B68" s="175"/>
      <c r="C68" s="228">
        <f>SUM(C64:C67)</f>
        <v>548413412.26</v>
      </c>
      <c r="D68" s="228">
        <f>SUM(D64:D67)</f>
        <v>50361555.32</v>
      </c>
      <c r="E68" s="228">
        <f>SUM(E64:E67)</f>
        <v>50078944.510000005</v>
      </c>
      <c r="F68" s="176">
        <f>(+D68-E68)/E68</f>
        <v>0.005643306039398691</v>
      </c>
      <c r="G68" s="249">
        <f>D68/C68</f>
        <v>0.09183137063052689</v>
      </c>
      <c r="H68" s="270">
        <f>1-G68</f>
        <v>0.9081686293694731</v>
      </c>
      <c r="I68" s="157"/>
    </row>
    <row r="69" spans="1:9" ht="15.7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>
      <c r="A70" s="164" t="s">
        <v>59</v>
      </c>
      <c r="B70" s="165">
        <f>DATE(17,7,1)</f>
        <v>6392</v>
      </c>
      <c r="C70" s="226">
        <v>23593924.79</v>
      </c>
      <c r="D70" s="226">
        <v>2744349.13</v>
      </c>
      <c r="E70" s="226">
        <v>2795817.88</v>
      </c>
      <c r="F70" s="166">
        <f>(+D70-E70)/E70</f>
        <v>-0.01840919266171944</v>
      </c>
      <c r="G70" s="241">
        <f>D70/C70</f>
        <v>0.11631592261255148</v>
      </c>
      <c r="H70" s="242">
        <f>1-G70</f>
        <v>0.8836840773874485</v>
      </c>
      <c r="I70" s="157"/>
    </row>
    <row r="71" spans="1:9" ht="15.75">
      <c r="A71" s="164"/>
      <c r="B71" s="165">
        <f>DATE(17,8,1)</f>
        <v>6423</v>
      </c>
      <c r="C71" s="226">
        <v>21507122.18</v>
      </c>
      <c r="D71" s="226">
        <v>2540959.26</v>
      </c>
      <c r="E71" s="226">
        <v>2610502.16</v>
      </c>
      <c r="F71" s="166">
        <f>(+D71-E71)/E71</f>
        <v>-0.026639663841534753</v>
      </c>
      <c r="G71" s="241">
        <f>D71/C71</f>
        <v>0.11814501441587104</v>
      </c>
      <c r="H71" s="242">
        <f>1-G71</f>
        <v>0.881854985584129</v>
      </c>
      <c r="I71" s="157"/>
    </row>
    <row r="72" spans="1:9" ht="15.75">
      <c r="A72" s="164"/>
      <c r="B72" s="165">
        <f>DATE(17,9,1)</f>
        <v>6454</v>
      </c>
      <c r="C72" s="226">
        <v>22920807.74</v>
      </c>
      <c r="D72" s="226">
        <v>2634253.17</v>
      </c>
      <c r="E72" s="226">
        <v>2597489.31</v>
      </c>
      <c r="F72" s="166">
        <f>(+D72-E72)/E72</f>
        <v>0.01415361359081007</v>
      </c>
      <c r="G72" s="241">
        <f>D72/C72</f>
        <v>0.11492846150455953</v>
      </c>
      <c r="H72" s="242">
        <f>1-G72</f>
        <v>0.8850715384954405</v>
      </c>
      <c r="I72" s="157"/>
    </row>
    <row r="73" spans="1:9" ht="15.75" thickBot="1">
      <c r="A73" s="167"/>
      <c r="B73" s="168"/>
      <c r="C73" s="226"/>
      <c r="D73" s="226"/>
      <c r="E73" s="226"/>
      <c r="F73" s="166"/>
      <c r="G73" s="241"/>
      <c r="H73" s="242"/>
      <c r="I73" s="157"/>
    </row>
    <row r="74" spans="1:9" ht="17.25" thickBot="1" thickTop="1">
      <c r="A74" s="182" t="s">
        <v>14</v>
      </c>
      <c r="B74" s="183"/>
      <c r="C74" s="230">
        <f>SUM(C70:C73)</f>
        <v>68021854.71</v>
      </c>
      <c r="D74" s="230">
        <f>SUM(D70:D73)</f>
        <v>7919561.56</v>
      </c>
      <c r="E74" s="230">
        <f>SUM(E70:E73)</f>
        <v>8003809.35</v>
      </c>
      <c r="F74" s="176">
        <f>(+D74-E74)/E74</f>
        <v>-0.010525961616014759</v>
      </c>
      <c r="G74" s="249">
        <f>D74/C74</f>
        <v>0.11642672187878073</v>
      </c>
      <c r="H74" s="246">
        <f>1-G74</f>
        <v>0.8835732781212193</v>
      </c>
      <c r="I74" s="157"/>
    </row>
    <row r="75" spans="1:9" ht="15.75" thickTop="1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.75">
      <c r="A76" s="164" t="s">
        <v>40</v>
      </c>
      <c r="B76" s="165">
        <f>DATE(17,7,1)</f>
        <v>6392</v>
      </c>
      <c r="C76" s="226">
        <v>226837676.51</v>
      </c>
      <c r="D76" s="226">
        <v>20250233.59</v>
      </c>
      <c r="E76" s="226">
        <v>20041496.31</v>
      </c>
      <c r="F76" s="166">
        <f>(+D76-E76)/E76</f>
        <v>0.010415254269006285</v>
      </c>
      <c r="G76" s="241">
        <f>D76/C76</f>
        <v>0.08927191417915657</v>
      </c>
      <c r="H76" s="242">
        <f>1-G76</f>
        <v>0.9107280858208434</v>
      </c>
      <c r="I76" s="157"/>
    </row>
    <row r="77" spans="1:9" ht="15.75">
      <c r="A77" s="164"/>
      <c r="B77" s="165">
        <f>DATE(17,8,1)</f>
        <v>6423</v>
      </c>
      <c r="C77" s="226">
        <v>203505092.13</v>
      </c>
      <c r="D77" s="226">
        <v>18649872.98</v>
      </c>
      <c r="E77" s="226">
        <v>18005684.83</v>
      </c>
      <c r="F77" s="166">
        <f>(+D77-E77)/E77</f>
        <v>0.03577693134596549</v>
      </c>
      <c r="G77" s="241">
        <f>D77/C77</f>
        <v>0.09164327430237655</v>
      </c>
      <c r="H77" s="242">
        <f>1-G77</f>
        <v>0.9083567256976235</v>
      </c>
      <c r="I77" s="157"/>
    </row>
    <row r="78" spans="1:9" ht="15.75">
      <c r="A78" s="164"/>
      <c r="B78" s="165">
        <f>DATE(17,9,1)</f>
        <v>6454</v>
      </c>
      <c r="C78" s="226">
        <v>207713230.86</v>
      </c>
      <c r="D78" s="226">
        <v>18447643.87</v>
      </c>
      <c r="E78" s="226">
        <v>18830129.89</v>
      </c>
      <c r="F78" s="166">
        <f>(+D78-E78)/E78</f>
        <v>-0.020312447244621716</v>
      </c>
      <c r="G78" s="241">
        <f>D78/C78</f>
        <v>0.08881304187326336</v>
      </c>
      <c r="H78" s="242">
        <f>1-G78</f>
        <v>0.9111869581267367</v>
      </c>
      <c r="I78" s="157"/>
    </row>
    <row r="79" spans="1:9" ht="15.75" thickBot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7.25" thickBot="1" thickTop="1">
      <c r="A80" s="174" t="s">
        <v>14</v>
      </c>
      <c r="B80" s="175"/>
      <c r="C80" s="228">
        <f>SUM(C76:C79)</f>
        <v>638055999.5</v>
      </c>
      <c r="D80" s="228">
        <f>SUM(D76:D79)</f>
        <v>57347750.44</v>
      </c>
      <c r="E80" s="228">
        <f>SUM(E76:E79)</f>
        <v>56877311.03</v>
      </c>
      <c r="F80" s="176">
        <f>(+D80-E80)/E80</f>
        <v>0.008271126069090409</v>
      </c>
      <c r="G80" s="245">
        <f>D80/C80</f>
        <v>0.089878867191813</v>
      </c>
      <c r="H80" s="246">
        <f>1-G80</f>
        <v>0.910121132808187</v>
      </c>
      <c r="I80" s="157"/>
    </row>
    <row r="81" spans="1:9" ht="15.75" thickTop="1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.75">
      <c r="A82" s="164" t="s">
        <v>64</v>
      </c>
      <c r="B82" s="165">
        <f>DATE(17,7,1)</f>
        <v>6392</v>
      </c>
      <c r="C82" s="226">
        <v>26722604.05</v>
      </c>
      <c r="D82" s="226">
        <v>3031134.15</v>
      </c>
      <c r="E82" s="226">
        <v>3216307.57</v>
      </c>
      <c r="F82" s="166">
        <f>(+D82-E82)/E82</f>
        <v>-0.057573293588958574</v>
      </c>
      <c r="G82" s="241">
        <f>D82/C82</f>
        <v>0.11342959482273958</v>
      </c>
      <c r="H82" s="242">
        <f>1-G82</f>
        <v>0.8865704051772604</v>
      </c>
      <c r="I82" s="157"/>
    </row>
    <row r="83" spans="1:9" ht="15.75">
      <c r="A83" s="164"/>
      <c r="B83" s="165">
        <f>DATE(17,8,1)</f>
        <v>6423</v>
      </c>
      <c r="C83" s="226">
        <v>27214005.58</v>
      </c>
      <c r="D83" s="226">
        <v>3021204.93</v>
      </c>
      <c r="E83" s="226">
        <v>3011271.54</v>
      </c>
      <c r="F83" s="166">
        <f>(+D83-E83)/E83</f>
        <v>0.003298736054869409</v>
      </c>
      <c r="G83" s="241">
        <f>D83/C83</f>
        <v>0.11101654701725833</v>
      </c>
      <c r="H83" s="242">
        <f>1-G83</f>
        <v>0.8889834529827416</v>
      </c>
      <c r="I83" s="157"/>
    </row>
    <row r="84" spans="1:9" ht="15.75">
      <c r="A84" s="164"/>
      <c r="B84" s="165">
        <f>DATE(17,9,1)</f>
        <v>6454</v>
      </c>
      <c r="C84" s="226">
        <v>29416618.56</v>
      </c>
      <c r="D84" s="226">
        <v>3254625.5</v>
      </c>
      <c r="E84" s="226">
        <v>2994225.71</v>
      </c>
      <c r="F84" s="166">
        <f>(+D84-E84)/E84</f>
        <v>0.08696732151164384</v>
      </c>
      <c r="G84" s="241">
        <f>D84/C84</f>
        <v>0.11063900812942384</v>
      </c>
      <c r="H84" s="242">
        <f>1-G84</f>
        <v>0.8893609918705762</v>
      </c>
      <c r="I84" s="157"/>
    </row>
    <row r="85" spans="1:9" ht="15.75" thickBot="1">
      <c r="A85" s="167"/>
      <c r="B85" s="168"/>
      <c r="C85" s="226"/>
      <c r="D85" s="226"/>
      <c r="E85" s="226"/>
      <c r="F85" s="166"/>
      <c r="G85" s="241"/>
      <c r="H85" s="242"/>
      <c r="I85" s="157"/>
    </row>
    <row r="86" spans="1:9" ht="17.25" thickBot="1" thickTop="1">
      <c r="A86" s="169" t="s">
        <v>14</v>
      </c>
      <c r="B86" s="155"/>
      <c r="C86" s="223">
        <f>SUM(C82:C85)</f>
        <v>83353228.19</v>
      </c>
      <c r="D86" s="223">
        <f>SUM(D82:D85)</f>
        <v>9306964.58</v>
      </c>
      <c r="E86" s="223">
        <f>SUM(E82:E85)</f>
        <v>9221804.82</v>
      </c>
      <c r="F86" s="176">
        <f>(+D86-E86)/E86</f>
        <v>0.009234608806218453</v>
      </c>
      <c r="G86" s="245">
        <f>D86/C86</f>
        <v>0.11165691817940375</v>
      </c>
      <c r="H86" s="246">
        <f>1-G86</f>
        <v>0.8883430818205963</v>
      </c>
      <c r="I86" s="157"/>
    </row>
    <row r="87" spans="1:9" ht="16.5" thickBot="1" thickTop="1">
      <c r="A87" s="171"/>
      <c r="B87" s="172"/>
      <c r="C87" s="227"/>
      <c r="D87" s="227"/>
      <c r="E87" s="227"/>
      <c r="F87" s="173"/>
      <c r="G87" s="243"/>
      <c r="H87" s="244"/>
      <c r="I87" s="157"/>
    </row>
    <row r="88" spans="1:9" ht="17.25" thickBot="1" thickTop="1">
      <c r="A88" s="184" t="s">
        <v>41</v>
      </c>
      <c r="B88" s="155"/>
      <c r="C88" s="223">
        <f>C86+C80+C62+C50+C38+C26+C14+C32+C74+C20+C56+C68+C44</f>
        <v>3945359178.83</v>
      </c>
      <c r="D88" s="223">
        <f>D86+D80+D62+D50+D38+D26+D14+D32+D74+D20+D56+D68+D44</f>
        <v>378341986.99999994</v>
      </c>
      <c r="E88" s="223">
        <f>E86+E80+E62+E50+E38+E26+E14+E32+E74+E20+E56+E68+E44</f>
        <v>371797574.5</v>
      </c>
      <c r="F88" s="170">
        <f>(+D88-E88)/E88</f>
        <v>0.017602084975408952</v>
      </c>
      <c r="G88" s="236">
        <f>D88/C88</f>
        <v>0.09589544825984579</v>
      </c>
      <c r="H88" s="237">
        <f>1-G88</f>
        <v>0.9041045517401542</v>
      </c>
      <c r="I88" s="157"/>
    </row>
    <row r="89" spans="1:9" ht="17.25" thickBot="1" thickTop="1">
      <c r="A89" s="184"/>
      <c r="B89" s="155"/>
      <c r="C89" s="223"/>
      <c r="D89" s="223"/>
      <c r="E89" s="223"/>
      <c r="F89" s="170"/>
      <c r="G89" s="236"/>
      <c r="H89" s="237"/>
      <c r="I89" s="157"/>
    </row>
    <row r="90" spans="1:9" ht="17.25" thickBot="1" thickTop="1">
      <c r="A90" s="184" t="s">
        <v>42</v>
      </c>
      <c r="B90" s="155"/>
      <c r="C90" s="223">
        <f>+C12+C18+C24+C30+C36+C42+C48+C54+C60+C66+C72+C78+C84</f>
        <v>1292480309</v>
      </c>
      <c r="D90" s="223">
        <f>+D12+D18+D24+D30+D36+D42+D48+D54+D60+D66+D72+D78+D84</f>
        <v>123955528.33</v>
      </c>
      <c r="E90" s="223">
        <f>+E12+E18+E24+E30+E36+E42+E48+E54+E60+E66+E72+E78+E84</f>
        <v>120549998.83999999</v>
      </c>
      <c r="F90" s="170">
        <f>(+D90-E90)/E90</f>
        <v>0.02824993382637854</v>
      </c>
      <c r="G90" s="236">
        <f>D90/C90</f>
        <v>0.09590515806457829</v>
      </c>
      <c r="H90" s="246">
        <f>1-G90</f>
        <v>0.9040948419354217</v>
      </c>
      <c r="I90" s="157"/>
    </row>
    <row r="91" spans="1:9" ht="16.5" thickTop="1">
      <c r="A91" s="185"/>
      <c r="B91" s="186"/>
      <c r="C91" s="231"/>
      <c r="D91" s="231"/>
      <c r="E91" s="231"/>
      <c r="F91" s="187"/>
      <c r="G91" s="250"/>
      <c r="H91" s="250"/>
      <c r="I91" s="151"/>
    </row>
    <row r="92" spans="1:9" ht="16.5" customHeight="1">
      <c r="A92" s="188" t="s">
        <v>52</v>
      </c>
      <c r="B92" s="189"/>
      <c r="C92" s="232"/>
      <c r="D92" s="232"/>
      <c r="E92" s="232"/>
      <c r="F92" s="190"/>
      <c r="G92" s="251"/>
      <c r="H92" s="251"/>
      <c r="I92" s="151"/>
    </row>
    <row r="93" spans="1:9" ht="15.75">
      <c r="A93" s="191"/>
      <c r="B93" s="189"/>
      <c r="C93" s="232"/>
      <c r="D93" s="232"/>
      <c r="E93" s="232"/>
      <c r="F93" s="190"/>
      <c r="G93" s="257"/>
      <c r="H93" s="257"/>
      <c r="I93" s="151"/>
    </row>
    <row r="94" spans="1:9" ht="15.75">
      <c r="A94" s="72"/>
      <c r="I94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2017-10-05T13:51:52Z</cp:lastPrinted>
  <dcterms:created xsi:type="dcterms:W3CDTF">2003-09-09T14:41:43Z</dcterms:created>
  <dcterms:modified xsi:type="dcterms:W3CDTF">2017-10-05T20:05:24Z</dcterms:modified>
  <cp:category/>
  <cp:version/>
  <cp:contentType/>
  <cp:contentStatus/>
</cp:coreProperties>
</file>