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STATS'!$A$1:$M$65</definedName>
    <definedName name="_xlnm.Print_Area" localSheetId="3">'SLOT STATS'!$A$1:$I$66</definedName>
    <definedName name="_xlnm.Print_Area" localSheetId="2">'TABLE STATS'!$A$1:$H$65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<sst xmlns="http://schemas.openxmlformats.org/spreadsheetml/2006/main" count="192" uniqueCount="75">
  <si>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</si>
  <si>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</si>
  <si>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</si>
  <si>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</si>
  <si>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</si>
  <si>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</si>
  <si>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</si>
  <si>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</si>
  <si>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</si>
  <si>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</si>
  <si>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</si>
  <si>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</si>
  <si>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</si>
  <si>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</si>
  <si>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</si>
  <si>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</si>
  <si>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</si>
  <si>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</si>
  <si>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</si>
  <si>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</si>
  <si>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</si>
  <si>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</si>
  <si>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</si>
  <si>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</si>
  <si>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</si>
  <si>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</si>
  <si>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</si>
  <si>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</si>
  <si>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</si>
  <si>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</si>
  <si>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</si>
  <si>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</si>
  <si>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</si>
  <si>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</si>
  <si>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</si>
  <si>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</si>
  <si>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</si>
  <si>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</si>
  <si>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</si>
  <si>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</si>
  <si>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</si>
  <si>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</si>
  <si>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</si>
  <si>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</si>
  <si>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</si>
  <si>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</si>
  <si>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</si>
  <si>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</si>
  <si>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</si>
  <si>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</si>
  <si>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</si>
  <si>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</si>
  <si>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</si>
  <si>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</si>
  <si>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</si>
  <si>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</si>
  <si>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</si>
  <si>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</si>
  <si>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</si>
  <si>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</si>
  <si>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</si>
  <si>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</si>
  <si>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</si>
  <si>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</si>
  <si>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</si>
  <si>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</si>
  <si>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</si>
  <si>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</si>
  <si>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</si>
  <si>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JULY 31, 2017</t>
  </si>
  <si>
    <t>(as reported on the tax remittal database dtd 8/9/17)</t>
  </si>
  <si>
    <t>FOR THE MONTH ENDED:   JULY 31, 2017</t>
  </si>
  <si>
    <t>THRU MONTH ENDED:   JULY 31, 2017</t>
  </si>
  <si>
    <t>(as reported on the tax remittal database as of 8/9/17)</t>
  </si>
  <si>
    <t>THRU MONTH ENDED:     JULY 31,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</si>
</sst>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>(+C9-D9)/D9</f>
        <v>-0.06547594538181103</v>
      </c>
      <c r="F9" s="21">
        <f>+C9-138811</f>
        <v>156236</v>
      </c>
      <c r="G9" s="21">
        <f>+D9-154398</f>
        <v>161321</v>
      </c>
      <c r="H9" s="23">
        <f>(+F9-G9)/G9</f>
        <v>-0.031521004704905126</v>
      </c>
      <c r="I9" s="24">
        <f>K9/C9</f>
        <v>47.93787274569814</v>
      </c>
      <c r="J9" s="24">
        <f>K9/F9</f>
        <v>90.52923487544483</v>
      </c>
      <c r="K9" s="21">
        <v>14143925.54</v>
      </c>
      <c r="L9" s="21">
        <v>13957245.75</v>
      </c>
      <c r="M9" s="25">
        <f>(+K9-L9)/L9</f>
        <v>0.013375116648641019</v>
      </c>
      <c r="N9" s="10"/>
      <c r="R9" s="2"/>
    </row>
    <row r="10" spans="1:18" ht="15.75" customHeight="1" thickBot="1">
      <c r="A10" s="19"/>
      <c r="B10" s="20"/>
      <c r="C10" s="21"/>
      <c r="D10" s="21"/>
      <c r="E10" s="23"/>
      <c r="F10" s="21"/>
      <c r="G10" s="21"/>
      <c r="H10" s="23"/>
      <c r="I10" s="24"/>
      <c r="J10" s="24"/>
      <c r="K10" s="21"/>
      <c r="L10" s="21"/>
      <c r="M10" s="25"/>
      <c r="N10" s="10"/>
      <c r="R10" s="2"/>
    </row>
    <row r="11" spans="1:18" ht="17.25" thickBot="1" thickTop="1">
      <c r="A11" s="26" t="s">
        <v>14</v>
      </c>
      <c r="B11" s="27"/>
      <c r="C11" s="28">
        <f>SUM(C9:C10)</f>
        <v>295047</v>
      </c>
      <c r="D11" s="28">
        <f>SUM(D9:D10)</f>
        <v>315719</v>
      </c>
      <c r="E11" s="279">
        <f>(+C11-D11)/D11</f>
        <v>-0.06547594538181103</v>
      </c>
      <c r="F11" s="28">
        <f>SUM(F9:F10)</f>
        <v>156236</v>
      </c>
      <c r="G11" s="28">
        <f>SUM(G9:G10)</f>
        <v>161321</v>
      </c>
      <c r="H11" s="30">
        <f>(+F11-G11)/G11</f>
        <v>-0.031521004704905126</v>
      </c>
      <c r="I11" s="31">
        <f>K11/C11</f>
        <v>47.93787274569814</v>
      </c>
      <c r="J11" s="31">
        <f>K11/F11</f>
        <v>90.52923487544483</v>
      </c>
      <c r="K11" s="28">
        <f>SUM(K9:K10)</f>
        <v>14143925.54</v>
      </c>
      <c r="L11" s="28">
        <f>SUM(L9:L10)</f>
        <v>13957245.75</v>
      </c>
      <c r="M11" s="32">
        <f>(+K11-L11)/L11</f>
        <v>0.013375116648641019</v>
      </c>
      <c r="N11" s="10"/>
      <c r="R11" s="2"/>
    </row>
    <row r="12" spans="1:18" ht="15.75" customHeight="1" thickTop="1">
      <c r="A12" s="15"/>
      <c r="B12" s="16"/>
      <c r="C12" s="16"/>
      <c r="D12" s="16"/>
      <c r="E12" s="17"/>
      <c r="F12" s="16"/>
      <c r="G12" s="16"/>
      <c r="H12" s="17"/>
      <c r="I12" s="16"/>
      <c r="J12" s="16"/>
      <c r="K12" s="195"/>
      <c r="L12" s="195"/>
      <c r="M12" s="18"/>
      <c r="N12" s="10"/>
      <c r="R12" s="2"/>
    </row>
    <row r="13" spans="1:18" ht="15.75">
      <c r="A13" s="19" t="s">
        <v>15</v>
      </c>
      <c r="B13" s="20">
        <f>DATE(2017,7,1)</f>
        <v>42917</v>
      </c>
      <c r="C13" s="21">
        <v>154485</v>
      </c>
      <c r="D13" s="21">
        <v>168156</v>
      </c>
      <c r="E13" s="23">
        <f>(+C13-D13)/D13</f>
        <v>-0.08129950760008564</v>
      </c>
      <c r="F13" s="21">
        <f>+C13-74453</f>
        <v>80032</v>
      </c>
      <c r="G13" s="21">
        <f>+D13-80472</f>
        <v>87684</v>
      </c>
      <c r="H13" s="23">
        <f>(+F13-G13)/G13</f>
        <v>-0.08726791660964373</v>
      </c>
      <c r="I13" s="24">
        <f>K13/C13</f>
        <v>48.313623976437846</v>
      </c>
      <c r="J13" s="24">
        <f>K13/F13</f>
        <v>93.2593237704918</v>
      </c>
      <c r="K13" s="21">
        <v>7463730.2</v>
      </c>
      <c r="L13" s="21">
        <v>7571219.54</v>
      </c>
      <c r="M13" s="25">
        <f>(+K13-L13)/L13</f>
        <v>-0.014197097235407845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customHeight="1" thickBot="1" thickTop="1">
      <c r="A15" s="26" t="s">
        <v>14</v>
      </c>
      <c r="B15" s="27"/>
      <c r="C15" s="28">
        <f>SUM(C13:C14)</f>
        <v>154485</v>
      </c>
      <c r="D15" s="28">
        <f>SUM(D13:D14)</f>
        <v>168156</v>
      </c>
      <c r="E15" s="279">
        <f>(+C15-D15)/D15</f>
        <v>-0.08129950760008564</v>
      </c>
      <c r="F15" s="28">
        <f>SUM(F13:F14)</f>
        <v>80032</v>
      </c>
      <c r="G15" s="28">
        <f>SUM(G13:G14)</f>
        <v>87684</v>
      </c>
      <c r="H15" s="30">
        <f>(+F15-G15)/G15</f>
        <v>-0.08726791660964373</v>
      </c>
      <c r="I15" s="31">
        <f>K15/C15</f>
        <v>48.313623976437846</v>
      </c>
      <c r="J15" s="31">
        <f>K15/F15</f>
        <v>93.2593237704918</v>
      </c>
      <c r="K15" s="28">
        <f>SUM(K13:K14)</f>
        <v>7463730.2</v>
      </c>
      <c r="L15" s="28">
        <f>SUM(L13:L14)</f>
        <v>7571219.54</v>
      </c>
      <c r="M15" s="32">
        <f>(+K15-L15)/L15</f>
        <v>-0.014197097235407845</v>
      </c>
      <c r="N15" s="10"/>
      <c r="R15" s="2"/>
    </row>
    <row r="16" spans="1:18" ht="15.75" customHeight="1" thickTop="1">
      <c r="A16" s="33"/>
      <c r="B16" s="34"/>
      <c r="C16" s="35"/>
      <c r="D16" s="35"/>
      <c r="E16" s="29"/>
      <c r="F16" s="35"/>
      <c r="G16" s="35"/>
      <c r="H16" s="29"/>
      <c r="I16" s="36"/>
      <c r="J16" s="36"/>
      <c r="K16" s="35"/>
      <c r="L16" s="35"/>
      <c r="M16" s="37"/>
      <c r="N16" s="10"/>
      <c r="R16" s="2"/>
    </row>
    <row r="17" spans="1:18" ht="15.75" customHeight="1">
      <c r="A17" s="19" t="s">
        <v>56</v>
      </c>
      <c r="B17" s="20">
        <f>DATE(2017,7,1)</f>
        <v>42917</v>
      </c>
      <c r="C17" s="21">
        <v>74816</v>
      </c>
      <c r="D17" s="21">
        <v>79290</v>
      </c>
      <c r="E17" s="23">
        <f>(+C17-D17)/D17</f>
        <v>-0.05642577878673225</v>
      </c>
      <c r="F17" s="21">
        <f>+C17-41089</f>
        <v>33727</v>
      </c>
      <c r="G17" s="21">
        <f>+D17-44110</f>
        <v>35180</v>
      </c>
      <c r="H17" s="23">
        <f>(+F17-G17)/G17</f>
        <v>-0.04130187606594656</v>
      </c>
      <c r="I17" s="24">
        <f>K17/C17</f>
        <v>43.86536623182207</v>
      </c>
      <c r="J17" s="24">
        <f>K17/F17</f>
        <v>97.305756219053</v>
      </c>
      <c r="K17" s="21">
        <v>3281831.24</v>
      </c>
      <c r="L17" s="21">
        <v>3381483.62</v>
      </c>
      <c r="M17" s="25">
        <f>(+K17-L17)/L17</f>
        <v>-0.029470017069016554</v>
      </c>
      <c r="N17" s="10"/>
      <c r="R17" s="2"/>
    </row>
    <row r="18" spans="1:18" ht="15.75" customHeight="1" thickBot="1">
      <c r="A18" s="38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Bot="1" thickTop="1">
      <c r="A19" s="39" t="s">
        <v>14</v>
      </c>
      <c r="B19" s="40"/>
      <c r="C19" s="41">
        <f>SUM(C17:C18)</f>
        <v>74816</v>
      </c>
      <c r="D19" s="41">
        <f>SUM(D17:D18)</f>
        <v>79290</v>
      </c>
      <c r="E19" s="280">
        <f>(+C19-D19)/D19</f>
        <v>-0.05642577878673225</v>
      </c>
      <c r="F19" s="41">
        <f>SUM(F17:F18)</f>
        <v>33727</v>
      </c>
      <c r="G19" s="41">
        <f>SUM(G17:G18)</f>
        <v>35180</v>
      </c>
      <c r="H19" s="42">
        <f>(+F19-G19)/G19</f>
        <v>-0.04130187606594656</v>
      </c>
      <c r="I19" s="43">
        <f>K19/C19</f>
        <v>43.86536623182207</v>
      </c>
      <c r="J19" s="43">
        <f>K19/F19</f>
        <v>97.305756219053</v>
      </c>
      <c r="K19" s="41">
        <f>SUM(K17:K18)</f>
        <v>3281831.24</v>
      </c>
      <c r="L19" s="41">
        <f>SUM(L17:L18)</f>
        <v>3381483.62</v>
      </c>
      <c r="M19" s="44">
        <f>(+K19-L19)/L19</f>
        <v>-0.029470017069016554</v>
      </c>
      <c r="N19" s="10"/>
      <c r="R19" s="2"/>
    </row>
    <row r="20" spans="1:18" ht="15.75" customHeight="1" thickTop="1">
      <c r="A20" s="38"/>
      <c r="B20" s="45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5.75" customHeight="1">
      <c r="A21" s="177" t="s">
        <v>65</v>
      </c>
      <c r="B21" s="20">
        <f>DATE(2017,7,1)</f>
        <v>42917</v>
      </c>
      <c r="C21" s="21">
        <v>502707</v>
      </c>
      <c r="D21" s="21">
        <v>511183</v>
      </c>
      <c r="E21" s="23">
        <f>(+C21-D21)/D21</f>
        <v>-0.016581146086626513</v>
      </c>
      <c r="F21" s="21">
        <f>+C21-258518</f>
        <v>244189</v>
      </c>
      <c r="G21" s="21">
        <f>+D21-260995</f>
        <v>250188</v>
      </c>
      <c r="H21" s="23">
        <f>(+F21-G21)/G21</f>
        <v>-0.023977968567637137</v>
      </c>
      <c r="I21" s="24">
        <f>K21/C21</f>
        <v>42.25315102037568</v>
      </c>
      <c r="J21" s="24">
        <f>K21/F21</f>
        <v>86.9857151223028</v>
      </c>
      <c r="K21" s="21">
        <v>21240954.79</v>
      </c>
      <c r="L21" s="21">
        <v>21271913.41</v>
      </c>
      <c r="M21" s="25">
        <f>(+K21-L21)/L21</f>
        <v>-0.0014553754240766742</v>
      </c>
      <c r="N21" s="10"/>
      <c r="R21" s="2"/>
    </row>
    <row r="22" spans="1:18" ht="15.75" thickBot="1">
      <c r="A22" s="38"/>
      <c r="B22" s="45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thickBot="1" thickTop="1">
      <c r="A23" s="39" t="s">
        <v>14</v>
      </c>
      <c r="B23" s="40"/>
      <c r="C23" s="41">
        <f>SUM(C21:C22)</f>
        <v>502707</v>
      </c>
      <c r="D23" s="41">
        <f>SUM(D21:D22)</f>
        <v>511183</v>
      </c>
      <c r="E23" s="280">
        <f>(+C23-D23)/D23</f>
        <v>-0.016581146086626513</v>
      </c>
      <c r="F23" s="41">
        <f>SUM(F21:F22)</f>
        <v>244189</v>
      </c>
      <c r="G23" s="41">
        <f>SUM(G21:G22)</f>
        <v>250188</v>
      </c>
      <c r="H23" s="42">
        <f>(+F23-G23)/G23</f>
        <v>-0.023977968567637137</v>
      </c>
      <c r="I23" s="43">
        <f>K23/C23</f>
        <v>42.25315102037568</v>
      </c>
      <c r="J23" s="43">
        <f>K23/F23</f>
        <v>86.9857151223028</v>
      </c>
      <c r="K23" s="41">
        <f>SUM(K21:K22)</f>
        <v>21240954.79</v>
      </c>
      <c r="L23" s="41">
        <f>SUM(L21:L22)</f>
        <v>21271913.41</v>
      </c>
      <c r="M23" s="44">
        <f>(+K23-L23)/L23</f>
        <v>-0.0014553754240766742</v>
      </c>
      <c r="N23" s="10"/>
      <c r="R23" s="2"/>
    </row>
    <row r="24" spans="1:18" ht="15.75" thickTop="1">
      <c r="A24" s="38"/>
      <c r="B24" s="45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5.75">
      <c r="A25" s="19" t="s">
        <v>16</v>
      </c>
      <c r="B25" s="20">
        <f>DATE(2017,7,1)</f>
        <v>42917</v>
      </c>
      <c r="C25" s="21">
        <v>332127</v>
      </c>
      <c r="D25" s="21">
        <v>323462</v>
      </c>
      <c r="E25" s="23">
        <f>(+C25-D25)/D25</f>
        <v>0.026788308982198836</v>
      </c>
      <c r="F25" s="21">
        <f>+C25-153372</f>
        <v>178755</v>
      </c>
      <c r="G25" s="21">
        <f>+D25-151596</f>
        <v>171866</v>
      </c>
      <c r="H25" s="23">
        <f>(+F25-G25)/G25</f>
        <v>0.040083553466072404</v>
      </c>
      <c r="I25" s="24">
        <f>K25/C25</f>
        <v>51.14205313027848</v>
      </c>
      <c r="J25" s="24">
        <f>K25/F25</f>
        <v>95.02199479734833</v>
      </c>
      <c r="K25" s="21">
        <v>16985656.68</v>
      </c>
      <c r="L25" s="21">
        <v>13704607.39</v>
      </c>
      <c r="M25" s="25">
        <f>(+K25-L25)/L25</f>
        <v>0.23941213320668495</v>
      </c>
      <c r="N25" s="10"/>
      <c r="R25" s="2"/>
    </row>
    <row r="26" spans="1:18" ht="15.75" thickBot="1">
      <c r="A26" s="38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Bot="1" thickTop="1">
      <c r="A27" s="39" t="s">
        <v>14</v>
      </c>
      <c r="B27" s="40"/>
      <c r="C27" s="41">
        <f>SUM(C25:C26)</f>
        <v>332127</v>
      </c>
      <c r="D27" s="41">
        <f>SUM(D25:D26)</f>
        <v>323462</v>
      </c>
      <c r="E27" s="281">
        <f>(+C27-D27)/D27</f>
        <v>0.026788308982198836</v>
      </c>
      <c r="F27" s="47">
        <f>SUM(F25:F26)</f>
        <v>178755</v>
      </c>
      <c r="G27" s="48">
        <f>SUM(G25:G26)</f>
        <v>171866</v>
      </c>
      <c r="H27" s="49">
        <f>(+F27-G27)/G27</f>
        <v>0.040083553466072404</v>
      </c>
      <c r="I27" s="50">
        <f>K27/C27</f>
        <v>51.14205313027848</v>
      </c>
      <c r="J27" s="51">
        <f>K27/F27</f>
        <v>95.02199479734833</v>
      </c>
      <c r="K27" s="48">
        <f>SUM(K25:K26)</f>
        <v>16985656.68</v>
      </c>
      <c r="L27" s="47">
        <f>SUM(L25:L26)</f>
        <v>13704607.39</v>
      </c>
      <c r="M27" s="44">
        <f>(+K27-L27)/L27</f>
        <v>0.23941213320668495</v>
      </c>
      <c r="N27" s="10"/>
      <c r="R27" s="2"/>
    </row>
    <row r="28" spans="1:18" ht="15.75" customHeight="1" thickTop="1">
      <c r="A28" s="273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>
      <c r="A29" s="274" t="s">
        <v>66</v>
      </c>
      <c r="B29" s="20">
        <f>DATE(2017,7,1)</f>
        <v>42917</v>
      </c>
      <c r="C29" s="21">
        <v>155680</v>
      </c>
      <c r="D29" s="21">
        <v>180124</v>
      </c>
      <c r="E29" s="23">
        <f>(+C29-D29)/D29</f>
        <v>-0.13570651329084407</v>
      </c>
      <c r="F29" s="21">
        <f>+C29-76075</f>
        <v>79605</v>
      </c>
      <c r="G29" s="21">
        <f>+D29-87090</f>
        <v>93034</v>
      </c>
      <c r="H29" s="23">
        <f>(+F29-G29)/G29</f>
        <v>-0.14434507814347444</v>
      </c>
      <c r="I29" s="24">
        <f>K29/C29</f>
        <v>36.590878597122305</v>
      </c>
      <c r="J29" s="24">
        <f>K29/F29</f>
        <v>71.55917316751461</v>
      </c>
      <c r="K29" s="21">
        <v>5696467.98</v>
      </c>
      <c r="L29" s="21">
        <v>6090878.36</v>
      </c>
      <c r="M29" s="25">
        <f>(+K29-L29)/L29</f>
        <v>-0.06475426969452726</v>
      </c>
      <c r="N29" s="10"/>
      <c r="R29" s="2"/>
    </row>
    <row r="30" spans="1:18" ht="15.75" customHeight="1" thickBot="1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52"/>
      <c r="C31" s="47">
        <f>SUM(C29:C30)</f>
        <v>155680</v>
      </c>
      <c r="D31" s="48">
        <f>SUM(D29:D30)</f>
        <v>180124</v>
      </c>
      <c r="E31" s="281">
        <f>(+C31-D31)/D31</f>
        <v>-0.13570651329084407</v>
      </c>
      <c r="F31" s="48">
        <f>SUM(F29:F30)</f>
        <v>79605</v>
      </c>
      <c r="G31" s="47">
        <f>SUM(G29:G30)</f>
        <v>93034</v>
      </c>
      <c r="H31" s="46">
        <f>(+F31-G31)/G31</f>
        <v>-0.14434507814347444</v>
      </c>
      <c r="I31" s="51">
        <f>K31/C31</f>
        <v>36.590878597122305</v>
      </c>
      <c r="J31" s="50">
        <f>K31/F31</f>
        <v>71.55917316751461</v>
      </c>
      <c r="K31" s="47">
        <f>SUM(K29:K30)</f>
        <v>5696467.98</v>
      </c>
      <c r="L31" s="48">
        <f>SUM(L29:L30)</f>
        <v>6090878.36</v>
      </c>
      <c r="M31" s="44">
        <f>(+K31-L31)/L31</f>
        <v>-0.06475426969452726</v>
      </c>
      <c r="N31" s="10"/>
      <c r="R31" s="2"/>
    </row>
    <row r="32" spans="1:18" ht="15.75" customHeight="1" thickTop="1">
      <c r="A32" s="19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>
      <c r="A33" s="19" t="s">
        <v>17</v>
      </c>
      <c r="B33" s="20">
        <f>DATE(2017,7,1)</f>
        <v>42917</v>
      </c>
      <c r="C33" s="21">
        <v>176619</v>
      </c>
      <c r="D33" s="21">
        <v>186981</v>
      </c>
      <c r="E33" s="23">
        <f>(+C33-D33)/D33</f>
        <v>-0.05541739535032971</v>
      </c>
      <c r="F33" s="21">
        <f>+C33-82680</f>
        <v>93939</v>
      </c>
      <c r="G33" s="21">
        <f>+D33-86212</f>
        <v>100769</v>
      </c>
      <c r="H33" s="23">
        <f>(+F33-G33)/G33</f>
        <v>-0.06777878117278131</v>
      </c>
      <c r="I33" s="24">
        <f>K33/C33</f>
        <v>35.04590627282455</v>
      </c>
      <c r="J33" s="24">
        <f>K33/F33</f>
        <v>65.89140740267621</v>
      </c>
      <c r="K33" s="21">
        <v>6189772.92</v>
      </c>
      <c r="L33" s="21">
        <v>6390595.25</v>
      </c>
      <c r="M33" s="25">
        <f>(+K33-L33)/L33</f>
        <v>-0.03142466736568868</v>
      </c>
      <c r="N33" s="10"/>
      <c r="R33" s="2"/>
    </row>
    <row r="34" spans="1:18" ht="15.75" customHeight="1" thickBot="1">
      <c r="A34" s="19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customHeight="1" thickBot="1" thickTop="1">
      <c r="A35" s="39" t="s">
        <v>14</v>
      </c>
      <c r="B35" s="52"/>
      <c r="C35" s="47">
        <f>SUM(C33:C34)</f>
        <v>176619</v>
      </c>
      <c r="D35" s="48">
        <f>SUM(D33:D34)</f>
        <v>186981</v>
      </c>
      <c r="E35" s="281">
        <f>(+C35-D35)/D35</f>
        <v>-0.05541739535032971</v>
      </c>
      <c r="F35" s="48">
        <f>SUM(F33:F34)</f>
        <v>93939</v>
      </c>
      <c r="G35" s="47">
        <f>SUM(G33:G34)</f>
        <v>100769</v>
      </c>
      <c r="H35" s="53">
        <f>(+F35-G35)/G35</f>
        <v>-0.06777878117278131</v>
      </c>
      <c r="I35" s="51">
        <f>K35/C35</f>
        <v>35.04590627282455</v>
      </c>
      <c r="J35" s="50">
        <f>K35/F35</f>
        <v>65.89140740267621</v>
      </c>
      <c r="K35" s="47">
        <f>SUM(K33:K34)</f>
        <v>6189772.92</v>
      </c>
      <c r="L35" s="48">
        <f>SUM(L33:L34)</f>
        <v>6390595.25</v>
      </c>
      <c r="M35" s="44">
        <f>(+K35-L35)/L35</f>
        <v>-0.03142466736568868</v>
      </c>
      <c r="N35" s="10"/>
      <c r="R35" s="2"/>
    </row>
    <row r="36" spans="1:18" ht="15.75" customHeight="1" thickTop="1">
      <c r="A36" s="19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customHeight="1">
      <c r="A37" s="19" t="s">
        <v>67</v>
      </c>
      <c r="B37" s="20">
        <f>DATE(2017,7,1)</f>
        <v>42917</v>
      </c>
      <c r="C37" s="21">
        <v>400916</v>
      </c>
      <c r="D37" s="21">
        <v>319321</v>
      </c>
      <c r="E37" s="23">
        <f>(+C37-D37)/D37</f>
        <v>0.2555265704416559</v>
      </c>
      <c r="F37" s="21">
        <f>+C37-189272</f>
        <v>211644</v>
      </c>
      <c r="G37" s="21">
        <f>+D37-152762</f>
        <v>166559</v>
      </c>
      <c r="H37" s="23">
        <f>(+F37-G37)/G37</f>
        <v>0.27068486242112405</v>
      </c>
      <c r="I37" s="24">
        <f>K37/C37</f>
        <v>31.256324591685043</v>
      </c>
      <c r="J37" s="24">
        <f>K37/F37</f>
        <v>59.208674141482874</v>
      </c>
      <c r="K37" s="21">
        <v>12531160.63</v>
      </c>
      <c r="L37" s="21">
        <v>11457006.41</v>
      </c>
      <c r="M37" s="25">
        <f>(+K37-L37)/L37</f>
        <v>0.09375522554150344</v>
      </c>
      <c r="N37" s="10"/>
      <c r="R37" s="2"/>
    </row>
    <row r="38" spans="1:18" ht="15.75" customHeight="1" thickBot="1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Bot="1" thickTop="1">
      <c r="A39" s="39" t="s">
        <v>14</v>
      </c>
      <c r="B39" s="40"/>
      <c r="C39" s="41">
        <f>SUM(C37:C38)</f>
        <v>400916</v>
      </c>
      <c r="D39" s="41">
        <f>SUM(D37:D38)</f>
        <v>319321</v>
      </c>
      <c r="E39" s="280">
        <f>(+C39-D39)/D39</f>
        <v>0.2555265704416559</v>
      </c>
      <c r="F39" s="41">
        <f>SUM(F37:F38)</f>
        <v>211644</v>
      </c>
      <c r="G39" s="41">
        <f>SUM(G37:G38)</f>
        <v>166559</v>
      </c>
      <c r="H39" s="42">
        <f>(+F39-G39)/G39</f>
        <v>0.27068486242112405</v>
      </c>
      <c r="I39" s="43">
        <f>K39/C39</f>
        <v>31.256324591685043</v>
      </c>
      <c r="J39" s="43">
        <f>K39/F39</f>
        <v>59.208674141482874</v>
      </c>
      <c r="K39" s="41">
        <f>SUM(K37:K38)</f>
        <v>12531160.63</v>
      </c>
      <c r="L39" s="41">
        <f>SUM(L37:L38)</f>
        <v>11457006.41</v>
      </c>
      <c r="M39" s="44">
        <f>(+K39-L39)/L39</f>
        <v>0.09375522554150344</v>
      </c>
      <c r="N39" s="10"/>
      <c r="R39" s="2"/>
    </row>
    <row r="40" spans="1:18" ht="15.75" customHeight="1" thickTop="1">
      <c r="A40" s="54"/>
      <c r="B40" s="55"/>
      <c r="C40" s="55"/>
      <c r="D40" s="55"/>
      <c r="E40" s="56"/>
      <c r="F40" s="55"/>
      <c r="G40" s="55"/>
      <c r="H40" s="56"/>
      <c r="I40" s="55"/>
      <c r="J40" s="55"/>
      <c r="K40" s="196"/>
      <c r="L40" s="196"/>
      <c r="M40" s="57"/>
      <c r="N40" s="10"/>
      <c r="R40" s="2"/>
    </row>
    <row r="41" spans="1:18" ht="15.75" customHeight="1">
      <c r="A41" s="19" t="s">
        <v>18</v>
      </c>
      <c r="B41" s="20">
        <f>DATE(2017,7,1)</f>
        <v>42917</v>
      </c>
      <c r="C41" s="21">
        <v>402324</v>
      </c>
      <c r="D41" s="21">
        <v>443593</v>
      </c>
      <c r="E41" s="23">
        <f>(+C41-D41)/D41</f>
        <v>-0.09303347888717811</v>
      </c>
      <c r="F41" s="21">
        <f>+C41-196212</f>
        <v>206112</v>
      </c>
      <c r="G41" s="21">
        <f>+D41-216102</f>
        <v>227491</v>
      </c>
      <c r="H41" s="23">
        <f>(+F41-G41)/G41</f>
        <v>-0.09397734415867001</v>
      </c>
      <c r="I41" s="24">
        <f>K41/C41</f>
        <v>40.6170578190712</v>
      </c>
      <c r="J41" s="24">
        <f>K41/F41</f>
        <v>79.28319151723335</v>
      </c>
      <c r="K41" s="21">
        <v>16341217.17</v>
      </c>
      <c r="L41" s="21">
        <v>16992668.91</v>
      </c>
      <c r="M41" s="25">
        <f>(+K41-L41)/L41</f>
        <v>-0.03833722315489994</v>
      </c>
      <c r="N41" s="10"/>
      <c r="R41" s="2"/>
    </row>
    <row r="42" spans="1:18" ht="15.75" customHeight="1" thickBot="1">
      <c r="A42" s="19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Bot="1" thickTop="1">
      <c r="A43" s="39" t="s">
        <v>14</v>
      </c>
      <c r="B43" s="40"/>
      <c r="C43" s="41">
        <f>SUM(C41:C42)</f>
        <v>402324</v>
      </c>
      <c r="D43" s="41">
        <f>SUM(D41:D42)</f>
        <v>443593</v>
      </c>
      <c r="E43" s="280">
        <f>(+C43-D43)/D43</f>
        <v>-0.09303347888717811</v>
      </c>
      <c r="F43" s="41">
        <f>SUM(F41:F42)</f>
        <v>206112</v>
      </c>
      <c r="G43" s="41">
        <f>SUM(G41:G42)</f>
        <v>227491</v>
      </c>
      <c r="H43" s="42">
        <f>(+F43-G43)/G43</f>
        <v>-0.09397734415867001</v>
      </c>
      <c r="I43" s="43">
        <f>K43/C43</f>
        <v>40.6170578190712</v>
      </c>
      <c r="J43" s="43">
        <f>K43/F43</f>
        <v>79.28319151723335</v>
      </c>
      <c r="K43" s="41">
        <f>SUM(K41:K42)</f>
        <v>16341217.17</v>
      </c>
      <c r="L43" s="41">
        <f>SUM(L41:L42)</f>
        <v>16992668.91</v>
      </c>
      <c r="M43" s="44">
        <f>(+K43-L43)/L43</f>
        <v>-0.03833722315489994</v>
      </c>
      <c r="N43" s="10"/>
      <c r="R43" s="2"/>
    </row>
    <row r="44" spans="1:18" ht="15.75" customHeight="1" thickTop="1">
      <c r="A44" s="54"/>
      <c r="B44" s="55"/>
      <c r="C44" s="55"/>
      <c r="D44" s="55"/>
      <c r="E44" s="56"/>
      <c r="F44" s="55"/>
      <c r="G44" s="55"/>
      <c r="H44" s="56"/>
      <c r="I44" s="55"/>
      <c r="J44" s="55"/>
      <c r="K44" s="196"/>
      <c r="L44" s="196"/>
      <c r="M44" s="57"/>
      <c r="N44" s="10"/>
      <c r="R44" s="2"/>
    </row>
    <row r="45" spans="1:18" ht="15.75" customHeight="1">
      <c r="A45" s="19" t="s">
        <v>58</v>
      </c>
      <c r="B45" s="20">
        <f>DATE(2017,7,1)</f>
        <v>42917</v>
      </c>
      <c r="C45" s="21">
        <v>487621</v>
      </c>
      <c r="D45" s="21">
        <v>530171</v>
      </c>
      <c r="E45" s="23">
        <f>(+C45-D45)/D45</f>
        <v>-0.08025712458810459</v>
      </c>
      <c r="F45" s="21">
        <f>+C45-237847</f>
        <v>249774</v>
      </c>
      <c r="G45" s="21">
        <f>+D45-255599</f>
        <v>274572</v>
      </c>
      <c r="H45" s="23">
        <f>(+F45-G45)/G45</f>
        <v>-0.09031510860539312</v>
      </c>
      <c r="I45" s="24">
        <f>K45/C45</f>
        <v>40.61489082709728</v>
      </c>
      <c r="J45" s="24">
        <f>K45/F45</f>
        <v>79.29037321738852</v>
      </c>
      <c r="K45" s="21">
        <v>19804673.68</v>
      </c>
      <c r="L45" s="21">
        <v>20026177.73</v>
      </c>
      <c r="M45" s="25">
        <f>(+K45-L45)/L45</f>
        <v>-0.011060725266019136</v>
      </c>
      <c r="N45" s="10"/>
      <c r="R45" s="2"/>
    </row>
    <row r="46" spans="1:18" ht="15.75" customHeight="1" thickBot="1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SUM(C45:C46)</f>
        <v>487621</v>
      </c>
      <c r="D47" s="41">
        <f>SUM(D45:D46)</f>
        <v>530171</v>
      </c>
      <c r="E47" s="280">
        <f>(+C47-D47)/D47</f>
        <v>-0.08025712458810459</v>
      </c>
      <c r="F47" s="41">
        <f>SUM(F45:F46)</f>
        <v>249774</v>
      </c>
      <c r="G47" s="41">
        <f>SUM(G45:G46)</f>
        <v>274572</v>
      </c>
      <c r="H47" s="42">
        <f>(+F47-G47)/G47</f>
        <v>-0.09031510860539312</v>
      </c>
      <c r="I47" s="43">
        <f>K47/C47</f>
        <v>40.61489082709728</v>
      </c>
      <c r="J47" s="43">
        <f>K47/F47</f>
        <v>79.29037321738852</v>
      </c>
      <c r="K47" s="41">
        <f>SUM(K45:K46)</f>
        <v>19804673.68</v>
      </c>
      <c r="L47" s="41">
        <f>SUM(L45:L46)</f>
        <v>20026177.73</v>
      </c>
      <c r="M47" s="44">
        <f>(+K47-L47)/L47</f>
        <v>-0.011060725266019136</v>
      </c>
      <c r="N47" s="10"/>
      <c r="R47" s="2"/>
    </row>
    <row r="48" spans="1:18" ht="15.75" customHeight="1" thickTop="1">
      <c r="A48" s="58"/>
      <c r="B48" s="59"/>
      <c r="C48" s="59"/>
      <c r="D48" s="59"/>
      <c r="E48" s="60"/>
      <c r="F48" s="59"/>
      <c r="G48" s="59"/>
      <c r="H48" s="60"/>
      <c r="I48" s="59"/>
      <c r="J48" s="59"/>
      <c r="K48" s="197"/>
      <c r="L48" s="197"/>
      <c r="M48" s="61"/>
      <c r="N48" s="10"/>
      <c r="R48" s="2"/>
    </row>
    <row r="49" spans="1:18" ht="15" customHeight="1">
      <c r="A49" s="19" t="s">
        <v>59</v>
      </c>
      <c r="B49" s="20">
        <f>DATE(2017,7,1)</f>
        <v>42917</v>
      </c>
      <c r="C49" s="21">
        <v>62927</v>
      </c>
      <c r="D49" s="21">
        <v>73310</v>
      </c>
      <c r="E49" s="23">
        <f>(+C49-D49)/D49</f>
        <v>-0.14163142818169416</v>
      </c>
      <c r="F49" s="21">
        <f>+C49-30201</f>
        <v>32726</v>
      </c>
      <c r="G49" s="21">
        <f>+D49-35214</f>
        <v>38096</v>
      </c>
      <c r="H49" s="23">
        <f>(+F49-G49)/G49</f>
        <v>-0.14095968080638388</v>
      </c>
      <c r="I49" s="24">
        <f>K49/C49</f>
        <v>46.5557015271664</v>
      </c>
      <c r="J49" s="24">
        <f>K49/F49</f>
        <v>89.51936166962048</v>
      </c>
      <c r="K49" s="21">
        <v>2929610.63</v>
      </c>
      <c r="L49" s="21">
        <v>3001887.38</v>
      </c>
      <c r="M49" s="25">
        <f>(+K49-L49)/L49</f>
        <v>-0.024077102452790884</v>
      </c>
      <c r="N49" s="10"/>
      <c r="R49" s="2"/>
    </row>
    <row r="50" spans="1:18" ht="15.75" thickBot="1">
      <c r="A50" s="38"/>
      <c r="B50" s="20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Bot="1" thickTop="1">
      <c r="A51" s="62" t="s">
        <v>14</v>
      </c>
      <c r="B51" s="52"/>
      <c r="C51" s="48">
        <f>SUM(C49:C50)</f>
        <v>62927</v>
      </c>
      <c r="D51" s="48">
        <f>SUM(D49:D50)</f>
        <v>73310</v>
      </c>
      <c r="E51" s="280">
        <f>(+C51-D51)/D51</f>
        <v>-0.14163142818169416</v>
      </c>
      <c r="F51" s="48">
        <f>SUM(F49:F50)</f>
        <v>32726</v>
      </c>
      <c r="G51" s="48">
        <f>SUM(G49:G50)</f>
        <v>38096</v>
      </c>
      <c r="H51" s="42">
        <f>(+F51-G51)/G51</f>
        <v>-0.14095968080638388</v>
      </c>
      <c r="I51" s="50">
        <f>K51/C51</f>
        <v>46.5557015271664</v>
      </c>
      <c r="J51" s="50">
        <f>K51/F51</f>
        <v>89.51936166962048</v>
      </c>
      <c r="K51" s="48">
        <f>SUM(K49:K50)</f>
        <v>2929610.63</v>
      </c>
      <c r="L51" s="48">
        <f>SUM(L49:L50)</f>
        <v>3001887.38</v>
      </c>
      <c r="M51" s="44">
        <f>(+K51-L51)/L51</f>
        <v>-0.024077102452790884</v>
      </c>
      <c r="N51" s="10"/>
      <c r="R51" s="2"/>
    </row>
    <row r="52" spans="1:18" ht="15.75" customHeight="1" thickTop="1">
      <c r="A52" s="19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>
      <c r="A53" s="19" t="s">
        <v>19</v>
      </c>
      <c r="B53" s="20">
        <f>DATE(2017,7,1)</f>
        <v>42917</v>
      </c>
      <c r="C53" s="21">
        <v>504679</v>
      </c>
      <c r="D53" s="21">
        <v>563540</v>
      </c>
      <c r="E53" s="23">
        <f>(+C53-D53)/D53</f>
        <v>-0.10444866380381163</v>
      </c>
      <c r="F53" s="21">
        <f>+C53-244835</f>
        <v>259844</v>
      </c>
      <c r="G53" s="21">
        <f>+D53-291099</f>
        <v>272441</v>
      </c>
      <c r="H53" s="23">
        <f>(+F53-G53)/G53</f>
        <v>-0.04623753399818677</v>
      </c>
      <c r="I53" s="24">
        <f>K53/C53</f>
        <v>47.03036765944294</v>
      </c>
      <c r="J53" s="24">
        <f>K53/F53</f>
        <v>91.3441869737227</v>
      </c>
      <c r="K53" s="21">
        <v>23735238.92</v>
      </c>
      <c r="L53" s="21">
        <v>23596498.81</v>
      </c>
      <c r="M53" s="25">
        <f>(+K53-L53)/L53</f>
        <v>0.005879690504813631</v>
      </c>
      <c r="N53" s="10"/>
      <c r="R53" s="2"/>
    </row>
    <row r="54" spans="1:18" ht="15.75" thickBot="1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Bot="1" thickTop="1">
      <c r="A55" s="39" t="s">
        <v>14</v>
      </c>
      <c r="B55" s="40"/>
      <c r="C55" s="41">
        <f>SUM(C53:C54)</f>
        <v>504679</v>
      </c>
      <c r="D55" s="41">
        <f>SUM(D53:D54)</f>
        <v>563540</v>
      </c>
      <c r="E55" s="280">
        <f>(+C55-D55)/D55</f>
        <v>-0.10444866380381163</v>
      </c>
      <c r="F55" s="41">
        <f>SUM(F53:F54)</f>
        <v>259844</v>
      </c>
      <c r="G55" s="41">
        <f>SUM(G53:G54)</f>
        <v>272441</v>
      </c>
      <c r="H55" s="42">
        <f>(+F55-G55)/G55</f>
        <v>-0.04623753399818677</v>
      </c>
      <c r="I55" s="43">
        <f>K55/C55</f>
        <v>47.03036765944294</v>
      </c>
      <c r="J55" s="43">
        <f>K55/F55</f>
        <v>91.3441869737227</v>
      </c>
      <c r="K55" s="41">
        <f>SUM(K53:K54)</f>
        <v>23735238.92</v>
      </c>
      <c r="L55" s="41">
        <f>SUM(L53:L54)</f>
        <v>23596498.81</v>
      </c>
      <c r="M55" s="44">
        <f>(+K55-L55)/L55</f>
        <v>0.005879690504813631</v>
      </c>
      <c r="N55" s="10"/>
      <c r="R55" s="2"/>
    </row>
    <row r="56" spans="1:18" ht="15.75" customHeight="1" thickTop="1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63</v>
      </c>
      <c r="B57" s="20">
        <f>DATE(2017,7,1)</f>
        <v>42917</v>
      </c>
      <c r="C57" s="21">
        <v>79906</v>
      </c>
      <c r="D57" s="21">
        <v>90995</v>
      </c>
      <c r="E57" s="23">
        <f>(+C57-D57)/D57</f>
        <v>-0.12186383867245452</v>
      </c>
      <c r="F57" s="21">
        <f>+C57-36860</f>
        <v>43046</v>
      </c>
      <c r="G57" s="21">
        <f>+D57-43310</f>
        <v>47685</v>
      </c>
      <c r="H57" s="23">
        <f>(+F57-G57)/G57</f>
        <v>-0.09728426129810212</v>
      </c>
      <c r="I57" s="24">
        <f>K57/C57</f>
        <v>41.48382036392761</v>
      </c>
      <c r="J57" s="24">
        <f>K57/F57</f>
        <v>77.00613645867212</v>
      </c>
      <c r="K57" s="21">
        <v>3314806.15</v>
      </c>
      <c r="L57" s="21">
        <v>3405161.57</v>
      </c>
      <c r="M57" s="25">
        <f>(+K57-L57)/L57</f>
        <v>-0.026534840753532858</v>
      </c>
      <c r="N57" s="10"/>
      <c r="R57" s="2"/>
    </row>
    <row r="58" spans="1:18" ht="15.75" thickBot="1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Bot="1" thickTop="1">
      <c r="A59" s="26" t="s">
        <v>14</v>
      </c>
      <c r="B59" s="27"/>
      <c r="C59" s="28">
        <f>SUM(C57:C58)</f>
        <v>79906</v>
      </c>
      <c r="D59" s="28">
        <f>SUM(D57:D58)</f>
        <v>90995</v>
      </c>
      <c r="E59" s="280">
        <f>(+C59-D59)/D59</f>
        <v>-0.12186383867245452</v>
      </c>
      <c r="F59" s="28">
        <f>SUM(F57:F58)</f>
        <v>43046</v>
      </c>
      <c r="G59" s="28">
        <f>SUM(G57:G58)</f>
        <v>47685</v>
      </c>
      <c r="H59" s="42">
        <f>(+F59-G59)/G59</f>
        <v>-0.09728426129810212</v>
      </c>
      <c r="I59" s="43">
        <f>K59/C59</f>
        <v>41.48382036392761</v>
      </c>
      <c r="J59" s="43">
        <f>K59/F59</f>
        <v>77.00613645867212</v>
      </c>
      <c r="K59" s="28">
        <f>SUM(K57:K58)</f>
        <v>3314806.15</v>
      </c>
      <c r="L59" s="28">
        <f>SUM(L57:L58)</f>
        <v>3405161.57</v>
      </c>
      <c r="M59" s="44">
        <f>(+K59-L59)/L59</f>
        <v>-0.026534840753532858</v>
      </c>
      <c r="N59" s="10"/>
      <c r="R59" s="2"/>
    </row>
    <row r="60" spans="1:18" ht="16.5" thickBot="1" thickTop="1">
      <c r="A60" s="63"/>
      <c r="B60" s="34"/>
      <c r="C60" s="35"/>
      <c r="D60" s="35"/>
      <c r="E60" s="29"/>
      <c r="F60" s="35"/>
      <c r="G60" s="35"/>
      <c r="H60" s="29"/>
      <c r="I60" s="36"/>
      <c r="J60" s="36"/>
      <c r="K60" s="35"/>
      <c r="L60" s="35"/>
      <c r="M60" s="37"/>
      <c r="N60" s="10"/>
      <c r="R60" s="2"/>
    </row>
    <row r="61" spans="1:18" ht="17.25" thickBot="1" thickTop="1">
      <c r="A61" s="64" t="s">
        <v>20</v>
      </c>
      <c r="B61" s="65"/>
      <c r="C61" s="28">
        <f>C59+C55+C27+C35+C39+C19+C11+C43+C47+C23+C51+C15+C31</f>
        <v>3629854</v>
      </c>
      <c r="D61" s="28">
        <f>D59+D55+D27+D35+D39+D19+D11+D43+D47+D23+D51+D15+D31</f>
        <v>3785845</v>
      </c>
      <c r="E61" s="279">
        <f>(+C61-D61)/D61</f>
        <v>-0.04120374711590147</v>
      </c>
      <c r="F61" s="28">
        <f>F59+F55+F27+F35+F39+F19+F11+F43+F47+F23+F51+F15+F31</f>
        <v>1869629</v>
      </c>
      <c r="G61" s="28">
        <f>G59+G55+G27+G35+G39+G19+G11+G43+G47+G23+G51+G15+G31</f>
        <v>1926886</v>
      </c>
      <c r="H61" s="30">
        <f>(+F61-G61)/G61</f>
        <v>-0.02971478333435398</v>
      </c>
      <c r="I61" s="31">
        <f>K61/C61</f>
        <v>42.332018458593645</v>
      </c>
      <c r="J61" s="31">
        <f>K61/F61</f>
        <v>82.18691865070555</v>
      </c>
      <c r="K61" s="28">
        <f>K59+K55+K27+K35+K39+K19+K11+K43+K47+K23+K51+K15+K31</f>
        <v>153659046.52999997</v>
      </c>
      <c r="L61" s="28">
        <f>L59+L55+L27+L35+L39+L19+L11+L43+L47+L23+L51+L15+L31</f>
        <v>150847344.13</v>
      </c>
      <c r="M61" s="32">
        <f>(+K61-L61)/L61</f>
        <v>0.01863938948488782</v>
      </c>
      <c r="N61" s="10"/>
      <c r="R61" s="2"/>
    </row>
    <row r="62" spans="1:18" ht="17.25" thickBot="1" thickTop="1">
      <c r="A62" s="64"/>
      <c r="B62" s="65"/>
      <c r="C62" s="28"/>
      <c r="D62" s="28"/>
      <c r="E62" s="29"/>
      <c r="F62" s="28"/>
      <c r="G62" s="28"/>
      <c r="H62" s="30"/>
      <c r="I62" s="31"/>
      <c r="J62" s="31"/>
      <c r="K62" s="28"/>
      <c r="L62" s="28"/>
      <c r="M62" s="32"/>
      <c r="N62" s="10"/>
      <c r="R62" s="2"/>
    </row>
    <row r="63" spans="1:18" ht="17.25" thickBot="1" thickTop="1">
      <c r="A63" s="64" t="s">
        <v>21</v>
      </c>
      <c r="B63" s="65"/>
      <c r="C63" s="28">
        <f>+C9+C13+C17+C21+C25+C29+C33+C37+C41+C45+C49+C53+C57</f>
        <v>3629854</v>
      </c>
      <c r="D63" s="28">
        <f>+D9+D13+D17+D21+D25+D29+D33+D37+D41+D45+D49+D53+D57</f>
        <v>3785845</v>
      </c>
      <c r="E63" s="279">
        <f>(+C63-D63)/D63</f>
        <v>-0.04120374711590147</v>
      </c>
      <c r="F63" s="28">
        <f>+F9+F13+F17+F21+F25+F29+F33+F37+F41+F45+F49+F53+F57</f>
        <v>1869629</v>
      </c>
      <c r="G63" s="28">
        <f>+G9+G13+G17+G21+G25+G29+G33+G37+G41+G45+G49+G53+G57</f>
        <v>1926886</v>
      </c>
      <c r="H63" s="30">
        <f>(+F63-G63)/G63</f>
        <v>-0.02971478333435398</v>
      </c>
      <c r="I63" s="31">
        <f>K63/C63</f>
        <v>42.33201845859365</v>
      </c>
      <c r="J63" s="31">
        <f>K63/F63</f>
        <v>82.18691865070556</v>
      </c>
      <c r="K63" s="28">
        <f>+K9+K13+K17+K21+K25+K29+K33+K37+K41+K45+K49+K53+K57</f>
        <v>153659046.53</v>
      </c>
      <c r="L63" s="28">
        <f>+L9+L13+L17+L21+L25+L29+L33+L37+L41+L45+L49+L53+L57</f>
        <v>150847344.12999997</v>
      </c>
      <c r="M63" s="44">
        <f>(+K63-L63)/L63</f>
        <v>0.01863938948488822</v>
      </c>
      <c r="N63" s="10"/>
      <c r="R63" s="2"/>
    </row>
    <row r="64" spans="1:18" ht="15.75" thickTop="1">
      <c r="A64" s="66"/>
      <c r="B64" s="67"/>
      <c r="C64" s="68"/>
      <c r="D64" s="67"/>
      <c r="E64" s="67"/>
      <c r="F64" s="67"/>
      <c r="G64" s="67"/>
      <c r="H64" s="67"/>
      <c r="I64" s="67"/>
      <c r="J64" s="67"/>
      <c r="K64" s="68"/>
      <c r="L64" s="68"/>
      <c r="M64" s="67"/>
      <c r="R64" s="2"/>
    </row>
    <row r="65" spans="1:18" ht="18.75">
      <c r="A65" s="264" t="s">
        <v>22</v>
      </c>
      <c r="B65" s="70"/>
      <c r="C65" s="71"/>
      <c r="D65" s="71"/>
      <c r="E65" s="71"/>
      <c r="F65" s="71"/>
      <c r="G65" s="71"/>
      <c r="H65" s="71"/>
      <c r="I65" s="71"/>
      <c r="J65" s="71"/>
      <c r="K65" s="198"/>
      <c r="L65" s="198"/>
      <c r="M65" s="71"/>
      <c r="N65" s="2"/>
      <c r="O65" s="2"/>
      <c r="P65" s="2"/>
      <c r="Q65" s="2"/>
      <c r="R65" s="2"/>
    </row>
    <row r="66" spans="1:18" ht="18">
      <c r="A66" s="69"/>
      <c r="B66" s="70"/>
      <c r="C66" s="71"/>
      <c r="D66" s="71"/>
      <c r="E66" s="71"/>
      <c r="F66" s="71"/>
      <c r="G66" s="71"/>
      <c r="H66" s="71"/>
      <c r="I66" s="71"/>
      <c r="J66" s="71"/>
      <c r="K66" s="198"/>
      <c r="L66" s="198"/>
      <c r="M66" s="71"/>
      <c r="N66" s="2"/>
      <c r="O66" s="2"/>
      <c r="P66" s="2"/>
      <c r="Q66" s="2"/>
      <c r="R66" s="2"/>
    </row>
    <row r="67" spans="1:18" ht="15.75">
      <c r="A67" s="72"/>
      <c r="B67" s="73"/>
      <c r="C67" s="74"/>
      <c r="D67" s="74"/>
      <c r="E67" s="74"/>
      <c r="F67" s="74"/>
      <c r="G67" s="74"/>
      <c r="H67" s="74"/>
      <c r="I67" s="74"/>
      <c r="J67" s="74"/>
      <c r="K67" s="192"/>
      <c r="L67" s="192"/>
      <c r="M67" s="75"/>
      <c r="N67" s="2"/>
      <c r="O67" s="2"/>
      <c r="P67" s="2"/>
      <c r="Q67" s="2"/>
      <c r="R67" s="2"/>
    </row>
    <row r="68" spans="1:18" ht="15">
      <c r="A68" s="2"/>
      <c r="B68" s="73"/>
      <c r="C68" s="74"/>
      <c r="D68" s="74"/>
      <c r="E68" s="74"/>
      <c r="F68" s="74"/>
      <c r="G68" s="74"/>
      <c r="H68" s="74"/>
      <c r="I68" s="74"/>
      <c r="J68" s="74"/>
      <c r="K68" s="192"/>
      <c r="L68" s="192"/>
      <c r="M68" s="75"/>
      <c r="N68" s="2"/>
      <c r="O68" s="2"/>
      <c r="P68" s="2"/>
      <c r="Q68" s="2"/>
      <c r="R68" s="2"/>
    </row>
    <row r="69" spans="1:18" ht="15">
      <c r="A69" s="2"/>
      <c r="B69" s="73"/>
      <c r="C69" s="74"/>
      <c r="D69" s="74"/>
      <c r="E69" s="74"/>
      <c r="F69" s="74"/>
      <c r="G69" s="74"/>
      <c r="H69" s="74"/>
      <c r="I69" s="74"/>
      <c r="J69" s="74"/>
      <c r="K69" s="192"/>
      <c r="L69" s="192"/>
      <c r="M69" s="75"/>
      <c r="N69" s="2"/>
      <c r="O69" s="2"/>
      <c r="P69" s="2"/>
      <c r="Q69" s="2"/>
      <c r="R69" s="2"/>
    </row>
    <row r="70" spans="1:18" ht="15">
      <c r="A70" s="2"/>
      <c r="B70" s="73"/>
      <c r="C70" s="74"/>
      <c r="D70" s="74"/>
      <c r="E70" s="74"/>
      <c r="F70" s="74"/>
      <c r="G70" s="74"/>
      <c r="H70" s="74"/>
      <c r="I70" s="74"/>
      <c r="J70" s="74"/>
      <c r="K70" s="192"/>
      <c r="L70" s="192"/>
      <c r="M70" s="75"/>
      <c r="N70" s="2"/>
      <c r="O70" s="2"/>
      <c r="P70" s="2"/>
      <c r="Q70" s="2"/>
      <c r="R70" s="2"/>
    </row>
    <row r="71" spans="1:18" ht="15">
      <c r="A71" s="2"/>
      <c r="B71" s="73"/>
      <c r="C71" s="74"/>
      <c r="D71" s="74"/>
      <c r="E71" s="74"/>
      <c r="F71" s="74"/>
      <c r="G71" s="74"/>
      <c r="H71" s="74"/>
      <c r="I71" s="74"/>
      <c r="J71" s="74"/>
      <c r="K71" s="192"/>
      <c r="L71" s="192"/>
      <c r="M71" s="75"/>
      <c r="N71" s="2"/>
      <c r="O71" s="2"/>
      <c r="P71" s="2"/>
      <c r="Q71" s="2"/>
      <c r="R71" s="2"/>
    </row>
    <row r="72" spans="1:18" ht="15">
      <c r="A72" s="2"/>
      <c r="B72" s="73"/>
      <c r="C72" s="74"/>
      <c r="D72" s="74"/>
      <c r="E72" s="74"/>
      <c r="F72" s="74"/>
      <c r="G72" s="74"/>
      <c r="H72" s="74"/>
      <c r="I72" s="74"/>
      <c r="J72" s="74"/>
      <c r="K72" s="192"/>
      <c r="L72" s="192"/>
      <c r="M72" s="75"/>
      <c r="N72" s="2"/>
      <c r="O72" s="2"/>
      <c r="P72" s="2"/>
      <c r="Q72" s="2"/>
      <c r="R72" s="2"/>
    </row>
    <row r="73" spans="1:18" ht="15">
      <c r="A73" s="2"/>
      <c r="B73" s="73"/>
      <c r="C73" s="74"/>
      <c r="D73" s="74"/>
      <c r="E73" s="74"/>
      <c r="F73" s="74"/>
      <c r="G73" s="74"/>
      <c r="H73" s="74"/>
      <c r="I73" s="74"/>
      <c r="J73" s="74"/>
      <c r="K73" s="192"/>
      <c r="L73" s="192"/>
      <c r="M73" s="75"/>
      <c r="N73" s="2"/>
      <c r="O73" s="2"/>
      <c r="P73" s="2"/>
      <c r="Q73" s="2"/>
      <c r="R73" s="2"/>
    </row>
    <row r="74" spans="1:18" ht="15">
      <c r="A74" s="2"/>
      <c r="B74" s="73"/>
      <c r="C74" s="74"/>
      <c r="D74" s="74"/>
      <c r="E74" s="74"/>
      <c r="F74" s="74"/>
      <c r="G74" s="74"/>
      <c r="H74" s="74"/>
      <c r="I74" s="74"/>
      <c r="J74" s="74"/>
      <c r="K74" s="192"/>
      <c r="L74" s="192"/>
      <c r="M74" s="75"/>
      <c r="N74" s="2"/>
      <c r="O74" s="2"/>
      <c r="P74" s="2"/>
      <c r="Q74" s="2"/>
      <c r="R74" s="2"/>
    </row>
    <row r="75" spans="1:18" ht="15">
      <c r="A75" s="2"/>
      <c r="B75" s="73"/>
      <c r="C75" s="74"/>
      <c r="D75" s="74"/>
      <c r="E75" s="74"/>
      <c r="F75" s="74"/>
      <c r="G75" s="74"/>
      <c r="H75" s="74"/>
      <c r="I75" s="74"/>
      <c r="J75" s="74"/>
      <c r="K75" s="192"/>
      <c r="L75" s="192"/>
      <c r="M75" s="75"/>
      <c r="N75" s="2"/>
      <c r="O75" s="2"/>
      <c r="P75" s="2"/>
      <c r="Q75" s="2"/>
      <c r="R75" s="2"/>
    </row>
    <row r="76" spans="1:18" ht="15">
      <c r="A76" s="2"/>
      <c r="B76" s="73"/>
      <c r="C76" s="74"/>
      <c r="D76" s="74"/>
      <c r="E76" s="74"/>
      <c r="F76" s="74"/>
      <c r="G76" s="74"/>
      <c r="H76" s="74"/>
      <c r="I76" s="74"/>
      <c r="J76" s="74"/>
      <c r="K76" s="192"/>
      <c r="L76" s="192"/>
      <c r="M76" s="74"/>
      <c r="N76" s="2"/>
      <c r="O76" s="2"/>
      <c r="P76" s="2"/>
      <c r="Q76" s="2"/>
      <c r="R76" s="2"/>
    </row>
    <row r="77" spans="1:18" ht="15">
      <c r="A77" s="2"/>
      <c r="B77" s="73"/>
      <c r="C77" s="74"/>
      <c r="D77" s="74"/>
      <c r="E77" s="74"/>
      <c r="F77" s="74"/>
      <c r="G77" s="74"/>
      <c r="H77" s="74"/>
      <c r="I77" s="74"/>
      <c r="J77" s="74"/>
      <c r="K77" s="192"/>
      <c r="L77" s="192"/>
      <c r="M77" s="74"/>
      <c r="N77" s="2"/>
      <c r="O77" s="2"/>
      <c r="P77" s="2"/>
      <c r="Q77" s="2"/>
      <c r="R77" s="2"/>
    </row>
    <row r="78" spans="1:18" ht="15">
      <c r="A78" s="2"/>
      <c r="B78" s="70"/>
      <c r="C78" s="74"/>
      <c r="D78" s="74"/>
      <c r="E78" s="74"/>
      <c r="F78" s="74"/>
      <c r="G78" s="74"/>
      <c r="H78" s="74"/>
      <c r="I78" s="74"/>
      <c r="J78" s="74"/>
      <c r="K78" s="192"/>
      <c r="L78" s="192"/>
      <c r="M78" s="74"/>
      <c r="N78" s="2"/>
      <c r="O78" s="2"/>
      <c r="P78" s="2"/>
      <c r="Q78" s="2"/>
      <c r="R78" s="2"/>
    </row>
    <row r="79" spans="1:18" ht="15.75">
      <c r="A79" s="76"/>
      <c r="B79" s="70"/>
      <c r="C79" s="74"/>
      <c r="D79" s="74"/>
      <c r="E79" s="74"/>
      <c r="F79" s="74"/>
      <c r="G79" s="74"/>
      <c r="H79" s="74"/>
      <c r="I79" s="74"/>
      <c r="J79" s="74"/>
      <c r="K79" s="192"/>
      <c r="L79" s="192"/>
      <c r="M79" s="75"/>
      <c r="N79" s="2"/>
      <c r="O79" s="2"/>
      <c r="P79" s="2"/>
      <c r="Q79" s="2"/>
      <c r="R79" s="2"/>
    </row>
    <row r="80" spans="1:18" ht="15.75">
      <c r="A80" s="76"/>
      <c r="B80" s="70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.75">
      <c r="A81" s="76"/>
      <c r="B81" s="70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ht="15">
      <c r="A82" s="2"/>
      <c r="B82" s="70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.75">
      <c r="A83" s="76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ht="15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ht="15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ht="15">
      <c r="A86" s="2"/>
      <c r="B86" s="77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ht="15">
      <c r="A87" s="2"/>
      <c r="B87" s="77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ht="15">
      <c r="A88" s="2"/>
      <c r="B88" s="77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ht="15">
      <c r="A89" s="2"/>
      <c r="B89" s="77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5"/>
      <c r="N89" s="2"/>
      <c r="O89" s="2"/>
      <c r="P89" s="2"/>
      <c r="Q89" s="2"/>
      <c r="R89" s="2"/>
    </row>
    <row r="90" spans="1:18" ht="15">
      <c r="A90" s="2"/>
      <c r="B90" s="77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5"/>
      <c r="N90" s="2"/>
      <c r="O90" s="2"/>
      <c r="P90" s="2"/>
      <c r="Q90" s="2"/>
      <c r="R90" s="2"/>
    </row>
    <row r="91" spans="1:18" ht="15">
      <c r="A91" s="2"/>
      <c r="B91" s="77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5"/>
      <c r="N91" s="2"/>
      <c r="O91" s="2"/>
      <c r="P91" s="2"/>
      <c r="Q91" s="2"/>
      <c r="R91" s="2"/>
    </row>
    <row r="92" spans="1:18" ht="15">
      <c r="A92" s="2"/>
      <c r="B92" s="77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">
      <c r="A93" s="2"/>
      <c r="B93" s="77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">
      <c r="A94" s="2"/>
      <c r="B94" s="77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2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>
      <c r="A96" s="76"/>
      <c r="B96" s="2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2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2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.75">
      <c r="A99" s="76"/>
      <c r="B99" s="2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.75">
      <c r="A100" s="76"/>
      <c r="B100" s="2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.75">
      <c r="A101" s="76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ht="15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ht="15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ht="15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7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2"/>
      <c r="B109" s="77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7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7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>
      <c r="A114" s="76"/>
      <c r="B114" s="2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2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2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.75">
      <c r="A117" s="76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2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2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.75">
      <c r="A123" s="76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>
      <c r="A126" s="76"/>
      <c r="B126" s="76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2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2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2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STATS'!$C$13*2</f>
        <v>308970</v>
      </c>
      <c r="D10" s="89">
        <f>'MONTHLY STATS'!$C$17*2</f>
        <v>149632</v>
      </c>
      <c r="E10" s="89">
        <f>'MONTHLY STATS'!$C$21*2</f>
        <v>1005414</v>
      </c>
      <c r="F10" s="89">
        <f>'MONTHLY STATS'!$C$25*2</f>
        <v>664254</v>
      </c>
      <c r="G10" s="89">
        <f>'MONTHLY STATS'!$C$29*2</f>
        <v>311360</v>
      </c>
      <c r="H10" s="89">
        <f>'MONTHLY STATS'!$C$33*2</f>
        <v>353238</v>
      </c>
      <c r="I10" s="89">
        <f>'MONTHLY STATS'!$C$37*2</f>
        <v>801832</v>
      </c>
      <c r="J10" s="89">
        <f>'MONTHLY STATS'!$C$41*2</f>
        <v>804648</v>
      </c>
      <c r="K10" s="89">
        <f>'MONTHLY STATS'!$C$45*2</f>
        <v>975242</v>
      </c>
      <c r="L10" s="89">
        <f>'MONTHLY STATS'!$C$49*2</f>
        <v>125854</v>
      </c>
      <c r="M10" s="89">
        <f>'MONTHLY STATS'!$C$53*2</f>
        <v>1009358</v>
      </c>
      <c r="N10" s="89">
        <f>'MONTHLY STATS'!$C$57*2</f>
        <v>159812</v>
      </c>
      <c r="O10" s="90">
        <f>SUM(B10:N10)</f>
        <v>7259708</v>
      </c>
      <c r="P10" s="83"/>
    </row>
    <row r="11" spans="1:16" ht="15.7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83"/>
    </row>
    <row r="12" spans="1:16" ht="15.7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590094</v>
      </c>
      <c r="C23" s="90">
        <f t="shared" si="0"/>
        <v>308970</v>
      </c>
      <c r="D23" s="90">
        <f t="shared" si="0"/>
        <v>149632</v>
      </c>
      <c r="E23" s="90">
        <f t="shared" si="0"/>
        <v>1005414</v>
      </c>
      <c r="F23" s="90">
        <f t="shared" si="0"/>
        <v>664254</v>
      </c>
      <c r="G23" s="90">
        <f>SUM(G10:G21)</f>
        <v>311360</v>
      </c>
      <c r="H23" s="90">
        <f t="shared" si="0"/>
        <v>353238</v>
      </c>
      <c r="I23" s="90">
        <f>SUM(I10:I21)</f>
        <v>801832</v>
      </c>
      <c r="J23" s="90">
        <f t="shared" si="0"/>
        <v>804648</v>
      </c>
      <c r="K23" s="90">
        <f>SUM(K10:K21)</f>
        <v>975242</v>
      </c>
      <c r="L23" s="90">
        <f t="shared" si="0"/>
        <v>125854</v>
      </c>
      <c r="M23" s="90">
        <f t="shared" si="0"/>
        <v>1009358</v>
      </c>
      <c r="N23" s="90">
        <f t="shared" si="0"/>
        <v>159812</v>
      </c>
      <c r="O23" s="90">
        <f t="shared" si="0"/>
        <v>7259708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STATS'!$K$13*0.21</f>
        <v>1567383.342</v>
      </c>
      <c r="D31" s="89">
        <f>'MONTHLY STATS'!$K$17*0.21</f>
        <v>689184.5604000001</v>
      </c>
      <c r="E31" s="89">
        <f>'MONTHLY STATS'!$K$21*0.21</f>
        <v>4460600.505899999</v>
      </c>
      <c r="F31" s="89">
        <f>'MONTHLY STATS'!$K$25*0.21</f>
        <v>3566987.9028</v>
      </c>
      <c r="G31" s="89">
        <f>'MONTHLY STATS'!$K$29*0.21</f>
        <v>1196258.2758</v>
      </c>
      <c r="H31" s="89">
        <f>'MONTHLY STATS'!$K$33*0.21</f>
        <v>1299852.3132</v>
      </c>
      <c r="I31" s="89">
        <f>'MONTHLY STATS'!$K$37*0.21</f>
        <v>2631543.7323000003</v>
      </c>
      <c r="J31" s="89">
        <f>'MONTHLY STATS'!$K$41*0.21</f>
        <v>3431655.6056999997</v>
      </c>
      <c r="K31" s="89">
        <f>'MONTHLY STATS'!$K$45*0.21</f>
        <v>4158981.4727999996</v>
      </c>
      <c r="L31" s="89">
        <f>'MONTHLY STATS'!$K$49*0.21</f>
        <v>615218.2322999999</v>
      </c>
      <c r="M31" s="89">
        <f>'MONTHLY STATS'!$K$53*0.21</f>
        <v>4984400.1732</v>
      </c>
      <c r="N31" s="89">
        <f>'MONTHLY STATS'!$K$57*0.21</f>
        <v>696109.2914999999</v>
      </c>
      <c r="O31" s="90">
        <f>SUM(B31:N31)</f>
        <v>32268399.771299995</v>
      </c>
      <c r="P31" s="83"/>
    </row>
    <row r="32" spans="1:16" ht="15.7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83"/>
    </row>
    <row r="33" spans="1:16" ht="15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2970224.3633999997</v>
      </c>
      <c r="C44" s="90">
        <f t="shared" si="1"/>
        <v>1567383.342</v>
      </c>
      <c r="D44" s="90">
        <f t="shared" si="1"/>
        <v>689184.5604000001</v>
      </c>
      <c r="E44" s="90">
        <f t="shared" si="1"/>
        <v>4460600.505899999</v>
      </c>
      <c r="F44" s="90">
        <f t="shared" si="1"/>
        <v>3566987.9028</v>
      </c>
      <c r="G44" s="90">
        <f t="shared" si="1"/>
        <v>1196258.2758</v>
      </c>
      <c r="H44" s="90">
        <f t="shared" si="1"/>
        <v>1299852.3132</v>
      </c>
      <c r="I44" s="90">
        <f>SUM(I31:I42)</f>
        <v>2631543.7323000003</v>
      </c>
      <c r="J44" s="90">
        <f t="shared" si="1"/>
        <v>3431655.6056999997</v>
      </c>
      <c r="K44" s="90">
        <f>SUM(K31:K42)</f>
        <v>4158981.4727999996</v>
      </c>
      <c r="L44" s="90">
        <f t="shared" si="1"/>
        <v>615218.2322999999</v>
      </c>
      <c r="M44" s="90">
        <f t="shared" si="1"/>
        <v>4984400.1732</v>
      </c>
      <c r="N44" s="90">
        <f t="shared" si="1"/>
        <v>696109.2914999999</v>
      </c>
      <c r="O44" s="90">
        <f t="shared" si="1"/>
        <v>32268399.771299995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>(+D9-E9)/E9</f>
        <v>0.4576837941177144</v>
      </c>
      <c r="G9" s="215">
        <f>D9/C9</f>
        <v>0.1915413646868858</v>
      </c>
      <c r="H9" s="123"/>
    </row>
    <row r="10" spans="1:8" ht="15.75" thickBot="1">
      <c r="A10" s="133"/>
      <c r="B10" s="134"/>
      <c r="C10" s="204"/>
      <c r="D10" s="204"/>
      <c r="E10" s="204"/>
      <c r="F10" s="132"/>
      <c r="G10" s="215"/>
      <c r="H10" s="123"/>
    </row>
    <row r="11" spans="1:8" ht="17.25" thickBot="1" thickTop="1">
      <c r="A11" s="135" t="s">
        <v>14</v>
      </c>
      <c r="B11" s="136"/>
      <c r="C11" s="201">
        <f>SUM(C9:C10)</f>
        <v>9106294</v>
      </c>
      <c r="D11" s="201">
        <f>SUM(D9:D10)</f>
        <v>1744231.98</v>
      </c>
      <c r="E11" s="201">
        <f>SUM(E9:E10)</f>
        <v>1196577.74</v>
      </c>
      <c r="F11" s="137">
        <f>(+D11-E11)/E11</f>
        <v>0.4576837941177144</v>
      </c>
      <c r="G11" s="212">
        <f>D11/C11</f>
        <v>0.1915413646868858</v>
      </c>
      <c r="H11" s="123"/>
    </row>
    <row r="12" spans="1:8" ht="15.75" customHeight="1" thickTop="1">
      <c r="A12" s="138"/>
      <c r="B12" s="139"/>
      <c r="C12" s="205"/>
      <c r="D12" s="205"/>
      <c r="E12" s="205"/>
      <c r="F12" s="140"/>
      <c r="G12" s="216"/>
      <c r="H12" s="123"/>
    </row>
    <row r="13" spans="1:8" ht="15.75">
      <c r="A13" s="19" t="s">
        <v>15</v>
      </c>
      <c r="B13" s="131">
        <f>DATE(2017,7,1)</f>
        <v>42917</v>
      </c>
      <c r="C13" s="204">
        <v>2522382</v>
      </c>
      <c r="D13" s="204">
        <v>642088</v>
      </c>
      <c r="E13" s="204">
        <v>472086</v>
      </c>
      <c r="F13" s="132">
        <f>(+D13-E13)/E13</f>
        <v>0.36010811589413794</v>
      </c>
      <c r="G13" s="215">
        <f>D13/C13</f>
        <v>0.254556209170538</v>
      </c>
      <c r="H13" s="123"/>
    </row>
    <row r="14" spans="1:8" ht="15.75" thickBot="1">
      <c r="A14" s="133"/>
      <c r="B14" s="131"/>
      <c r="C14" s="204"/>
      <c r="D14" s="204"/>
      <c r="E14" s="204"/>
      <c r="F14" s="132"/>
      <c r="G14" s="215"/>
      <c r="H14" s="123"/>
    </row>
    <row r="15" spans="1:8" ht="17.25" thickBot="1" thickTop="1">
      <c r="A15" s="135" t="s">
        <v>14</v>
      </c>
      <c r="B15" s="136"/>
      <c r="C15" s="201">
        <f>SUM(C13:C14)</f>
        <v>2522382</v>
      </c>
      <c r="D15" s="201">
        <f>SUM(D13:D14)</f>
        <v>642088</v>
      </c>
      <c r="E15" s="201">
        <f>SUM(E13:E14)</f>
        <v>472086</v>
      </c>
      <c r="F15" s="137">
        <f>(+D15-E15)/E15</f>
        <v>0.36010811589413794</v>
      </c>
      <c r="G15" s="212">
        <f>D15/C15</f>
        <v>0.254556209170538</v>
      </c>
      <c r="H15" s="123"/>
    </row>
    <row r="16" spans="1:8" ht="15.75" customHeight="1" thickTop="1">
      <c r="A16" s="255"/>
      <c r="B16" s="139"/>
      <c r="C16" s="205"/>
      <c r="D16" s="205"/>
      <c r="E16" s="205"/>
      <c r="F16" s="140"/>
      <c r="G16" s="219"/>
      <c r="H16" s="123"/>
    </row>
    <row r="17" spans="1:8" ht="15.75">
      <c r="A17" s="19" t="s">
        <v>56</v>
      </c>
      <c r="B17" s="131">
        <f>DATE(2017,7,1)</f>
        <v>42917</v>
      </c>
      <c r="C17" s="204">
        <v>1479706</v>
      </c>
      <c r="D17" s="204">
        <v>330815.5</v>
      </c>
      <c r="E17" s="204">
        <v>360412.5</v>
      </c>
      <c r="F17" s="132">
        <f>(+D17-E17)/E17</f>
        <v>-0.08211979329240801</v>
      </c>
      <c r="G17" s="215">
        <f>D17/C17</f>
        <v>0.223568398046639</v>
      </c>
      <c r="H17" s="123"/>
    </row>
    <row r="18" spans="1:8" ht="15.75" thickBot="1">
      <c r="A18" s="133"/>
      <c r="B18" s="131"/>
      <c r="C18" s="204"/>
      <c r="D18" s="204"/>
      <c r="E18" s="204"/>
      <c r="F18" s="132"/>
      <c r="G18" s="215"/>
      <c r="H18" s="123"/>
    </row>
    <row r="19" spans="1:8" ht="17.25" thickBot="1" thickTop="1">
      <c r="A19" s="141" t="s">
        <v>14</v>
      </c>
      <c r="B19" s="142"/>
      <c r="C19" s="206">
        <f>SUM(C17:C18)</f>
        <v>1479706</v>
      </c>
      <c r="D19" s="206">
        <f>SUM(D17:D18)</f>
        <v>330815.5</v>
      </c>
      <c r="E19" s="206">
        <f>SUM(E17:E18)</f>
        <v>360412.5</v>
      </c>
      <c r="F19" s="143">
        <f>(+D19-E19)/E19</f>
        <v>-0.08211979329240801</v>
      </c>
      <c r="G19" s="217">
        <f>D19/C19</f>
        <v>0.223568398046639</v>
      </c>
      <c r="H19" s="123"/>
    </row>
    <row r="20" spans="1:8" ht="15.75" thickTop="1">
      <c r="A20" s="133"/>
      <c r="B20" s="134"/>
      <c r="C20" s="204"/>
      <c r="D20" s="204"/>
      <c r="E20" s="204"/>
      <c r="F20" s="132"/>
      <c r="G20" s="218"/>
      <c r="H20" s="123"/>
    </row>
    <row r="21" spans="1:8" ht="15.75">
      <c r="A21" s="177" t="s">
        <v>65</v>
      </c>
      <c r="B21" s="131">
        <f>DATE(2017,7,1)</f>
        <v>42917</v>
      </c>
      <c r="C21" s="204">
        <v>15842408</v>
      </c>
      <c r="D21" s="204">
        <v>3444883.46</v>
      </c>
      <c r="E21" s="204">
        <v>3130542.12</v>
      </c>
      <c r="F21" s="132">
        <f>(+D21-E21)/E21</f>
        <v>0.10041115179117917</v>
      </c>
      <c r="G21" s="215">
        <f>D21/C21</f>
        <v>0.21744696008334086</v>
      </c>
      <c r="H21" s="123"/>
    </row>
    <row r="22" spans="1:8" ht="15.75" customHeight="1" thickBot="1">
      <c r="A22" s="133"/>
      <c r="B22" s="134"/>
      <c r="C22" s="204"/>
      <c r="D22" s="204"/>
      <c r="E22" s="204"/>
      <c r="F22" s="132"/>
      <c r="G22" s="215"/>
      <c r="H22" s="123"/>
    </row>
    <row r="23" spans="1:8" ht="17.25" customHeight="1" thickBot="1" thickTop="1">
      <c r="A23" s="141" t="s">
        <v>14</v>
      </c>
      <c r="B23" s="142"/>
      <c r="C23" s="206">
        <f>SUM(C21:C22)</f>
        <v>15842408</v>
      </c>
      <c r="D23" s="206">
        <f>SUM(D21:D22)</f>
        <v>3444883.46</v>
      </c>
      <c r="E23" s="206">
        <f>SUM(E21:E22)</f>
        <v>3130542.12</v>
      </c>
      <c r="F23" s="143">
        <f>(+D23-E23)/E23</f>
        <v>0.10041115179117917</v>
      </c>
      <c r="G23" s="217">
        <f>D23/C23</f>
        <v>0.21744696008334086</v>
      </c>
      <c r="H23" s="123"/>
    </row>
    <row r="24" spans="1:8" ht="15.75" customHeight="1" thickTop="1">
      <c r="A24" s="133"/>
      <c r="B24" s="134"/>
      <c r="C24" s="204"/>
      <c r="D24" s="204"/>
      <c r="E24" s="204"/>
      <c r="F24" s="132"/>
      <c r="G24" s="218"/>
      <c r="H24" s="123"/>
    </row>
    <row r="25" spans="1:8" ht="15" customHeight="1">
      <c r="A25" s="130" t="s">
        <v>39</v>
      </c>
      <c r="B25" s="131">
        <f>DATE(2017,7,1)</f>
        <v>42917</v>
      </c>
      <c r="C25" s="204">
        <v>17883666</v>
      </c>
      <c r="D25" s="204">
        <v>4596352</v>
      </c>
      <c r="E25" s="204">
        <v>2718467</v>
      </c>
      <c r="F25" s="132">
        <f>(+D25-E25)/E25</f>
        <v>0.6907882273354798</v>
      </c>
      <c r="G25" s="215">
        <f>D25/C25</f>
        <v>0.25701397017815025</v>
      </c>
      <c r="H25" s="123"/>
    </row>
    <row r="26" spans="1:8" ht="15.75" thickBot="1">
      <c r="A26" s="133"/>
      <c r="B26" s="131"/>
      <c r="C26" s="204"/>
      <c r="D26" s="204"/>
      <c r="E26" s="204"/>
      <c r="F26" s="132"/>
      <c r="G26" s="215"/>
      <c r="H26" s="123"/>
    </row>
    <row r="27" spans="1:8" ht="17.25" customHeight="1" thickBot="1" thickTop="1">
      <c r="A27" s="141" t="s">
        <v>14</v>
      </c>
      <c r="B27" s="142"/>
      <c r="C27" s="207">
        <f>SUM(C25:C26)</f>
        <v>17883666</v>
      </c>
      <c r="D27" s="261">
        <f>SUM(D25:D26)</f>
        <v>4596352</v>
      </c>
      <c r="E27" s="206">
        <f>SUM(E25:E26)</f>
        <v>2718467</v>
      </c>
      <c r="F27" s="268">
        <f>(+D27-E27)/E27</f>
        <v>0.6907882273354798</v>
      </c>
      <c r="G27" s="267">
        <f>D27/C27</f>
        <v>0.25701397017815025</v>
      </c>
      <c r="H27" s="123"/>
    </row>
    <row r="28" spans="1:8" ht="15.75" customHeight="1" thickTop="1">
      <c r="A28" s="130"/>
      <c r="B28" s="134"/>
      <c r="C28" s="204"/>
      <c r="D28" s="204"/>
      <c r="E28" s="204"/>
      <c r="F28" s="132"/>
      <c r="G28" s="218"/>
      <c r="H28" s="123"/>
    </row>
    <row r="29" spans="1:8" ht="15.75">
      <c r="A29" s="130" t="s">
        <v>66</v>
      </c>
      <c r="B29" s="131">
        <f>DATE(2017,7,1)</f>
        <v>42917</v>
      </c>
      <c r="C29" s="204">
        <v>2593382</v>
      </c>
      <c r="D29" s="204">
        <v>704742.5</v>
      </c>
      <c r="E29" s="204">
        <v>754116</v>
      </c>
      <c r="F29" s="132">
        <f>(+D29-E29)/E29</f>
        <v>-0.06547202287181282</v>
      </c>
      <c r="G29" s="215">
        <f>D29/C29</f>
        <v>0.2717465070706899</v>
      </c>
      <c r="H29" s="123"/>
    </row>
    <row r="30" spans="1:8" ht="15.75" customHeight="1" thickBot="1">
      <c r="A30" s="130"/>
      <c r="B30" s="131"/>
      <c r="C30" s="204"/>
      <c r="D30" s="204"/>
      <c r="E30" s="204"/>
      <c r="F30" s="132"/>
      <c r="G30" s="215"/>
      <c r="H30" s="123"/>
    </row>
    <row r="31" spans="1:8" ht="17.25" thickBot="1" thickTop="1">
      <c r="A31" s="141" t="s">
        <v>14</v>
      </c>
      <c r="B31" s="142"/>
      <c r="C31" s="207">
        <f>SUM(C29:C30)</f>
        <v>2593382</v>
      </c>
      <c r="D31" s="261">
        <f>SUM(D29:D30)</f>
        <v>704742.5</v>
      </c>
      <c r="E31" s="207">
        <f>SUM(E29:E30)</f>
        <v>754116</v>
      </c>
      <c r="F31" s="268">
        <f>(+D31-E31)/E31</f>
        <v>-0.06547202287181282</v>
      </c>
      <c r="G31" s="267">
        <f>D31/C31</f>
        <v>0.2717465070706899</v>
      </c>
      <c r="H31" s="123"/>
    </row>
    <row r="32" spans="1:8" ht="15.75" customHeight="1" thickTop="1">
      <c r="A32" s="130"/>
      <c r="B32" s="134"/>
      <c r="C32" s="204"/>
      <c r="D32" s="204"/>
      <c r="E32" s="204"/>
      <c r="F32" s="132"/>
      <c r="G32" s="218"/>
      <c r="H32" s="123"/>
    </row>
    <row r="33" spans="1:8" ht="15.75">
      <c r="A33" s="130" t="s">
        <v>17</v>
      </c>
      <c r="B33" s="131">
        <f>DATE(2017,7,1)</f>
        <v>42917</v>
      </c>
      <c r="C33" s="204">
        <v>1774615.5</v>
      </c>
      <c r="D33" s="204">
        <v>367602</v>
      </c>
      <c r="E33" s="204">
        <v>441103</v>
      </c>
      <c r="F33" s="132">
        <f>(+D33-E33)/E33</f>
        <v>-0.1666300161186843</v>
      </c>
      <c r="G33" s="215">
        <f>D33/C33</f>
        <v>0.20714458991257542</v>
      </c>
      <c r="H33" s="123"/>
    </row>
    <row r="34" spans="1:8" ht="15.75" customHeight="1" thickBot="1">
      <c r="A34" s="130"/>
      <c r="B34" s="131"/>
      <c r="C34" s="204"/>
      <c r="D34" s="204"/>
      <c r="E34" s="204"/>
      <c r="F34" s="132"/>
      <c r="G34" s="215"/>
      <c r="H34" s="123"/>
    </row>
    <row r="35" spans="1:8" ht="17.25" thickBot="1" thickTop="1">
      <c r="A35" s="141" t="s">
        <v>14</v>
      </c>
      <c r="B35" s="142"/>
      <c r="C35" s="207">
        <f>SUM(C33:C34)</f>
        <v>1774615.5</v>
      </c>
      <c r="D35" s="261">
        <f>SUM(D33:D34)</f>
        <v>367602</v>
      </c>
      <c r="E35" s="207">
        <f>SUM(E33:E34)</f>
        <v>441103</v>
      </c>
      <c r="F35" s="269">
        <f>(+D35-E35)/E35</f>
        <v>-0.1666300161186843</v>
      </c>
      <c r="G35" s="267">
        <f>D35/C35</f>
        <v>0.20714458991257542</v>
      </c>
      <c r="H35" s="123"/>
    </row>
    <row r="36" spans="1:8" ht="15.75" customHeight="1" thickTop="1">
      <c r="A36" s="130"/>
      <c r="B36" s="139"/>
      <c r="C36" s="205"/>
      <c r="D36" s="205"/>
      <c r="E36" s="205"/>
      <c r="F36" s="140"/>
      <c r="G36" s="216"/>
      <c r="H36" s="123"/>
    </row>
    <row r="37" spans="1:8" ht="15.75">
      <c r="A37" s="130" t="s">
        <v>55</v>
      </c>
      <c r="B37" s="131">
        <f>DATE(2017,7,1)</f>
        <v>42917</v>
      </c>
      <c r="C37" s="204">
        <v>11293642</v>
      </c>
      <c r="D37" s="204">
        <v>2413072.38</v>
      </c>
      <c r="E37" s="204">
        <v>2520439.82</v>
      </c>
      <c r="F37" s="132">
        <f>(+D37-E37)/E37</f>
        <v>-0.04259869216000561</v>
      </c>
      <c r="G37" s="215">
        <f>D37/C37</f>
        <v>0.21366644878596291</v>
      </c>
      <c r="H37" s="123"/>
    </row>
    <row r="38" spans="1:8" ht="15.75" customHeight="1" thickBot="1">
      <c r="A38" s="130"/>
      <c r="B38" s="131"/>
      <c r="C38" s="204"/>
      <c r="D38" s="204"/>
      <c r="E38" s="204"/>
      <c r="F38" s="132"/>
      <c r="G38" s="215"/>
      <c r="H38" s="123"/>
    </row>
    <row r="39" spans="1:8" ht="17.25" thickBot="1" thickTop="1">
      <c r="A39" s="141" t="s">
        <v>14</v>
      </c>
      <c r="B39" s="142"/>
      <c r="C39" s="206">
        <f>SUM(C37:C38)</f>
        <v>11293642</v>
      </c>
      <c r="D39" s="206">
        <f>SUM(D37:D38)</f>
        <v>2413072.38</v>
      </c>
      <c r="E39" s="206">
        <f>SUM(E37:E38)</f>
        <v>2520439.82</v>
      </c>
      <c r="F39" s="143">
        <f>(+D39-E39)/E39</f>
        <v>-0.04259869216000561</v>
      </c>
      <c r="G39" s="217">
        <f>D39/C39</f>
        <v>0.21366644878596291</v>
      </c>
      <c r="H39" s="123"/>
    </row>
    <row r="40" spans="1:8" ht="15.75" customHeight="1" thickTop="1">
      <c r="A40" s="138"/>
      <c r="B40" s="139"/>
      <c r="C40" s="205"/>
      <c r="D40" s="205"/>
      <c r="E40" s="205"/>
      <c r="F40" s="140"/>
      <c r="G40" s="216"/>
      <c r="H40" s="123"/>
    </row>
    <row r="41" spans="1:8" ht="15.75">
      <c r="A41" s="130" t="s">
        <v>18</v>
      </c>
      <c r="B41" s="131">
        <f>DATE(2017,7,1)</f>
        <v>42917</v>
      </c>
      <c r="C41" s="204">
        <v>11171474.5</v>
      </c>
      <c r="D41" s="204">
        <v>2350317.5</v>
      </c>
      <c r="E41" s="204">
        <v>2118226.5</v>
      </c>
      <c r="F41" s="132">
        <f>(+D41-E41)/E41</f>
        <v>0.1095685470840819</v>
      </c>
      <c r="G41" s="215">
        <f>D41/C41</f>
        <v>0.2103856120335771</v>
      </c>
      <c r="H41" s="123"/>
    </row>
    <row r="42" spans="1:8" ht="15.75" customHeight="1" thickBot="1">
      <c r="A42" s="130"/>
      <c r="B42" s="131"/>
      <c r="C42" s="204"/>
      <c r="D42" s="204"/>
      <c r="E42" s="204"/>
      <c r="F42" s="132"/>
      <c r="G42" s="215"/>
      <c r="H42" s="123"/>
    </row>
    <row r="43" spans="1:8" ht="17.25" thickBot="1" thickTop="1">
      <c r="A43" s="141" t="s">
        <v>14</v>
      </c>
      <c r="B43" s="142"/>
      <c r="C43" s="206">
        <f>SUM(C41:C42)</f>
        <v>11171474.5</v>
      </c>
      <c r="D43" s="206">
        <f>SUM(D41:D42)</f>
        <v>2350317.5</v>
      </c>
      <c r="E43" s="206">
        <f>SUM(E41:E42)</f>
        <v>2118226.5</v>
      </c>
      <c r="F43" s="143">
        <f>(+D43-E43)/E43</f>
        <v>0.1095685470840819</v>
      </c>
      <c r="G43" s="217">
        <f>D43/C43</f>
        <v>0.2103856120335771</v>
      </c>
      <c r="H43" s="123"/>
    </row>
    <row r="44" spans="1:8" ht="15.75" customHeight="1" thickTop="1">
      <c r="A44" s="138"/>
      <c r="B44" s="139"/>
      <c r="C44" s="205"/>
      <c r="D44" s="205"/>
      <c r="E44" s="205"/>
      <c r="F44" s="140"/>
      <c r="G44" s="216"/>
      <c r="H44" s="123"/>
    </row>
    <row r="45" spans="1:8" ht="15.75">
      <c r="A45" s="130" t="s">
        <v>58</v>
      </c>
      <c r="B45" s="131">
        <f>DATE(2017,7,1)</f>
        <v>42917</v>
      </c>
      <c r="C45" s="204">
        <v>12458554</v>
      </c>
      <c r="D45" s="204">
        <v>2354816.66</v>
      </c>
      <c r="E45" s="204">
        <v>1971007.14</v>
      </c>
      <c r="F45" s="132">
        <f>(+D45-E45)/E45</f>
        <v>0.19472761524344365</v>
      </c>
      <c r="G45" s="215">
        <f>D45/C45</f>
        <v>0.1890120362282814</v>
      </c>
      <c r="H45" s="123"/>
    </row>
    <row r="46" spans="1:8" ht="15.75" thickBot="1">
      <c r="A46" s="133"/>
      <c r="B46" s="131"/>
      <c r="C46" s="204"/>
      <c r="D46" s="204"/>
      <c r="E46" s="204"/>
      <c r="F46" s="132"/>
      <c r="G46" s="215"/>
      <c r="H46" s="123"/>
    </row>
    <row r="47" spans="1:8" ht="17.25" thickBot="1" thickTop="1">
      <c r="A47" s="141" t="s">
        <v>14</v>
      </c>
      <c r="B47" s="142"/>
      <c r="C47" s="207">
        <f>SUM(C45:C46)</f>
        <v>12458554</v>
      </c>
      <c r="D47" s="207">
        <f>SUM(D45:D46)</f>
        <v>2354816.66</v>
      </c>
      <c r="E47" s="207">
        <f>SUM(E45:E46)</f>
        <v>1971007.14</v>
      </c>
      <c r="F47" s="143">
        <f>(+D47-E47)/E47</f>
        <v>0.19472761524344365</v>
      </c>
      <c r="G47" s="267">
        <f>D47/C47</f>
        <v>0.1890120362282814</v>
      </c>
      <c r="H47" s="123"/>
    </row>
    <row r="48" spans="1:8" ht="15.75" customHeight="1" thickTop="1">
      <c r="A48" s="138"/>
      <c r="B48" s="139"/>
      <c r="C48" s="205"/>
      <c r="D48" s="205"/>
      <c r="E48" s="205"/>
      <c r="F48" s="140"/>
      <c r="G48" s="219"/>
      <c r="H48" s="123"/>
    </row>
    <row r="49" spans="1:8" ht="15.75">
      <c r="A49" s="130" t="s">
        <v>59</v>
      </c>
      <c r="B49" s="131">
        <f>DATE(2017,7,1)</f>
        <v>42917</v>
      </c>
      <c r="C49" s="204">
        <v>808349</v>
      </c>
      <c r="D49" s="204">
        <v>185261.5</v>
      </c>
      <c r="E49" s="204">
        <v>206069.5</v>
      </c>
      <c r="F49" s="132">
        <f>(+D49-E49)/E49</f>
        <v>-0.10097564171311135</v>
      </c>
      <c r="G49" s="215">
        <f>D49/C49</f>
        <v>0.22918504259917435</v>
      </c>
      <c r="H49" s="123"/>
    </row>
    <row r="50" spans="1:8" ht="15.75" thickBot="1">
      <c r="A50" s="133"/>
      <c r="B50" s="134"/>
      <c r="C50" s="204"/>
      <c r="D50" s="204"/>
      <c r="E50" s="204"/>
      <c r="F50" s="132"/>
      <c r="G50" s="215"/>
      <c r="H50" s="123"/>
    </row>
    <row r="51" spans="1:8" ht="17.25" thickBot="1" thickTop="1">
      <c r="A51" s="144" t="s">
        <v>14</v>
      </c>
      <c r="B51" s="145"/>
      <c r="C51" s="207">
        <f>SUM(C49:C50)</f>
        <v>808349</v>
      </c>
      <c r="D51" s="207">
        <f>SUM(D49:D50)</f>
        <v>185261.5</v>
      </c>
      <c r="E51" s="207">
        <f>SUM(E49:E50)</f>
        <v>206069.5</v>
      </c>
      <c r="F51" s="143">
        <f>(+D51-E51)/E51</f>
        <v>-0.10097564171311135</v>
      </c>
      <c r="G51" s="217">
        <f>D51/C51</f>
        <v>0.22918504259917435</v>
      </c>
      <c r="H51" s="123"/>
    </row>
    <row r="52" spans="1:8" ht="15.75" customHeight="1" thickTop="1">
      <c r="A52" s="130"/>
      <c r="B52" s="134"/>
      <c r="C52" s="204"/>
      <c r="D52" s="204"/>
      <c r="E52" s="204"/>
      <c r="F52" s="132"/>
      <c r="G52" s="218"/>
      <c r="H52" s="123"/>
    </row>
    <row r="53" spans="1:8" ht="15.75">
      <c r="A53" s="130" t="s">
        <v>40</v>
      </c>
      <c r="B53" s="131">
        <f>DATE(2017,7,1)</f>
        <v>42917</v>
      </c>
      <c r="C53" s="204">
        <v>15476448</v>
      </c>
      <c r="D53" s="204">
        <v>3485005.33</v>
      </c>
      <c r="E53" s="204">
        <v>3555002.5</v>
      </c>
      <c r="F53" s="132">
        <f>(+D53-E53)/E53</f>
        <v>-0.019689766744186515</v>
      </c>
      <c r="G53" s="215">
        <f>D53/C53</f>
        <v>0.22518121276923492</v>
      </c>
      <c r="H53" s="123"/>
    </row>
    <row r="54" spans="1:8" ht="15.75" thickBot="1">
      <c r="A54" s="133"/>
      <c r="B54" s="134"/>
      <c r="C54" s="204"/>
      <c r="D54" s="204"/>
      <c r="E54" s="204"/>
      <c r="F54" s="132"/>
      <c r="G54" s="215"/>
      <c r="H54" s="123"/>
    </row>
    <row r="55" spans="1:8" ht="17.25" thickBot="1" thickTop="1">
      <c r="A55" s="141" t="s">
        <v>14</v>
      </c>
      <c r="B55" s="142"/>
      <c r="C55" s="206">
        <f>SUM(C53:C54)</f>
        <v>15476448</v>
      </c>
      <c r="D55" s="207">
        <f>SUM(D53:D54)</f>
        <v>3485005.33</v>
      </c>
      <c r="E55" s="206">
        <f>SUM(E53:E54)</f>
        <v>3555002.5</v>
      </c>
      <c r="F55" s="143">
        <f>(+D55-E55)/E55</f>
        <v>-0.019689766744186515</v>
      </c>
      <c r="G55" s="217">
        <f>D55/C55</f>
        <v>0.22518121276923492</v>
      </c>
      <c r="H55" s="123"/>
    </row>
    <row r="56" spans="1:8" ht="15.75" customHeight="1" thickTop="1">
      <c r="A56" s="130"/>
      <c r="B56" s="134"/>
      <c r="C56" s="204"/>
      <c r="D56" s="204"/>
      <c r="E56" s="204"/>
      <c r="F56" s="132"/>
      <c r="G56" s="218"/>
      <c r="H56" s="123"/>
    </row>
    <row r="57" spans="1:8" ht="15.75">
      <c r="A57" s="130" t="s">
        <v>64</v>
      </c>
      <c r="B57" s="131">
        <f>DATE(2017,7,1)</f>
        <v>42917</v>
      </c>
      <c r="C57" s="204">
        <v>829717</v>
      </c>
      <c r="D57" s="204">
        <v>283672</v>
      </c>
      <c r="E57" s="204">
        <v>188854</v>
      </c>
      <c r="F57" s="132">
        <f>(+D57-E57)/E57</f>
        <v>0.5020703824118102</v>
      </c>
      <c r="G57" s="215">
        <f>D57/C57</f>
        <v>0.341890066130982</v>
      </c>
      <c r="H57" s="123"/>
    </row>
    <row r="58" spans="1:8" ht="15.75" thickBot="1">
      <c r="A58" s="133"/>
      <c r="B58" s="134"/>
      <c r="C58" s="204"/>
      <c r="D58" s="204"/>
      <c r="E58" s="204"/>
      <c r="F58" s="132"/>
      <c r="G58" s="215"/>
      <c r="H58" s="123"/>
    </row>
    <row r="59" spans="1:8" ht="17.25" thickBot="1" thickTop="1">
      <c r="A59" s="135" t="s">
        <v>14</v>
      </c>
      <c r="B59" s="136"/>
      <c r="C59" s="201">
        <f>SUM(C57:C58)</f>
        <v>829717</v>
      </c>
      <c r="D59" s="207">
        <f>SUM(D57:D58)</f>
        <v>283672</v>
      </c>
      <c r="E59" s="207">
        <f>SUM(E57:E58)</f>
        <v>188854</v>
      </c>
      <c r="F59" s="143">
        <f>(+D59-E59)/E59</f>
        <v>0.5020703824118102</v>
      </c>
      <c r="G59" s="217">
        <f>D59/C59</f>
        <v>0.341890066130982</v>
      </c>
      <c r="H59" s="123"/>
    </row>
    <row r="60" spans="1:8" ht="16.5" thickBot="1" thickTop="1">
      <c r="A60" s="146"/>
      <c r="B60" s="139"/>
      <c r="C60" s="205"/>
      <c r="D60" s="205"/>
      <c r="E60" s="205"/>
      <c r="F60" s="140"/>
      <c r="G60" s="216"/>
      <c r="H60" s="123"/>
    </row>
    <row r="61" spans="1:8" ht="17.25" thickBot="1" thickTop="1">
      <c r="A61" s="147" t="s">
        <v>41</v>
      </c>
      <c r="B61" s="121"/>
      <c r="C61" s="201">
        <f>C59+C55+C43+C35+C27+C19+C11+C23+C51+C15+C39+C47+C31</f>
        <v>103240638</v>
      </c>
      <c r="D61" s="201">
        <f>D59+D55+D43+D35+D27+D19+D11+D23+D51+D15+D39+D47+D31</f>
        <v>22902860.81</v>
      </c>
      <c r="E61" s="201">
        <f>E59+E55+E43+E35+E27+E19+E11+E23+E51+E15+E39+E47+E31</f>
        <v>19632903.82</v>
      </c>
      <c r="F61" s="137">
        <f>(+D61-E61)/E61</f>
        <v>0.16655493349225803</v>
      </c>
      <c r="G61" s="212">
        <f>D61/C61</f>
        <v>0.22183959004592743</v>
      </c>
      <c r="H61" s="123"/>
    </row>
    <row r="62" spans="1:8" ht="17.25" thickBot="1" thickTop="1">
      <c r="A62" s="147"/>
      <c r="B62" s="121"/>
      <c r="C62" s="201"/>
      <c r="D62" s="201"/>
      <c r="E62" s="201"/>
      <c r="F62" s="137"/>
      <c r="G62" s="212"/>
      <c r="H62" s="123"/>
    </row>
    <row r="63" spans="1:8" ht="17.25" thickBot="1" thickTop="1">
      <c r="A63" s="265" t="s">
        <v>42</v>
      </c>
      <c r="B63" s="266"/>
      <c r="C63" s="206">
        <f>+C9+C13+C17+C21+C25+C29+C33+C37+C41+C45+C49+C53+C57</f>
        <v>103240638</v>
      </c>
      <c r="D63" s="206">
        <f>+D9+D13+D17+D21+D25+D29+D33+D37+D41+D45+D49+D53+D57</f>
        <v>22902860.810000002</v>
      </c>
      <c r="E63" s="206">
        <f>+E9+E13+E17+E21+E25+E29+E33+E37+E41+E45+E49+E53+E57</f>
        <v>19632903.82</v>
      </c>
      <c r="F63" s="143">
        <f>(+D63-E63)/E63</f>
        <v>0.1665549334922582</v>
      </c>
      <c r="G63" s="217">
        <f>D63/C63</f>
        <v>0.2218395900459275</v>
      </c>
      <c r="H63" s="123"/>
    </row>
    <row r="64" spans="1:8" ht="16.5" thickTop="1">
      <c r="A64" s="256"/>
      <c r="B64" s="258"/>
      <c r="C64" s="259"/>
      <c r="D64" s="259"/>
      <c r="E64" s="259"/>
      <c r="F64" s="260"/>
      <c r="G64" s="257"/>
      <c r="H64" s="257"/>
    </row>
    <row r="65" spans="1:7" ht="18.75">
      <c r="A65" s="263" t="s">
        <v>43</v>
      </c>
      <c r="B65" s="117"/>
      <c r="C65" s="208"/>
      <c r="D65" s="208"/>
      <c r="E65" s="208"/>
      <c r="F65" s="148"/>
      <c r="G65" s="220"/>
    </row>
    <row r="66" ht="15.75">
      <c r="A66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>(+D10-E10)/E10</f>
        <v>-0.02828805276629082</v>
      </c>
      <c r="G10" s="241">
        <f>D10/C10</f>
        <v>0.09687023279842813</v>
      </c>
      <c r="H10" s="242">
        <f>1-G10</f>
        <v>0.9031297672015719</v>
      </c>
      <c r="I10" s="157"/>
    </row>
    <row r="11" spans="1:9" ht="15.75" thickBot="1">
      <c r="A11" s="167"/>
      <c r="B11" s="168"/>
      <c r="C11" s="226"/>
      <c r="D11" s="226"/>
      <c r="E11" s="226"/>
      <c r="F11" s="166"/>
      <c r="G11" s="241"/>
      <c r="H11" s="242"/>
      <c r="I11" s="157"/>
    </row>
    <row r="12" spans="1:9" ht="17.25" thickBot="1" thickTop="1">
      <c r="A12" s="169" t="s">
        <v>14</v>
      </c>
      <c r="B12" s="155"/>
      <c r="C12" s="223">
        <f>SUM(C10:C11)</f>
        <v>128003135.76</v>
      </c>
      <c r="D12" s="223">
        <f>SUM(D10:D11)</f>
        <v>12399693.56</v>
      </c>
      <c r="E12" s="223">
        <f>SUM(E10:E11)</f>
        <v>12760668.01</v>
      </c>
      <c r="F12" s="170">
        <f>(+D12-E12)/E12</f>
        <v>-0.02828805276629082</v>
      </c>
      <c r="G12" s="236">
        <f>D12/C12</f>
        <v>0.09687023279842813</v>
      </c>
      <c r="H12" s="237">
        <f>1-G12</f>
        <v>0.9031297672015719</v>
      </c>
      <c r="I12" s="157"/>
    </row>
    <row r="13" spans="1:9" ht="15.75" thickTop="1">
      <c r="A13" s="171"/>
      <c r="B13" s="172"/>
      <c r="C13" s="227"/>
      <c r="D13" s="227"/>
      <c r="E13" s="227"/>
      <c r="F13" s="173"/>
      <c r="G13" s="243"/>
      <c r="H13" s="244"/>
      <c r="I13" s="157"/>
    </row>
    <row r="14" spans="1:9" ht="15.75">
      <c r="A14" s="19" t="s">
        <v>51</v>
      </c>
      <c r="B14" s="165">
        <f>DATE(17,7,1)</f>
        <v>6392</v>
      </c>
      <c r="C14" s="226">
        <v>70369862.87</v>
      </c>
      <c r="D14" s="226">
        <v>6821642.2</v>
      </c>
      <c r="E14" s="226">
        <v>7099133.54</v>
      </c>
      <c r="F14" s="166">
        <f>(+D14-E14)/E14</f>
        <v>-0.03908805749835209</v>
      </c>
      <c r="G14" s="241">
        <f>D14/C14</f>
        <v>0.09693982511522264</v>
      </c>
      <c r="H14" s="242">
        <f>1-G14</f>
        <v>0.9030601748847773</v>
      </c>
      <c r="I14" s="157"/>
    </row>
    <row r="15" spans="1:9" ht="15.75" thickBot="1">
      <c r="A15" s="167"/>
      <c r="B15" s="165"/>
      <c r="C15" s="226"/>
      <c r="D15" s="226"/>
      <c r="E15" s="226"/>
      <c r="F15" s="166"/>
      <c r="G15" s="241"/>
      <c r="H15" s="242"/>
      <c r="I15" s="157"/>
    </row>
    <row r="16" spans="1:9" ht="17.25" thickBot="1" thickTop="1">
      <c r="A16" s="169" t="s">
        <v>14</v>
      </c>
      <c r="B16" s="155"/>
      <c r="C16" s="223">
        <f>SUM(C14:C15)</f>
        <v>70369862.87</v>
      </c>
      <c r="D16" s="223">
        <f>SUM(D14:D15)</f>
        <v>6821642.2</v>
      </c>
      <c r="E16" s="223">
        <f>SUM(E14:E15)</f>
        <v>7099133.54</v>
      </c>
      <c r="F16" s="170">
        <f>(+D16-E16)/E16</f>
        <v>-0.03908805749835209</v>
      </c>
      <c r="G16" s="236">
        <f>D16/C16</f>
        <v>0.09693982511522264</v>
      </c>
      <c r="H16" s="237">
        <f>1-G16</f>
        <v>0.9030601748847773</v>
      </c>
      <c r="I16" s="157"/>
    </row>
    <row r="17" spans="1:9" ht="15.75" thickTop="1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>
      <c r="A18" s="19" t="s">
        <v>60</v>
      </c>
      <c r="B18" s="165">
        <f>DATE(17,7,1)</f>
        <v>6392</v>
      </c>
      <c r="C18" s="226">
        <v>27686533.48</v>
      </c>
      <c r="D18" s="226">
        <v>2951015.74</v>
      </c>
      <c r="E18" s="226">
        <v>3021071.12</v>
      </c>
      <c r="F18" s="166">
        <f>(+D18-E18)/E18</f>
        <v>-0.0231889211532365</v>
      </c>
      <c r="G18" s="241">
        <f>D18/C18</f>
        <v>0.10658668201028973</v>
      </c>
      <c r="H18" s="242">
        <f>1-G18</f>
        <v>0.8934133179897102</v>
      </c>
      <c r="I18" s="157"/>
    </row>
    <row r="19" spans="1:9" ht="15.75" thickBot="1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Bot="1" thickTop="1">
      <c r="A20" s="174" t="s">
        <v>14</v>
      </c>
      <c r="B20" s="175"/>
      <c r="C20" s="228">
        <f>SUM(C18:C19)</f>
        <v>27686533.48</v>
      </c>
      <c r="D20" s="228">
        <f>SUM(D18:D19)</f>
        <v>2951015.74</v>
      </c>
      <c r="E20" s="228">
        <f>SUM(E18:E19)</f>
        <v>3021071.12</v>
      </c>
      <c r="F20" s="176">
        <f>(+D20-E20)/E20</f>
        <v>-0.0231889211532365</v>
      </c>
      <c r="G20" s="245">
        <f>D20/C20</f>
        <v>0.10658668201028973</v>
      </c>
      <c r="H20" s="246">
        <f>1-G20</f>
        <v>0.8934133179897102</v>
      </c>
      <c r="I20" s="157"/>
    </row>
    <row r="21" spans="1:9" ht="15.75" thickTop="1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5.75">
      <c r="A22" s="177" t="s">
        <v>65</v>
      </c>
      <c r="B22" s="165">
        <f>DATE(17,7,1)</f>
        <v>6392</v>
      </c>
      <c r="C22" s="226">
        <v>199002675.73</v>
      </c>
      <c r="D22" s="226">
        <v>17796071.33</v>
      </c>
      <c r="E22" s="226">
        <v>18141371.29</v>
      </c>
      <c r="F22" s="166">
        <f>(+D22-E22)/E22</f>
        <v>-0.019033840081887268</v>
      </c>
      <c r="G22" s="241">
        <f>D22/C22</f>
        <v>0.08942629170546983</v>
      </c>
      <c r="H22" s="242">
        <f>1-G22</f>
        <v>0.9105737082945302</v>
      </c>
      <c r="I22" s="157"/>
    </row>
    <row r="23" spans="1:9" ht="15.75" thickBot="1">
      <c r="A23" s="167"/>
      <c r="B23" s="168"/>
      <c r="C23" s="226"/>
      <c r="D23" s="226"/>
      <c r="E23" s="226"/>
      <c r="F23" s="166"/>
      <c r="G23" s="241"/>
      <c r="H23" s="242"/>
      <c r="I23" s="157"/>
    </row>
    <row r="24" spans="1:9" ht="17.25" thickBot="1" thickTop="1">
      <c r="A24" s="174" t="s">
        <v>14</v>
      </c>
      <c r="B24" s="178"/>
      <c r="C24" s="228">
        <f>SUM(C22:C23)</f>
        <v>199002675.73</v>
      </c>
      <c r="D24" s="228">
        <f>SUM(D22:D23)</f>
        <v>17796071.33</v>
      </c>
      <c r="E24" s="228">
        <f>SUM(E22:E23)</f>
        <v>18141371.29</v>
      </c>
      <c r="F24" s="176">
        <f>(+D24-E24)/E24</f>
        <v>-0.019033840081887268</v>
      </c>
      <c r="G24" s="245">
        <f>D24/C24</f>
        <v>0.08942629170546983</v>
      </c>
      <c r="H24" s="246">
        <f>1-G24</f>
        <v>0.9105737082945302</v>
      </c>
      <c r="I24" s="157"/>
    </row>
    <row r="25" spans="1:9" ht="15.75" thickTop="1">
      <c r="A25" s="167"/>
      <c r="B25" s="168"/>
      <c r="C25" s="226"/>
      <c r="D25" s="226"/>
      <c r="E25" s="226"/>
      <c r="F25" s="166"/>
      <c r="G25" s="241"/>
      <c r="H25" s="242"/>
      <c r="I25" s="157"/>
    </row>
    <row r="26" spans="1:9" ht="15.75">
      <c r="A26" s="164" t="s">
        <v>16</v>
      </c>
      <c r="B26" s="165">
        <f>DATE(17,7,1)</f>
        <v>6392</v>
      </c>
      <c r="C26" s="226">
        <v>122650754.72</v>
      </c>
      <c r="D26" s="226">
        <v>12389304.68</v>
      </c>
      <c r="E26" s="226">
        <v>10986140.39</v>
      </c>
      <c r="F26" s="166">
        <f>(+D26-E26)/E26</f>
        <v>0.12772131432775174</v>
      </c>
      <c r="G26" s="241">
        <f>D26/C26</f>
        <v>0.1010128694950439</v>
      </c>
      <c r="H26" s="242">
        <f>1-G26</f>
        <v>0.8989871305049562</v>
      </c>
      <c r="I26" s="157"/>
    </row>
    <row r="27" spans="1:9" ht="15.75" thickBot="1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Bot="1" thickTop="1">
      <c r="A28" s="174" t="s">
        <v>14</v>
      </c>
      <c r="B28" s="175"/>
      <c r="C28" s="228">
        <f>SUM(C26:C27)</f>
        <v>122650754.72</v>
      </c>
      <c r="D28" s="230">
        <f>SUM(D26:D27)</f>
        <v>12389304.68</v>
      </c>
      <c r="E28" s="271">
        <f>SUM(E26:E27)</f>
        <v>10986140.39</v>
      </c>
      <c r="F28" s="272">
        <f>(+D28-E28)/E28</f>
        <v>0.12772131432775174</v>
      </c>
      <c r="G28" s="249">
        <f>D28/C28</f>
        <v>0.1010128694950439</v>
      </c>
      <c r="H28" s="270">
        <f>1-G28</f>
        <v>0.8989871305049562</v>
      </c>
      <c r="I28" s="157"/>
    </row>
    <row r="29" spans="1:9" ht="15.75" thickTop="1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>
      <c r="A30" s="164" t="s">
        <v>66</v>
      </c>
      <c r="B30" s="165">
        <f>DATE(17,7,1)</f>
        <v>6392</v>
      </c>
      <c r="C30" s="226">
        <v>48763845.1</v>
      </c>
      <c r="D30" s="226">
        <v>4991725.48</v>
      </c>
      <c r="E30" s="226">
        <v>5336762.36</v>
      </c>
      <c r="F30" s="166">
        <f>(+D30-E30)/E30</f>
        <v>-0.0646528469369582</v>
      </c>
      <c r="G30" s="241">
        <f>D30/C30</f>
        <v>0.10236529686622273</v>
      </c>
      <c r="H30" s="242">
        <f>1-G30</f>
        <v>0.8976347031337772</v>
      </c>
      <c r="I30" s="157"/>
    </row>
    <row r="31" spans="1:9" ht="15.75" thickBot="1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Bot="1" thickTop="1">
      <c r="A32" s="174" t="s">
        <v>14</v>
      </c>
      <c r="B32" s="175"/>
      <c r="C32" s="228">
        <f>SUM(C30:C31)</f>
        <v>48763845.1</v>
      </c>
      <c r="D32" s="230">
        <f>SUM(D30:D31)</f>
        <v>4991725.48</v>
      </c>
      <c r="E32" s="271">
        <f>SUM(E30:E31)</f>
        <v>5336762.36</v>
      </c>
      <c r="F32" s="272">
        <f>(+D32-E32)/E32</f>
        <v>-0.0646528469369582</v>
      </c>
      <c r="G32" s="249">
        <f>D32/C32</f>
        <v>0.10236529686622273</v>
      </c>
      <c r="H32" s="270">
        <f>1-G32</f>
        <v>0.8976347031337772</v>
      </c>
      <c r="I32" s="157"/>
    </row>
    <row r="33" spans="1:9" ht="15.7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>
      <c r="A34" s="164" t="s">
        <v>17</v>
      </c>
      <c r="B34" s="165">
        <f>DATE(17,7,1)</f>
        <v>6392</v>
      </c>
      <c r="C34" s="226">
        <v>51730614.82</v>
      </c>
      <c r="D34" s="226">
        <v>5822170.92</v>
      </c>
      <c r="E34" s="226">
        <v>5949492.25</v>
      </c>
      <c r="F34" s="166">
        <f>(+D34-E34)/E34</f>
        <v>-0.021400369081916205</v>
      </c>
      <c r="G34" s="241">
        <f>D34/C34</f>
        <v>0.11254787789123748</v>
      </c>
      <c r="H34" s="242">
        <f>1-G34</f>
        <v>0.8874521221087626</v>
      </c>
      <c r="I34" s="157"/>
    </row>
    <row r="35" spans="1:9" ht="15.75" thickBot="1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74" t="s">
        <v>14</v>
      </c>
      <c r="B36" s="175"/>
      <c r="C36" s="228">
        <f>SUM(C34:C35)</f>
        <v>51730614.82</v>
      </c>
      <c r="D36" s="230">
        <f>SUM(D34:D35)</f>
        <v>5822170.92</v>
      </c>
      <c r="E36" s="271">
        <f>SUM(E34:E35)</f>
        <v>5949492.25</v>
      </c>
      <c r="F36" s="272">
        <f>(+D36-E36)/E36</f>
        <v>-0.021400369081916205</v>
      </c>
      <c r="G36" s="249">
        <f>D36/C36</f>
        <v>0.11254787789123748</v>
      </c>
      <c r="H36" s="270">
        <f>1-G36</f>
        <v>0.8874521221087626</v>
      </c>
      <c r="I36" s="157"/>
    </row>
    <row r="37" spans="1:9" ht="15.75" thickTop="1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>
      <c r="A38" s="164" t="s">
        <v>67</v>
      </c>
      <c r="B38" s="165">
        <f>DATE(17,7,1)</f>
        <v>6392</v>
      </c>
      <c r="C38" s="226">
        <v>109468070.42</v>
      </c>
      <c r="D38" s="226">
        <v>10118088.25</v>
      </c>
      <c r="E38" s="226">
        <v>8936566.59</v>
      </c>
      <c r="F38" s="166">
        <f>(+D38-E38)/E38</f>
        <v>0.13221203558446265</v>
      </c>
      <c r="G38" s="241">
        <f>D38/C38</f>
        <v>0.09242958436354615</v>
      </c>
      <c r="H38" s="242">
        <f>1-G38</f>
        <v>0.9075704156364539</v>
      </c>
      <c r="I38" s="157"/>
    </row>
    <row r="39" spans="1:9" ht="15.75" thickBot="1">
      <c r="A39" s="167"/>
      <c r="B39" s="165"/>
      <c r="C39" s="226"/>
      <c r="D39" s="226"/>
      <c r="E39" s="226"/>
      <c r="F39" s="166"/>
      <c r="G39" s="241"/>
      <c r="H39" s="242"/>
      <c r="I39" s="157"/>
    </row>
    <row r="40" spans="1:9" ht="17.25" thickBot="1" thickTop="1">
      <c r="A40" s="174" t="s">
        <v>14</v>
      </c>
      <c r="B40" s="175"/>
      <c r="C40" s="228">
        <f>SUM(C38:C39)</f>
        <v>109468070.42</v>
      </c>
      <c r="D40" s="230">
        <f>SUM(D38:D39)</f>
        <v>10118088.25</v>
      </c>
      <c r="E40" s="271">
        <f>SUM(E38:E39)</f>
        <v>8936566.59</v>
      </c>
      <c r="F40" s="176">
        <f>(+D40-E40)/E40</f>
        <v>0.13221203558446265</v>
      </c>
      <c r="G40" s="249">
        <f>D40/C40</f>
        <v>0.09242958436354615</v>
      </c>
      <c r="H40" s="270">
        <f>1-G40</f>
        <v>0.9075704156364539</v>
      </c>
      <c r="I40" s="157"/>
    </row>
    <row r="41" spans="1:9" ht="15.75" thickTop="1">
      <c r="A41" s="167"/>
      <c r="B41" s="179"/>
      <c r="C41" s="229"/>
      <c r="D41" s="229"/>
      <c r="E41" s="229"/>
      <c r="F41" s="180"/>
      <c r="G41" s="247"/>
      <c r="H41" s="248"/>
      <c r="I41" s="157"/>
    </row>
    <row r="42" spans="1:9" ht="15.75">
      <c r="A42" s="164" t="s">
        <v>18</v>
      </c>
      <c r="B42" s="165">
        <f>DATE(17,7,1)</f>
        <v>6392</v>
      </c>
      <c r="C42" s="226">
        <v>149607316.71</v>
      </c>
      <c r="D42" s="226">
        <v>13990899.67</v>
      </c>
      <c r="E42" s="226">
        <v>14874442.41</v>
      </c>
      <c r="F42" s="166">
        <f>(+D42-E42)/E42</f>
        <v>-0.05940005787416943</v>
      </c>
      <c r="G42" s="241">
        <f>D42/C42</f>
        <v>0.0935174828188388</v>
      </c>
      <c r="H42" s="242">
        <f>1-G42</f>
        <v>0.9064825171811612</v>
      </c>
      <c r="I42" s="157"/>
    </row>
    <row r="43" spans="1:9" ht="15.75" customHeight="1" thickBot="1">
      <c r="A43" s="164"/>
      <c r="B43" s="165"/>
      <c r="C43" s="226"/>
      <c r="D43" s="226"/>
      <c r="E43" s="226"/>
      <c r="F43" s="166"/>
      <c r="G43" s="241"/>
      <c r="H43" s="242"/>
      <c r="I43" s="157"/>
    </row>
    <row r="44" spans="1:9" ht="17.25" thickBot="1" thickTop="1">
      <c r="A44" s="174" t="s">
        <v>14</v>
      </c>
      <c r="B44" s="181"/>
      <c r="C44" s="228">
        <f>SUM(C42:C43)</f>
        <v>149607316.71</v>
      </c>
      <c r="D44" s="228">
        <f>SUM(D42:D43)</f>
        <v>13990899.67</v>
      </c>
      <c r="E44" s="228">
        <f>SUM(E42:E43)</f>
        <v>14874442.41</v>
      </c>
      <c r="F44" s="176">
        <f>(+D44-E44)/E44</f>
        <v>-0.05940005787416943</v>
      </c>
      <c r="G44" s="245">
        <f>D44/C44</f>
        <v>0.0935174828188388</v>
      </c>
      <c r="H44" s="246">
        <f>1-G44</f>
        <v>0.9064825171811612</v>
      </c>
      <c r="I44" s="157"/>
    </row>
    <row r="45" spans="1:9" ht="15.75" thickTop="1">
      <c r="A45" s="171"/>
      <c r="B45" s="172"/>
      <c r="C45" s="227"/>
      <c r="D45" s="227"/>
      <c r="E45" s="227"/>
      <c r="F45" s="173"/>
      <c r="G45" s="243"/>
      <c r="H45" s="244"/>
      <c r="I45" s="157"/>
    </row>
    <row r="46" spans="1:9" ht="15.75">
      <c r="A46" s="164" t="s">
        <v>58</v>
      </c>
      <c r="B46" s="165">
        <f>DATE(17,7,1)</f>
        <v>6392</v>
      </c>
      <c r="C46" s="226">
        <v>187696645.78</v>
      </c>
      <c r="D46" s="226">
        <v>17449857.02</v>
      </c>
      <c r="E46" s="226">
        <v>18055170.59</v>
      </c>
      <c r="F46" s="166">
        <f>(+D46-E46)/E46</f>
        <v>-0.03352577407024102</v>
      </c>
      <c r="G46" s="241">
        <f>D46/C46</f>
        <v>0.09296840094016942</v>
      </c>
      <c r="H46" s="242">
        <f>1-G46</f>
        <v>0.9070315990598306</v>
      </c>
      <c r="I46" s="157"/>
    </row>
    <row r="47" spans="1:9" ht="15.75" thickBot="1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Bot="1" thickTop="1">
      <c r="A48" s="174" t="s">
        <v>14</v>
      </c>
      <c r="B48" s="175"/>
      <c r="C48" s="228">
        <f>SUM(C46:C47)</f>
        <v>187696645.78</v>
      </c>
      <c r="D48" s="228">
        <f>SUM(D46:D47)</f>
        <v>17449857.02</v>
      </c>
      <c r="E48" s="228">
        <f>SUM(E46:E47)</f>
        <v>18055170.59</v>
      </c>
      <c r="F48" s="176">
        <f>(+D48-E48)/E48</f>
        <v>-0.03352577407024102</v>
      </c>
      <c r="G48" s="249">
        <f>D48/C48</f>
        <v>0.09296840094016942</v>
      </c>
      <c r="H48" s="270">
        <f>1-G48</f>
        <v>0.9070315990598306</v>
      </c>
      <c r="I48" s="157"/>
    </row>
    <row r="49" spans="1:9" ht="15.75" thickTop="1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>
      <c r="A50" s="164" t="s">
        <v>59</v>
      </c>
      <c r="B50" s="165">
        <f>DATE(17,7,1)</f>
        <v>6392</v>
      </c>
      <c r="C50" s="226">
        <v>23593924.79</v>
      </c>
      <c r="D50" s="226">
        <v>2744349.13</v>
      </c>
      <c r="E50" s="226">
        <v>2795817.88</v>
      </c>
      <c r="F50" s="166">
        <f>(+D50-E50)/E50</f>
        <v>-0.01840919266171944</v>
      </c>
      <c r="G50" s="241">
        <f>D50/C50</f>
        <v>0.11631592261255148</v>
      </c>
      <c r="H50" s="242">
        <f>1-G50</f>
        <v>0.8836840773874485</v>
      </c>
      <c r="I50" s="157"/>
    </row>
    <row r="51" spans="1:9" ht="15.75" thickBot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Bot="1" thickTop="1">
      <c r="A52" s="182" t="s">
        <v>14</v>
      </c>
      <c r="B52" s="183"/>
      <c r="C52" s="230">
        <f>SUM(C50:C51)</f>
        <v>23593924.79</v>
      </c>
      <c r="D52" s="230">
        <f>SUM(D50:D51)</f>
        <v>2744349.13</v>
      </c>
      <c r="E52" s="230">
        <f>SUM(E50:E51)</f>
        <v>2795817.88</v>
      </c>
      <c r="F52" s="176">
        <f>(+D52-E52)/E52</f>
        <v>-0.01840919266171944</v>
      </c>
      <c r="G52" s="249">
        <f>D52/C52</f>
        <v>0.11631592261255148</v>
      </c>
      <c r="H52" s="246">
        <f>1-G52</f>
        <v>0.8836840773874485</v>
      </c>
      <c r="I52" s="157"/>
    </row>
    <row r="53" spans="1:9" ht="15.75" thickTop="1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>
      <c r="A54" s="164" t="s">
        <v>40</v>
      </c>
      <c r="B54" s="165">
        <f>DATE(17,7,1)</f>
        <v>6392</v>
      </c>
      <c r="C54" s="226">
        <v>226837676.51</v>
      </c>
      <c r="D54" s="226">
        <v>20250233.59</v>
      </c>
      <c r="E54" s="226">
        <v>20041496.31</v>
      </c>
      <c r="F54" s="166">
        <f>(+D54-E54)/E54</f>
        <v>0.010415254269006285</v>
      </c>
      <c r="G54" s="241">
        <f>D54/C54</f>
        <v>0.08927191417915657</v>
      </c>
      <c r="H54" s="242">
        <f>1-G54</f>
        <v>0.9107280858208434</v>
      </c>
      <c r="I54" s="157"/>
    </row>
    <row r="55" spans="1:9" ht="15.75" thickBot="1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Bot="1" thickTop="1">
      <c r="A56" s="174" t="s">
        <v>14</v>
      </c>
      <c r="B56" s="175"/>
      <c r="C56" s="228">
        <f>SUM(C54:C55)</f>
        <v>226837676.51</v>
      </c>
      <c r="D56" s="228">
        <f>SUM(D54:D55)</f>
        <v>20250233.59</v>
      </c>
      <c r="E56" s="228">
        <f>SUM(E54:E55)</f>
        <v>20041496.31</v>
      </c>
      <c r="F56" s="176">
        <f>(+D56-E56)/E56</f>
        <v>0.010415254269006285</v>
      </c>
      <c r="G56" s="245">
        <f>D56/C56</f>
        <v>0.08927191417915657</v>
      </c>
      <c r="H56" s="246">
        <f>1-G56</f>
        <v>0.9107280858208434</v>
      </c>
      <c r="I56" s="157"/>
    </row>
    <row r="57" spans="1:9" ht="15.75" thickTop="1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>
      <c r="A58" s="164" t="s">
        <v>64</v>
      </c>
      <c r="B58" s="165">
        <f>DATE(17,7,1)</f>
        <v>6392</v>
      </c>
      <c r="C58" s="226">
        <v>26722604.05</v>
      </c>
      <c r="D58" s="226">
        <v>3031134.15</v>
      </c>
      <c r="E58" s="226">
        <v>3216307.57</v>
      </c>
      <c r="F58" s="166">
        <f>(+D58-E58)/E58</f>
        <v>-0.057573293588958574</v>
      </c>
      <c r="G58" s="241">
        <f>D58/C58</f>
        <v>0.11342959482273958</v>
      </c>
      <c r="H58" s="242">
        <f>1-G58</f>
        <v>0.8865704051772604</v>
      </c>
      <c r="I58" s="157"/>
    </row>
    <row r="59" spans="1:9" ht="15.75" thickBot="1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Bot="1" thickTop="1">
      <c r="A60" s="169" t="s">
        <v>14</v>
      </c>
      <c r="B60" s="155"/>
      <c r="C60" s="223">
        <f>SUM(C58:C59)</f>
        <v>26722604.05</v>
      </c>
      <c r="D60" s="223">
        <f>SUM(D58:D59)</f>
        <v>3031134.15</v>
      </c>
      <c r="E60" s="223">
        <f>SUM(E58:E59)</f>
        <v>3216307.57</v>
      </c>
      <c r="F60" s="176">
        <f>(+D60-E60)/E60</f>
        <v>-0.057573293588958574</v>
      </c>
      <c r="G60" s="245">
        <f>D60/C60</f>
        <v>0.11342959482273958</v>
      </c>
      <c r="H60" s="246">
        <f>1-G60</f>
        <v>0.8865704051772604</v>
      </c>
      <c r="I60" s="157"/>
    </row>
    <row r="61" spans="1:9" ht="16.5" thickBot="1" thickTop="1">
      <c r="A61" s="171"/>
      <c r="B61" s="172"/>
      <c r="C61" s="227"/>
      <c r="D61" s="227"/>
      <c r="E61" s="227"/>
      <c r="F61" s="173"/>
      <c r="G61" s="243"/>
      <c r="H61" s="244"/>
      <c r="I61" s="157"/>
    </row>
    <row r="62" spans="1:9" ht="17.25" thickBot="1" thickTop="1">
      <c r="A62" s="184" t="s">
        <v>41</v>
      </c>
      <c r="B62" s="155"/>
      <c r="C62" s="223">
        <f>C60+C56+C44+C36+C28+C20+C12+C24+C52+C16+C40+C48+C32</f>
        <v>1372133660.7399998</v>
      </c>
      <c r="D62" s="223">
        <f>D60+D56+D44+D36+D28+D20+D12+D24+D52+D16+D40+D48+D32</f>
        <v>130756185.72</v>
      </c>
      <c r="E62" s="223">
        <f>E60+E56+E44+E36+E28+E20+E12+E24+E52+E16+E40+E48+E32</f>
        <v>131214440.31</v>
      </c>
      <c r="F62" s="170">
        <f>(+D62-E62)/E62</f>
        <v>-0.003492409744821961</v>
      </c>
      <c r="G62" s="236">
        <f>D62/C62</f>
        <v>0.09529405877958158</v>
      </c>
      <c r="H62" s="237">
        <f>1-G62</f>
        <v>0.9047059412204184</v>
      </c>
      <c r="I62" s="157"/>
    </row>
    <row r="63" spans="1:9" ht="17.25" thickBot="1" thickTop="1">
      <c r="A63" s="184"/>
      <c r="B63" s="155"/>
      <c r="C63" s="223"/>
      <c r="D63" s="223"/>
      <c r="E63" s="223"/>
      <c r="F63" s="170"/>
      <c r="G63" s="236"/>
      <c r="H63" s="237"/>
      <c r="I63" s="157"/>
    </row>
    <row r="64" spans="1:9" ht="17.25" thickBot="1" thickTop="1">
      <c r="A64" s="184" t="s">
        <v>42</v>
      </c>
      <c r="B64" s="155"/>
      <c r="C64" s="223">
        <f>+C10+C14+C18+C22+C26+C30+C34+C38+C42+C46+C50+C54+C58</f>
        <v>1372133660.74</v>
      </c>
      <c r="D64" s="223">
        <f>+D10+D14+D18+D22+D26+D30+D34+D38+D42+D46+D50+D54+D58</f>
        <v>130756185.72</v>
      </c>
      <c r="E64" s="223">
        <f>+E10+E14+E18+E22+E26+E30+E34+E38+E42+E46+E50+E54+E58</f>
        <v>131214440.30999999</v>
      </c>
      <c r="F64" s="170">
        <f>(+D64-E64)/E64</f>
        <v>-0.003492409744821848</v>
      </c>
      <c r="G64" s="236">
        <f>D64/C64</f>
        <v>0.09529405877958157</v>
      </c>
      <c r="H64" s="246">
        <f>1-G64</f>
        <v>0.9047059412204185</v>
      </c>
      <c r="I64" s="157"/>
    </row>
    <row r="65" spans="1:9" ht="16.5" thickTop="1">
      <c r="A65" s="185"/>
      <c r="B65" s="186"/>
      <c r="C65" s="231"/>
      <c r="D65" s="231"/>
      <c r="E65" s="231"/>
      <c r="F65" s="187"/>
      <c r="G65" s="250"/>
      <c r="H65" s="250"/>
      <c r="I65" s="151"/>
    </row>
    <row r="66" spans="1:9" ht="16.5" customHeight="1">
      <c r="A66" s="188" t="s">
        <v>52</v>
      </c>
      <c r="B66" s="189"/>
      <c r="C66" s="232"/>
      <c r="D66" s="232"/>
      <c r="E66" s="232"/>
      <c r="F66" s="190"/>
      <c r="G66" s="251"/>
      <c r="H66" s="251"/>
      <c r="I66" s="151"/>
    </row>
    <row r="67" spans="1:9" ht="15.75">
      <c r="A67" s="191"/>
      <c r="B67" s="189"/>
      <c r="C67" s="232"/>
      <c r="D67" s="232"/>
      <c r="E67" s="232"/>
      <c r="F67" s="190"/>
      <c r="G67" s="257"/>
      <c r="H67" s="257"/>
      <c r="I67" s="151"/>
    </row>
    <row r="68" spans="1:9" ht="15.75">
      <c r="A68" s="72"/>
      <c r="I68" s="151"/>
    </row>
  </sheetData>
  <sheetProtection/>
  <printOptions horizontalCentered="1"/>
  <pageMargins left="0.75" right="0.25" top="0.3194" bottom="0.2" header="0.5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2017-08-09T14:14:32Z</cp:lastPrinted>
  <dcterms:created xsi:type="dcterms:W3CDTF">2003-09-09T14:41:43Z</dcterms:created>
  <dcterms:modified xsi:type="dcterms:W3CDTF">2017-08-09T19:07:30Z</dcterms:modified>
  <cp:category/>
  <cp:version/>
  <cp:contentType/>
  <cp:contentStatus/>
</cp:coreProperties>
</file>