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STATS'!$A$1:$M$208</definedName>
    <definedName name="_xlnm.Print_Area" localSheetId="3">'SLOT STATS'!$A$1:$I$209</definedName>
    <definedName name="_xlnm.Print_Area" localSheetId="2">'TABLE STATS'!$A$1:$H$208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<sst xmlns="http://schemas.openxmlformats.org/spreadsheetml/2006/main" count="192" uniqueCount="75">
  <si>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</si>
  <si>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</si>
  <si>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</si>
  <si>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</si>
  <si>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</si>
  <si>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</si>
  <si>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</si>
  <si>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</si>
  <si>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</si>
  <si>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</si>
  <si>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</si>
  <si>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</si>
  <si>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</si>
  <si>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</si>
  <si>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</si>
  <si>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</si>
  <si>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</si>
  <si>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</si>
  <si>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</si>
  <si>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</si>
  <si>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</si>
  <si>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</si>
  <si>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</si>
  <si>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</si>
  <si>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</si>
  <si>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</si>
  <si>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</si>
  <si>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</si>
  <si>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</si>
  <si>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</si>
  <si>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</si>
  <si>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</si>
  <si>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</si>
  <si>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</si>
  <si>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</si>
  <si>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</si>
  <si>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</si>
  <si>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</si>
  <si>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</si>
  <si>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</si>
  <si>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</si>
  <si>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</si>
  <si>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</si>
  <si>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</si>
  <si>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</si>
  <si>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</si>
  <si>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</si>
  <si>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</si>
  <si>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</si>
  <si>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</si>
  <si>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</si>
  <si>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</si>
  <si>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</si>
  <si>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</si>
  <si>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</si>
  <si>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</si>
  <si>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</si>
  <si>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</si>
  <si>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</si>
  <si>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</si>
  <si>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</si>
  <si>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</si>
  <si>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</si>
  <si>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</si>
  <si>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</si>
  <si>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</si>
  <si>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</si>
  <si>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</si>
  <si>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</si>
  <si>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JUNE 30, 2018</t>
  </si>
  <si>
    <t>(as reported on the tax remittal database dtd 7/9/18)</t>
  </si>
  <si>
    <t>FOR THE MONTH ENDED:   JUNE 30, 2018</t>
  </si>
  <si>
    <t>THRU MONTH ENDED:   JUNE 30, 2018</t>
  </si>
  <si>
    <t>(as reported on the tax remittal database as of 7/9/18)</t>
  </si>
  <si>
    <t>THRU MONTH ENDED:    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</si>
</sst>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0" fillId="0" borderId="14" xfId="54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 aca="true" t="shared" si="0" ref="E9:E20">(+C9-D9)/D9</f>
        <v>-0.06547594538181103</v>
      </c>
      <c r="F9" s="21">
        <f>+C9-138811</f>
        <v>156236</v>
      </c>
      <c r="G9" s="21">
        <f>+D9-154398</f>
        <v>161321</v>
      </c>
      <c r="H9" s="23">
        <f aca="true" t="shared" si="1" ref="H9:H20">(+F9-G9)/G9</f>
        <v>-0.031521004704905126</v>
      </c>
      <c r="I9" s="24">
        <f aca="true" t="shared" si="2" ref="I9:I20">K9/C9</f>
        <v>47.93706301030006</v>
      </c>
      <c r="J9" s="24">
        <f aca="true" t="shared" si="3" ref="J9:J20">K9/F9</f>
        <v>90.52770571443202</v>
      </c>
      <c r="K9" s="21">
        <v>14143686.63</v>
      </c>
      <c r="L9" s="21">
        <v>13957245.75</v>
      </c>
      <c r="M9" s="25">
        <f aca="true" t="shared" si="4" ref="M9:M20">(+K9-L9)/L9</f>
        <v>0.01335799937462596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 t="shared" si="0"/>
        <v>-0.00392220829965968</v>
      </c>
      <c r="F10" s="21">
        <f>+C10-125473</f>
        <v>143215</v>
      </c>
      <c r="G10" s="21">
        <f>+D10-128416</f>
        <v>141330</v>
      </c>
      <c r="H10" s="23">
        <f t="shared" si="1"/>
        <v>0.013337578716479162</v>
      </c>
      <c r="I10" s="24">
        <f t="shared" si="2"/>
        <v>48.38335742571309</v>
      </c>
      <c r="J10" s="24">
        <f t="shared" si="3"/>
        <v>90.7728068987187</v>
      </c>
      <c r="K10" s="21">
        <v>13000027.54</v>
      </c>
      <c r="L10" s="21">
        <v>12325415.85</v>
      </c>
      <c r="M10" s="25">
        <f t="shared" si="4"/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281607</v>
      </c>
      <c r="D11" s="22">
        <v>275432</v>
      </c>
      <c r="E11" s="23">
        <f t="shared" si="0"/>
        <v>0.02241932673037265</v>
      </c>
      <c r="F11" s="21">
        <f>+C11-134639</f>
        <v>146968</v>
      </c>
      <c r="G11" s="21">
        <f>+D11-130069</f>
        <v>145363</v>
      </c>
      <c r="H11" s="23">
        <f t="shared" si="1"/>
        <v>0.011041324133376444</v>
      </c>
      <c r="I11" s="24">
        <f t="shared" si="2"/>
        <v>48.213173287595836</v>
      </c>
      <c r="J11" s="24">
        <f t="shared" si="3"/>
        <v>92.38179120624898</v>
      </c>
      <c r="K11" s="21">
        <v>13577167.09</v>
      </c>
      <c r="L11" s="21">
        <v>12483472.22</v>
      </c>
      <c r="M11" s="25">
        <f t="shared" si="4"/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266701</v>
      </c>
      <c r="D12" s="22">
        <v>279310</v>
      </c>
      <c r="E12" s="23">
        <f t="shared" si="0"/>
        <v>-0.04514338906591243</v>
      </c>
      <c r="F12" s="21">
        <f>+C12-124344</f>
        <v>142357</v>
      </c>
      <c r="G12" s="21">
        <f>+D12-132516</f>
        <v>146794</v>
      </c>
      <c r="H12" s="23">
        <f t="shared" si="1"/>
        <v>-0.030226031036690873</v>
      </c>
      <c r="I12" s="24">
        <f t="shared" si="2"/>
        <v>49.531491033029496</v>
      </c>
      <c r="J12" s="24">
        <f t="shared" si="3"/>
        <v>92.79556460167045</v>
      </c>
      <c r="K12" s="21">
        <v>13210098.19</v>
      </c>
      <c r="L12" s="21">
        <v>12897991.17</v>
      </c>
      <c r="M12" s="25">
        <f t="shared" si="4"/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 t="shared" si="0"/>
        <v>0.03661356972748159</v>
      </c>
      <c r="F13" s="21">
        <f>+C13-126340</f>
        <v>144835</v>
      </c>
      <c r="G13" s="21">
        <f>+D13-124698</f>
        <v>136899</v>
      </c>
      <c r="H13" s="23">
        <f t="shared" si="1"/>
        <v>0.05796974411792635</v>
      </c>
      <c r="I13" s="24">
        <f t="shared" si="2"/>
        <v>52.1944138287084</v>
      </c>
      <c r="J13" s="24">
        <f t="shared" si="3"/>
        <v>97.7237557910726</v>
      </c>
      <c r="K13" s="21">
        <v>14153820.17</v>
      </c>
      <c r="L13" s="21">
        <v>12213621.49</v>
      </c>
      <c r="M13" s="25">
        <f t="shared" si="4"/>
        <v>0.15885531425618132</v>
      </c>
      <c r="N13" s="10"/>
      <c r="R13" s="2"/>
    </row>
    <row r="14" spans="1:18" ht="15.75">
      <c r="A14" s="19"/>
      <c r="B14" s="20">
        <f>DATE(2017,12,1)</f>
        <v>43070</v>
      </c>
      <c r="C14" s="21">
        <v>285888</v>
      </c>
      <c r="D14" s="22">
        <v>277351</v>
      </c>
      <c r="E14" s="23">
        <f t="shared" si="0"/>
        <v>0.030780491146597633</v>
      </c>
      <c r="F14" s="21">
        <f>+C14-135160</f>
        <v>150728</v>
      </c>
      <c r="G14" s="21">
        <f>+D14-134196</f>
        <v>143155</v>
      </c>
      <c r="H14" s="23">
        <f t="shared" si="1"/>
        <v>0.05290070203625441</v>
      </c>
      <c r="I14" s="24">
        <f t="shared" si="2"/>
        <v>50.44767937094247</v>
      </c>
      <c r="J14" s="24">
        <f t="shared" si="3"/>
        <v>95.68485059179449</v>
      </c>
      <c r="K14" s="21">
        <v>14422386.16</v>
      </c>
      <c r="L14" s="21">
        <v>12512412.08</v>
      </c>
      <c r="M14" s="25">
        <f t="shared" si="4"/>
        <v>0.1526463536996937</v>
      </c>
      <c r="N14" s="10"/>
      <c r="R14" s="2"/>
    </row>
    <row r="15" spans="1:18" ht="15.75">
      <c r="A15" s="19"/>
      <c r="B15" s="20">
        <f>DATE(2018,1,1)</f>
        <v>43101</v>
      </c>
      <c r="C15" s="21">
        <v>251374</v>
      </c>
      <c r="D15" s="22">
        <v>259670</v>
      </c>
      <c r="E15" s="23">
        <f t="shared" si="0"/>
        <v>-0.03194824199946086</v>
      </c>
      <c r="F15" s="21">
        <f>+C15-118404</f>
        <v>132970</v>
      </c>
      <c r="G15" s="21">
        <f>+D15-125404</f>
        <v>134266</v>
      </c>
      <c r="H15" s="23">
        <f t="shared" si="1"/>
        <v>-0.00965248089613156</v>
      </c>
      <c r="I15" s="24">
        <f t="shared" si="2"/>
        <v>50.08009129822495</v>
      </c>
      <c r="J15" s="24">
        <f t="shared" si="3"/>
        <v>94.67423381213807</v>
      </c>
      <c r="K15" s="21">
        <v>12588832.87</v>
      </c>
      <c r="L15" s="21">
        <v>12255360.64</v>
      </c>
      <c r="M15" s="25">
        <f t="shared" si="4"/>
        <v>0.02721031553421496</v>
      </c>
      <c r="N15" s="10"/>
      <c r="R15" s="2"/>
    </row>
    <row r="16" spans="1:18" ht="15.75">
      <c r="A16" s="19"/>
      <c r="B16" s="20">
        <f>DATE(2018,2,1)</f>
        <v>43132</v>
      </c>
      <c r="C16" s="21">
        <v>260428</v>
      </c>
      <c r="D16" s="22">
        <v>270239</v>
      </c>
      <c r="E16" s="23">
        <f t="shared" si="0"/>
        <v>-0.03630490047698519</v>
      </c>
      <c r="F16" s="21">
        <f>+C16-124324</f>
        <v>136104</v>
      </c>
      <c r="G16" s="21">
        <f>+D16-129174</f>
        <v>141065</v>
      </c>
      <c r="H16" s="23">
        <f t="shared" si="1"/>
        <v>-0.035168184879310956</v>
      </c>
      <c r="I16" s="24">
        <f t="shared" si="2"/>
        <v>52.97598852657932</v>
      </c>
      <c r="J16" s="24">
        <f t="shared" si="3"/>
        <v>101.36682786692529</v>
      </c>
      <c r="K16" s="21">
        <v>13796430.74</v>
      </c>
      <c r="L16" s="21">
        <v>12684888.04</v>
      </c>
      <c r="M16" s="25">
        <f t="shared" si="4"/>
        <v>0.08762731657503862</v>
      </c>
      <c r="N16" s="10"/>
      <c r="R16" s="2"/>
    </row>
    <row r="17" spans="1:18" ht="15.75">
      <c r="A17" s="19"/>
      <c r="B17" s="20">
        <f>DATE(2018,3,1)</f>
        <v>43160</v>
      </c>
      <c r="C17" s="21">
        <v>299040</v>
      </c>
      <c r="D17" s="22">
        <v>296140</v>
      </c>
      <c r="E17" s="23">
        <f t="shared" si="0"/>
        <v>0.009792665631120415</v>
      </c>
      <c r="F17" s="21">
        <f>+C17-144322</f>
        <v>154718</v>
      </c>
      <c r="G17" s="21">
        <f>+D17-144096</f>
        <v>152044</v>
      </c>
      <c r="H17" s="23">
        <f t="shared" si="1"/>
        <v>0.017587014285338456</v>
      </c>
      <c r="I17" s="24">
        <f t="shared" si="2"/>
        <v>51.70375297619047</v>
      </c>
      <c r="J17" s="24">
        <f t="shared" si="3"/>
        <v>99.93336450833128</v>
      </c>
      <c r="K17" s="21">
        <v>15461490.29</v>
      </c>
      <c r="L17" s="21">
        <v>14573071.87</v>
      </c>
      <c r="M17" s="25">
        <f t="shared" si="4"/>
        <v>0.0609630164405413</v>
      </c>
      <c r="N17" s="10"/>
      <c r="R17" s="2"/>
    </row>
    <row r="18" spans="1:18" ht="15.75">
      <c r="A18" s="19"/>
      <c r="B18" s="20">
        <f>DATE(2018,4,1)</f>
        <v>43191</v>
      </c>
      <c r="C18" s="21">
        <v>263459</v>
      </c>
      <c r="D18" s="22">
        <v>276632</v>
      </c>
      <c r="E18" s="23">
        <f t="shared" si="0"/>
        <v>-0.04761921975765638</v>
      </c>
      <c r="F18" s="21">
        <f>+C18-124817</f>
        <v>138642</v>
      </c>
      <c r="G18" s="21">
        <f>+D18-132661</f>
        <v>143971</v>
      </c>
      <c r="H18" s="23">
        <f t="shared" si="1"/>
        <v>-0.03701439873307819</v>
      </c>
      <c r="I18" s="24">
        <f t="shared" si="2"/>
        <v>52.41217240633267</v>
      </c>
      <c r="J18" s="24">
        <f t="shared" si="3"/>
        <v>99.59794672610032</v>
      </c>
      <c r="K18" s="21">
        <v>13808458.53</v>
      </c>
      <c r="L18" s="21">
        <v>13662162.44</v>
      </c>
      <c r="M18" s="25">
        <f t="shared" si="4"/>
        <v>0.010708121107656794</v>
      </c>
      <c r="N18" s="10"/>
      <c r="R18" s="2"/>
    </row>
    <row r="19" spans="1:18" ht="15.75">
      <c r="A19" s="19"/>
      <c r="B19" s="20">
        <f>DATE(2018,5,1)</f>
        <v>43221</v>
      </c>
      <c r="C19" s="21">
        <v>269584</v>
      </c>
      <c r="D19" s="22">
        <v>283088</v>
      </c>
      <c r="E19" s="23">
        <f t="shared" si="0"/>
        <v>-0.047702481207257105</v>
      </c>
      <c r="F19" s="21">
        <f>+C19-126735</f>
        <v>142849</v>
      </c>
      <c r="G19" s="21">
        <f>+D19-132021</f>
        <v>151067</v>
      </c>
      <c r="H19" s="23">
        <f t="shared" si="1"/>
        <v>-0.05439970344284324</v>
      </c>
      <c r="I19" s="24">
        <f t="shared" si="2"/>
        <v>50.40222776574277</v>
      </c>
      <c r="J19" s="24">
        <f t="shared" si="3"/>
        <v>95.11886096507502</v>
      </c>
      <c r="K19" s="21">
        <v>13587634.17</v>
      </c>
      <c r="L19" s="21">
        <v>13529389.48</v>
      </c>
      <c r="M19" s="25">
        <f t="shared" si="4"/>
        <v>0.00430504939532567</v>
      </c>
      <c r="N19" s="10"/>
      <c r="R19" s="2"/>
    </row>
    <row r="20" spans="1:18" ht="15.75">
      <c r="A20" s="19"/>
      <c r="B20" s="20">
        <f>DATE(2018,6,1)</f>
        <v>43252</v>
      </c>
      <c r="C20" s="21">
        <v>266265</v>
      </c>
      <c r="D20" s="22">
        <v>270217</v>
      </c>
      <c r="E20" s="23">
        <f t="shared" si="0"/>
        <v>-0.014625282643208977</v>
      </c>
      <c r="F20" s="21">
        <f>+C20-126110</f>
        <v>140155</v>
      </c>
      <c r="G20" s="21">
        <f>+D20-125147</f>
        <v>145070</v>
      </c>
      <c r="H20" s="23">
        <f t="shared" si="1"/>
        <v>-0.03388019576756049</v>
      </c>
      <c r="I20" s="24">
        <f t="shared" si="2"/>
        <v>52.094714513736314</v>
      </c>
      <c r="J20" s="24">
        <f t="shared" si="3"/>
        <v>98.96899261531875</v>
      </c>
      <c r="K20" s="21">
        <v>13870999.16</v>
      </c>
      <c r="L20" s="21">
        <v>12488806.86</v>
      </c>
      <c r="M20" s="25">
        <f t="shared" si="4"/>
        <v>0.11067448760273332</v>
      </c>
      <c r="N20" s="10"/>
      <c r="R20" s="2"/>
    </row>
    <row r="21" spans="1:18" ht="15.75" customHeight="1" thickBot="1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thickBot="1" thickTop="1">
      <c r="A22" s="26" t="s">
        <v>14</v>
      </c>
      <c r="B22" s="27"/>
      <c r="C22" s="28">
        <f>SUM(C9:C21)</f>
        <v>3279256</v>
      </c>
      <c r="D22" s="28">
        <f>SUM(D9:D21)</f>
        <v>3335141</v>
      </c>
      <c r="E22" s="279">
        <f>(+C22-D22)/D22</f>
        <v>-0.0167564129972316</v>
      </c>
      <c r="F22" s="28">
        <f>SUM(F9:F21)</f>
        <v>1729777</v>
      </c>
      <c r="G22" s="28">
        <f>SUM(G9:G21)</f>
        <v>1742345</v>
      </c>
      <c r="H22" s="30">
        <f>(+F22-G22)/G22</f>
        <v>-0.007213267177281193</v>
      </c>
      <c r="I22" s="31">
        <f>K22/C22</f>
        <v>50.50567309780023</v>
      </c>
      <c r="J22" s="31">
        <f>K22/F22</f>
        <v>95.74704227192291</v>
      </c>
      <c r="K22" s="28">
        <f>SUM(K9:K21)</f>
        <v>165621031.54</v>
      </c>
      <c r="L22" s="28">
        <f>SUM(L9:L21)</f>
        <v>155583837.89</v>
      </c>
      <c r="M22" s="32">
        <f>(+K22-L22)/L22</f>
        <v>0.0645130868740778</v>
      </c>
      <c r="N22" s="10"/>
      <c r="R22" s="2"/>
    </row>
    <row r="23" spans="1:18" ht="15.75" customHeight="1" thickTop="1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5"/>
      <c r="L23" s="195"/>
      <c r="M23" s="18"/>
      <c r="N23" s="10"/>
      <c r="R23" s="2"/>
    </row>
    <row r="24" spans="1:18" ht="15.75">
      <c r="A24" s="19" t="s">
        <v>15</v>
      </c>
      <c r="B24" s="20">
        <f>DATE(2017,7,1)</f>
        <v>42917</v>
      </c>
      <c r="C24" s="21">
        <v>154485</v>
      </c>
      <c r="D24" s="21">
        <v>168156</v>
      </c>
      <c r="E24" s="23">
        <f aca="true" t="shared" si="5" ref="E24:E35">(+C24-D24)/D24</f>
        <v>-0.08129950760008564</v>
      </c>
      <c r="F24" s="21">
        <f>+C24-74453</f>
        <v>80032</v>
      </c>
      <c r="G24" s="21">
        <f>+D24-80472</f>
        <v>87684</v>
      </c>
      <c r="H24" s="23">
        <f aca="true" t="shared" si="6" ref="H24:H35">(+F24-G24)/G24</f>
        <v>-0.08726791660964373</v>
      </c>
      <c r="I24" s="24">
        <f aca="true" t="shared" si="7" ref="I24:I35">K24/C24</f>
        <v>48.24474518561673</v>
      </c>
      <c r="J24" s="24">
        <f aca="true" t="shared" si="8" ref="J24:J35">K24/F24</f>
        <v>93.12636770291883</v>
      </c>
      <c r="K24" s="21">
        <v>7453089.46</v>
      </c>
      <c r="L24" s="21">
        <v>7571219.54</v>
      </c>
      <c r="M24" s="25">
        <f aca="true" t="shared" si="9" ref="M24:M35">(+K24-L24)/L24</f>
        <v>-0.015602516790841871</v>
      </c>
      <c r="N24" s="10"/>
      <c r="R24" s="2"/>
    </row>
    <row r="25" spans="1:18" ht="15.75">
      <c r="A25" s="19"/>
      <c r="B25" s="20">
        <f>DATE(2017,8,1)</f>
        <v>42948</v>
      </c>
      <c r="C25" s="21">
        <v>146885</v>
      </c>
      <c r="D25" s="21">
        <v>156736</v>
      </c>
      <c r="E25" s="23">
        <f t="shared" si="5"/>
        <v>-0.06285090853409554</v>
      </c>
      <c r="F25" s="21">
        <f>+C25-69501</f>
        <v>77384</v>
      </c>
      <c r="G25" s="21">
        <f>+D25-73885</f>
        <v>82851</v>
      </c>
      <c r="H25" s="23">
        <f t="shared" si="6"/>
        <v>-0.0659859265428299</v>
      </c>
      <c r="I25" s="24">
        <f t="shared" si="7"/>
        <v>46.88712468938285</v>
      </c>
      <c r="J25" s="24">
        <f t="shared" si="8"/>
        <v>88.99792347255246</v>
      </c>
      <c r="K25" s="21">
        <v>6887015.31</v>
      </c>
      <c r="L25" s="21">
        <v>6873490.36</v>
      </c>
      <c r="M25" s="25">
        <f t="shared" si="9"/>
        <v>0.0019676975294396506</v>
      </c>
      <c r="N25" s="10"/>
      <c r="R25" s="2"/>
    </row>
    <row r="26" spans="1:18" ht="15.75">
      <c r="A26" s="19"/>
      <c r="B26" s="20">
        <f>DATE(2017,9,1)</f>
        <v>42979</v>
      </c>
      <c r="C26" s="21">
        <v>147791</v>
      </c>
      <c r="D26" s="21">
        <v>155294</v>
      </c>
      <c r="E26" s="23">
        <f t="shared" si="5"/>
        <v>-0.04831480932940101</v>
      </c>
      <c r="F26" s="21">
        <f>+C26-70004</f>
        <v>77787</v>
      </c>
      <c r="G26" s="21">
        <f>+D26-73977</f>
        <v>81317</v>
      </c>
      <c r="H26" s="23">
        <f t="shared" si="6"/>
        <v>-0.043410356997921715</v>
      </c>
      <c r="I26" s="24">
        <f t="shared" si="7"/>
        <v>45.22004107151315</v>
      </c>
      <c r="J26" s="24">
        <f t="shared" si="8"/>
        <v>85.91557831000038</v>
      </c>
      <c r="K26" s="21">
        <v>6683115.09</v>
      </c>
      <c r="L26" s="21">
        <v>6937402.96</v>
      </c>
      <c r="M26" s="25">
        <f t="shared" si="9"/>
        <v>-0.036654620102967196</v>
      </c>
      <c r="N26" s="10"/>
      <c r="R26" s="2"/>
    </row>
    <row r="27" spans="1:18" ht="15.75">
      <c r="A27" s="19"/>
      <c r="B27" s="20">
        <f>DATE(2017,10,1)</f>
        <v>43009</v>
      </c>
      <c r="C27" s="21">
        <v>137700</v>
      </c>
      <c r="D27" s="21">
        <v>146527</v>
      </c>
      <c r="E27" s="23">
        <f t="shared" si="5"/>
        <v>-0.0602414572058392</v>
      </c>
      <c r="F27" s="21">
        <f>+C27-65646</f>
        <v>72054</v>
      </c>
      <c r="G27" s="21">
        <f>+D27-70123</f>
        <v>76404</v>
      </c>
      <c r="H27" s="23">
        <f t="shared" si="6"/>
        <v>-0.056934191927124234</v>
      </c>
      <c r="I27" s="24">
        <f t="shared" si="7"/>
        <v>45.38843761801017</v>
      </c>
      <c r="J27" s="24">
        <f t="shared" si="8"/>
        <v>86.7403316956727</v>
      </c>
      <c r="K27" s="21">
        <v>6249987.86</v>
      </c>
      <c r="L27" s="21">
        <v>6669801.07</v>
      </c>
      <c r="M27" s="25">
        <f t="shared" si="9"/>
        <v>-0.06294238847516331</v>
      </c>
      <c r="N27" s="10"/>
      <c r="R27" s="2"/>
    </row>
    <row r="28" spans="1:18" ht="15.75">
      <c r="A28" s="19"/>
      <c r="B28" s="20">
        <f>DATE(2017,11,1)</f>
        <v>43040</v>
      </c>
      <c r="C28" s="21">
        <v>128271</v>
      </c>
      <c r="D28" s="21">
        <v>141058</v>
      </c>
      <c r="E28" s="23">
        <f t="shared" si="5"/>
        <v>-0.09065065434076763</v>
      </c>
      <c r="F28" s="21">
        <f>+C28-61249</f>
        <v>67022</v>
      </c>
      <c r="G28" s="21">
        <f>+D28-67043</f>
        <v>74015</v>
      </c>
      <c r="H28" s="23">
        <f t="shared" si="6"/>
        <v>-0.09448084847666013</v>
      </c>
      <c r="I28" s="24">
        <f t="shared" si="7"/>
        <v>48.31553001068051</v>
      </c>
      <c r="J28" s="24">
        <f t="shared" si="8"/>
        <v>92.46935856882814</v>
      </c>
      <c r="K28" s="21">
        <v>6197481.35</v>
      </c>
      <c r="L28" s="21">
        <v>6463132.7</v>
      </c>
      <c r="M28" s="25">
        <f t="shared" si="9"/>
        <v>-0.04110256779966789</v>
      </c>
      <c r="N28" s="10"/>
      <c r="R28" s="2"/>
    </row>
    <row r="29" spans="1:18" ht="15.75">
      <c r="A29" s="19"/>
      <c r="B29" s="20">
        <f>DATE(2017,12,1)</f>
        <v>43070</v>
      </c>
      <c r="C29" s="21">
        <v>135202</v>
      </c>
      <c r="D29" s="21">
        <v>135128</v>
      </c>
      <c r="E29" s="23">
        <f t="shared" si="5"/>
        <v>0.0005476289148067018</v>
      </c>
      <c r="F29" s="21">
        <f>+C29-65090</f>
        <v>70112</v>
      </c>
      <c r="G29" s="21">
        <f>+D29-64946</f>
        <v>70182</v>
      </c>
      <c r="H29" s="23">
        <f t="shared" si="6"/>
        <v>-0.000997406742469579</v>
      </c>
      <c r="I29" s="24">
        <f t="shared" si="7"/>
        <v>48.52504741054126</v>
      </c>
      <c r="J29" s="24">
        <f t="shared" si="8"/>
        <v>93.57433049977179</v>
      </c>
      <c r="K29" s="21">
        <v>6560683.46</v>
      </c>
      <c r="L29" s="21">
        <v>6130475.36</v>
      </c>
      <c r="M29" s="25">
        <f t="shared" si="9"/>
        <v>0.07017532487072904</v>
      </c>
      <c r="N29" s="10"/>
      <c r="R29" s="2"/>
    </row>
    <row r="30" spans="1:18" ht="15.75">
      <c r="A30" s="19"/>
      <c r="B30" s="20">
        <f>DATE(2018,1,1)</f>
        <v>43101</v>
      </c>
      <c r="C30" s="21">
        <v>122998</v>
      </c>
      <c r="D30" s="21">
        <v>131548</v>
      </c>
      <c r="E30" s="23">
        <f t="shared" si="5"/>
        <v>-0.06499528689147688</v>
      </c>
      <c r="F30" s="21">
        <f>+C30-59574</f>
        <v>63424</v>
      </c>
      <c r="G30" s="21">
        <f>+D30-62907</f>
        <v>68641</v>
      </c>
      <c r="H30" s="23">
        <f t="shared" si="6"/>
        <v>-0.07600413746885971</v>
      </c>
      <c r="I30" s="24">
        <f t="shared" si="7"/>
        <v>49.07755662693702</v>
      </c>
      <c r="J30" s="24">
        <f t="shared" si="8"/>
        <v>95.17597928229061</v>
      </c>
      <c r="K30" s="21">
        <v>6036441.31</v>
      </c>
      <c r="L30" s="21">
        <v>6010945.81</v>
      </c>
      <c r="M30" s="25">
        <f t="shared" si="9"/>
        <v>0.004241512202220302</v>
      </c>
      <c r="N30" s="10"/>
      <c r="R30" s="2"/>
    </row>
    <row r="31" spans="1:18" ht="15.75">
      <c r="A31" s="19"/>
      <c r="B31" s="20">
        <f>DATE(2018,2,1)</f>
        <v>43132</v>
      </c>
      <c r="C31" s="21">
        <v>129346</v>
      </c>
      <c r="D31" s="21">
        <v>143794</v>
      </c>
      <c r="E31" s="23">
        <f t="shared" si="5"/>
        <v>-0.10047707136598188</v>
      </c>
      <c r="F31" s="21">
        <f>+C31-62566</f>
        <v>66780</v>
      </c>
      <c r="G31" s="21">
        <f>+D31-69424</f>
        <v>74370</v>
      </c>
      <c r="H31" s="23">
        <f t="shared" si="6"/>
        <v>-0.10205728116175877</v>
      </c>
      <c r="I31" s="24">
        <f t="shared" si="7"/>
        <v>49.69429669259196</v>
      </c>
      <c r="J31" s="24">
        <f t="shared" si="8"/>
        <v>96.25274782869123</v>
      </c>
      <c r="K31" s="21">
        <v>6427758.5</v>
      </c>
      <c r="L31" s="21">
        <v>6803830.21</v>
      </c>
      <c r="M31" s="25">
        <f t="shared" si="9"/>
        <v>-0.05527352952565816</v>
      </c>
      <c r="N31" s="10"/>
      <c r="R31" s="2"/>
    </row>
    <row r="32" spans="1:18" ht="15.75">
      <c r="A32" s="19"/>
      <c r="B32" s="20">
        <f>DATE(2018,3,1)</f>
        <v>43160</v>
      </c>
      <c r="C32" s="21">
        <v>155835</v>
      </c>
      <c r="D32" s="21">
        <v>160126</v>
      </c>
      <c r="E32" s="23">
        <f t="shared" si="5"/>
        <v>-0.02679764685310318</v>
      </c>
      <c r="F32" s="21">
        <f>+C32-75203</f>
        <v>80632</v>
      </c>
      <c r="G32" s="21">
        <f>+D32-77591</f>
        <v>82535</v>
      </c>
      <c r="H32" s="23">
        <f t="shared" si="6"/>
        <v>-0.02305688495789665</v>
      </c>
      <c r="I32" s="24">
        <f t="shared" si="7"/>
        <v>48.83709859787596</v>
      </c>
      <c r="J32" s="24">
        <f t="shared" si="8"/>
        <v>94.38596661375136</v>
      </c>
      <c r="K32" s="21">
        <v>7610529.26</v>
      </c>
      <c r="L32" s="21">
        <v>7547749.48</v>
      </c>
      <c r="M32" s="25">
        <f t="shared" si="9"/>
        <v>0.008317682001284351</v>
      </c>
      <c r="N32" s="10"/>
      <c r="R32" s="2"/>
    </row>
    <row r="33" spans="1:18" ht="15.75">
      <c r="A33" s="19"/>
      <c r="B33" s="20">
        <f>DATE(2018,4,1)</f>
        <v>43191</v>
      </c>
      <c r="C33" s="21">
        <v>134366</v>
      </c>
      <c r="D33" s="21">
        <v>147972</v>
      </c>
      <c r="E33" s="23">
        <f t="shared" si="5"/>
        <v>-0.09194982834590328</v>
      </c>
      <c r="F33" s="21">
        <f>+C33-65307</f>
        <v>69059</v>
      </c>
      <c r="G33" s="21">
        <f>+D33-72133</f>
        <v>75839</v>
      </c>
      <c r="H33" s="23">
        <f t="shared" si="6"/>
        <v>-0.08939991297353604</v>
      </c>
      <c r="I33" s="24">
        <f t="shared" si="7"/>
        <v>51.11383125195362</v>
      </c>
      <c r="J33" s="24">
        <f t="shared" si="8"/>
        <v>99.45062989617573</v>
      </c>
      <c r="K33" s="21">
        <v>6867961.05</v>
      </c>
      <c r="L33" s="21">
        <v>7086079.19</v>
      </c>
      <c r="M33" s="25">
        <f t="shared" si="9"/>
        <v>-0.03078121682690376</v>
      </c>
      <c r="N33" s="10"/>
      <c r="R33" s="2"/>
    </row>
    <row r="34" spans="1:18" ht="15.75">
      <c r="A34" s="19"/>
      <c r="B34" s="20">
        <f>DATE(2018,5,1)</f>
        <v>43221</v>
      </c>
      <c r="C34" s="21">
        <v>132093</v>
      </c>
      <c r="D34" s="21">
        <v>145455</v>
      </c>
      <c r="E34" s="23">
        <f t="shared" si="5"/>
        <v>-0.09186346292667835</v>
      </c>
      <c r="F34" s="21">
        <f>+C34-61960</f>
        <v>70133</v>
      </c>
      <c r="G34" s="21">
        <f>+D34-69365</f>
        <v>76090</v>
      </c>
      <c r="H34" s="23">
        <f t="shared" si="6"/>
        <v>-0.07828886844526219</v>
      </c>
      <c r="I34" s="24">
        <f t="shared" si="7"/>
        <v>50.368314293717305</v>
      </c>
      <c r="J34" s="24">
        <f t="shared" si="8"/>
        <v>94.86692056521181</v>
      </c>
      <c r="K34" s="21">
        <v>6653301.74</v>
      </c>
      <c r="L34" s="21">
        <v>6821662.33</v>
      </c>
      <c r="M34" s="25">
        <f t="shared" si="9"/>
        <v>-0.024680287861741736</v>
      </c>
      <c r="N34" s="10"/>
      <c r="R34" s="2"/>
    </row>
    <row r="35" spans="1:18" ht="15.75">
      <c r="A35" s="19"/>
      <c r="B35" s="20">
        <f>DATE(2018,6,1)</f>
        <v>43252</v>
      </c>
      <c r="C35" s="21">
        <v>124157</v>
      </c>
      <c r="D35" s="21">
        <v>140222</v>
      </c>
      <c r="E35" s="23">
        <f t="shared" si="5"/>
        <v>-0.11456832736660438</v>
      </c>
      <c r="F35" s="21">
        <f>+C35-57854</f>
        <v>66303</v>
      </c>
      <c r="G35" s="21">
        <f>+D35-67155</f>
        <v>73067</v>
      </c>
      <c r="H35" s="23">
        <f t="shared" si="6"/>
        <v>-0.09257257038060958</v>
      </c>
      <c r="I35" s="24">
        <f t="shared" si="7"/>
        <v>52.85773287047851</v>
      </c>
      <c r="J35" s="24">
        <f t="shared" si="8"/>
        <v>98.97979789753103</v>
      </c>
      <c r="K35" s="21">
        <v>6562657.54</v>
      </c>
      <c r="L35" s="21">
        <v>6602274.63</v>
      </c>
      <c r="M35" s="25">
        <f t="shared" si="9"/>
        <v>-0.006000521368799809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26" t="s">
        <v>14</v>
      </c>
      <c r="B37" s="27"/>
      <c r="C37" s="28">
        <f>SUM(C24:C36)</f>
        <v>1649129</v>
      </c>
      <c r="D37" s="28">
        <f>SUM(D24:D36)</f>
        <v>1772016</v>
      </c>
      <c r="E37" s="279">
        <f>(+C37-D37)/D37</f>
        <v>-0.0693486966257641</v>
      </c>
      <c r="F37" s="28">
        <f>SUM(F24:F36)</f>
        <v>860722</v>
      </c>
      <c r="G37" s="28">
        <f>SUM(G24:G36)</f>
        <v>922995</v>
      </c>
      <c r="H37" s="30">
        <f>(+F37-G37)/G37</f>
        <v>-0.06746840448756494</v>
      </c>
      <c r="I37" s="31">
        <f>K37/C37</f>
        <v>48.62568175685468</v>
      </c>
      <c r="J37" s="31">
        <f>K37/F37</f>
        <v>93.16599544336034</v>
      </c>
      <c r="K37" s="28">
        <f>SUM(K24:K36)</f>
        <v>80190021.93</v>
      </c>
      <c r="L37" s="28">
        <f>SUM(L24:L36)</f>
        <v>81518063.64</v>
      </c>
      <c r="M37" s="32">
        <f>(+K37-L37)/L37</f>
        <v>-0.01629137948939624</v>
      </c>
      <c r="N37" s="10"/>
      <c r="R37" s="2"/>
    </row>
    <row r="38" spans="1:18" ht="15.75" customHeight="1" thickTop="1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>
      <c r="A39" s="19" t="s">
        <v>56</v>
      </c>
      <c r="B39" s="20">
        <f>DATE(2017,7,1)</f>
        <v>42917</v>
      </c>
      <c r="C39" s="21">
        <v>74865</v>
      </c>
      <c r="D39" s="21">
        <v>79290</v>
      </c>
      <c r="E39" s="23">
        <f aca="true" t="shared" si="10" ref="E39:E50">(+C39-D39)/D39</f>
        <v>-0.05580779417328793</v>
      </c>
      <c r="F39" s="21">
        <f>+C39-41129</f>
        <v>33736</v>
      </c>
      <c r="G39" s="21">
        <f>+D39-44110</f>
        <v>35180</v>
      </c>
      <c r="H39" s="23">
        <f aca="true" t="shared" si="11" ref="H39:H50">(+F39-G39)/G39</f>
        <v>-0.041046048891415575</v>
      </c>
      <c r="I39" s="24">
        <f aca="true" t="shared" si="12" ref="I39:I50">K39/C39</f>
        <v>43.836655847191615</v>
      </c>
      <c r="J39" s="24">
        <f aca="true" t="shared" si="13" ref="J39:J50">K39/F39</f>
        <v>97.27979724922932</v>
      </c>
      <c r="K39" s="21">
        <v>3281831.24</v>
      </c>
      <c r="L39" s="21">
        <v>3381483.62</v>
      </c>
      <c r="M39" s="25">
        <f aca="true" t="shared" si="14" ref="M39:M50">(+K39-L39)/L39</f>
        <v>-0.029470017069016554</v>
      </c>
      <c r="N39" s="10"/>
      <c r="R39" s="2"/>
    </row>
    <row r="40" spans="1:18" ht="15.75" customHeight="1">
      <c r="A40" s="19"/>
      <c r="B40" s="20">
        <f>DATE(2017,8,1)</f>
        <v>42948</v>
      </c>
      <c r="C40" s="21">
        <v>67175</v>
      </c>
      <c r="D40" s="21">
        <v>71059</v>
      </c>
      <c r="E40" s="23">
        <f t="shared" si="10"/>
        <v>-0.054658804655286455</v>
      </c>
      <c r="F40" s="21">
        <f>+C40-36831</f>
        <v>30344</v>
      </c>
      <c r="G40" s="21">
        <f>+D40-39645</f>
        <v>31414</v>
      </c>
      <c r="H40" s="23">
        <f t="shared" si="11"/>
        <v>-0.03406124657795887</v>
      </c>
      <c r="I40" s="24">
        <f t="shared" si="12"/>
        <v>43.37994923706736</v>
      </c>
      <c r="J40" s="24">
        <f t="shared" si="13"/>
        <v>96.0337493408911</v>
      </c>
      <c r="K40" s="21">
        <v>2914048.09</v>
      </c>
      <c r="L40" s="21">
        <v>2856153.4</v>
      </c>
      <c r="M40" s="25">
        <f t="shared" si="14"/>
        <v>0.020270161259545776</v>
      </c>
      <c r="N40" s="10"/>
      <c r="R40" s="2"/>
    </row>
    <row r="41" spans="1:18" ht="15.75" customHeight="1">
      <c r="A41" s="19"/>
      <c r="B41" s="20">
        <f>DATE(2017,9,1)</f>
        <v>42979</v>
      </c>
      <c r="C41" s="21">
        <v>69904</v>
      </c>
      <c r="D41" s="21">
        <v>74988</v>
      </c>
      <c r="E41" s="23">
        <f t="shared" si="10"/>
        <v>-0.0677975142689497</v>
      </c>
      <c r="F41" s="21">
        <f>+C41-38362</f>
        <v>31542</v>
      </c>
      <c r="G41" s="21">
        <f>+D41-41297</f>
        <v>33691</v>
      </c>
      <c r="H41" s="23">
        <f t="shared" si="11"/>
        <v>-0.06378558071888635</v>
      </c>
      <c r="I41" s="24">
        <f t="shared" si="12"/>
        <v>46.3982827878233</v>
      </c>
      <c r="J41" s="24">
        <f t="shared" si="13"/>
        <v>102.82878574598948</v>
      </c>
      <c r="K41" s="21">
        <v>3243425.56</v>
      </c>
      <c r="L41" s="21">
        <v>3135290.49</v>
      </c>
      <c r="M41" s="25">
        <f t="shared" si="14"/>
        <v>0.03448964947423415</v>
      </c>
      <c r="N41" s="10"/>
      <c r="R41" s="2"/>
    </row>
    <row r="42" spans="1:18" ht="15.75" customHeight="1">
      <c r="A42" s="19"/>
      <c r="B42" s="20">
        <f>DATE(2017,10,1)</f>
        <v>43009</v>
      </c>
      <c r="C42" s="21">
        <v>63657</v>
      </c>
      <c r="D42" s="21">
        <v>72346</v>
      </c>
      <c r="E42" s="23">
        <f t="shared" si="10"/>
        <v>-0.1201033920327316</v>
      </c>
      <c r="F42" s="21">
        <f>+C42-34877</f>
        <v>28780</v>
      </c>
      <c r="G42" s="21">
        <f>+D42-40670</f>
        <v>31676</v>
      </c>
      <c r="H42" s="23">
        <f t="shared" si="11"/>
        <v>-0.09142568506124511</v>
      </c>
      <c r="I42" s="24">
        <f t="shared" si="12"/>
        <v>45.453371349576635</v>
      </c>
      <c r="J42" s="24">
        <f t="shared" si="13"/>
        <v>100.53597150799165</v>
      </c>
      <c r="K42" s="21">
        <v>2893425.26</v>
      </c>
      <c r="L42" s="21">
        <v>2923958.35</v>
      </c>
      <c r="M42" s="25">
        <f t="shared" si="14"/>
        <v>-0.010442381985365939</v>
      </c>
      <c r="N42" s="10"/>
      <c r="R42" s="2"/>
    </row>
    <row r="43" spans="1:18" ht="15.75" customHeight="1">
      <c r="A43" s="19"/>
      <c r="B43" s="20">
        <f>DATE(2017,11,1)</f>
        <v>43040</v>
      </c>
      <c r="C43" s="21">
        <v>63113</v>
      </c>
      <c r="D43" s="21">
        <v>65636</v>
      </c>
      <c r="E43" s="23">
        <f t="shared" si="10"/>
        <v>-0.03843927113169602</v>
      </c>
      <c r="F43" s="21">
        <f>+C43-34636</f>
        <v>28477</v>
      </c>
      <c r="G43" s="21">
        <f>+D43-36502</f>
        <v>29134</v>
      </c>
      <c r="H43" s="23">
        <f t="shared" si="11"/>
        <v>-0.02255097137365278</v>
      </c>
      <c r="I43" s="24">
        <f t="shared" si="12"/>
        <v>45.041048278484624</v>
      </c>
      <c r="J43" s="24">
        <f t="shared" si="13"/>
        <v>99.82356568458756</v>
      </c>
      <c r="K43" s="21">
        <v>2842675.68</v>
      </c>
      <c r="L43" s="21">
        <v>2921467.44</v>
      </c>
      <c r="M43" s="25">
        <f t="shared" si="14"/>
        <v>-0.02696992577127602</v>
      </c>
      <c r="N43" s="10"/>
      <c r="R43" s="2"/>
    </row>
    <row r="44" spans="1:18" ht="15.75" customHeight="1">
      <c r="A44" s="19"/>
      <c r="B44" s="20">
        <f>DATE(2017,12,1)</f>
        <v>43070</v>
      </c>
      <c r="C44" s="21">
        <v>67232</v>
      </c>
      <c r="D44" s="21">
        <v>70253</v>
      </c>
      <c r="E44" s="23">
        <f t="shared" si="10"/>
        <v>-0.04300172234637667</v>
      </c>
      <c r="F44" s="21">
        <f>+C44-38046</f>
        <v>29186</v>
      </c>
      <c r="G44" s="21">
        <f>+D44-39671</f>
        <v>30582</v>
      </c>
      <c r="H44" s="23">
        <f t="shared" si="11"/>
        <v>-0.04564776666012687</v>
      </c>
      <c r="I44" s="24">
        <f t="shared" si="12"/>
        <v>45.92607314969062</v>
      </c>
      <c r="J44" s="24">
        <f t="shared" si="13"/>
        <v>105.79393373535257</v>
      </c>
      <c r="K44" s="21">
        <v>3087701.75</v>
      </c>
      <c r="L44" s="21">
        <v>3060080.79</v>
      </c>
      <c r="M44" s="25">
        <f t="shared" si="14"/>
        <v>0.009026219206454338</v>
      </c>
      <c r="N44" s="10"/>
      <c r="R44" s="2"/>
    </row>
    <row r="45" spans="1:18" ht="15.75" customHeight="1">
      <c r="A45" s="19"/>
      <c r="B45" s="20">
        <f>DATE(2018,1,1)</f>
        <v>43101</v>
      </c>
      <c r="C45" s="21">
        <v>54220</v>
      </c>
      <c r="D45" s="21">
        <v>62319</v>
      </c>
      <c r="E45" s="23">
        <f t="shared" si="10"/>
        <v>-0.12996036521767038</v>
      </c>
      <c r="F45" s="21">
        <f>+C45-30564</f>
        <v>23656</v>
      </c>
      <c r="G45" s="21">
        <f>+D45-35198</f>
        <v>27121</v>
      </c>
      <c r="H45" s="23">
        <f t="shared" si="11"/>
        <v>-0.1277607757826039</v>
      </c>
      <c r="I45" s="24">
        <f t="shared" si="12"/>
        <v>45.85845536702324</v>
      </c>
      <c r="J45" s="24">
        <f t="shared" si="13"/>
        <v>105.10844817382483</v>
      </c>
      <c r="K45" s="21">
        <v>2486445.45</v>
      </c>
      <c r="L45" s="21">
        <v>2719307.7</v>
      </c>
      <c r="M45" s="25">
        <f t="shared" si="14"/>
        <v>-0.08563291678981381</v>
      </c>
      <c r="N45" s="10"/>
      <c r="R45" s="2"/>
    </row>
    <row r="46" spans="1:18" ht="15.75" customHeight="1">
      <c r="A46" s="19"/>
      <c r="B46" s="20">
        <f>DATE(2018,2,1)</f>
        <v>43132</v>
      </c>
      <c r="C46" s="21">
        <v>65508</v>
      </c>
      <c r="D46" s="21">
        <v>73408</v>
      </c>
      <c r="E46" s="23">
        <f t="shared" si="10"/>
        <v>-0.10761769834350479</v>
      </c>
      <c r="F46" s="21">
        <f>+C46-36512</f>
        <v>28996</v>
      </c>
      <c r="G46" s="21">
        <f>+D46-41466</f>
        <v>31942</v>
      </c>
      <c r="H46" s="23">
        <f t="shared" si="11"/>
        <v>-0.09222966627011459</v>
      </c>
      <c r="I46" s="24">
        <f t="shared" si="12"/>
        <v>46.69418513769311</v>
      </c>
      <c r="J46" s="24">
        <f t="shared" si="13"/>
        <v>105.49188439784798</v>
      </c>
      <c r="K46" s="21">
        <v>3058842.68</v>
      </c>
      <c r="L46" s="21">
        <v>3306220.09</v>
      </c>
      <c r="M46" s="25">
        <f t="shared" si="14"/>
        <v>-0.07482182167733416</v>
      </c>
      <c r="N46" s="10"/>
      <c r="R46" s="2"/>
    </row>
    <row r="47" spans="1:18" ht="15.75" customHeight="1">
      <c r="A47" s="19"/>
      <c r="B47" s="20">
        <f>DATE(2018,3,1)</f>
        <v>43160</v>
      </c>
      <c r="C47" s="21">
        <v>81511</v>
      </c>
      <c r="D47" s="21">
        <v>80417</v>
      </c>
      <c r="E47" s="23">
        <f t="shared" si="10"/>
        <v>0.013604088687715284</v>
      </c>
      <c r="F47" s="21">
        <f>+C47-46109</f>
        <v>35402</v>
      </c>
      <c r="G47" s="21">
        <f>+D47-45370</f>
        <v>35047</v>
      </c>
      <c r="H47" s="23">
        <f t="shared" si="11"/>
        <v>0.010129255000427996</v>
      </c>
      <c r="I47" s="24">
        <f t="shared" si="12"/>
        <v>47.52944645507968</v>
      </c>
      <c r="J47" s="24">
        <f t="shared" si="13"/>
        <v>109.43372436585504</v>
      </c>
      <c r="K47" s="21">
        <v>3874172.71</v>
      </c>
      <c r="L47" s="21">
        <v>3696706</v>
      </c>
      <c r="M47" s="25">
        <f t="shared" si="14"/>
        <v>0.04800671462648097</v>
      </c>
      <c r="N47" s="10"/>
      <c r="R47" s="2"/>
    </row>
    <row r="48" spans="1:18" ht="15.75" customHeight="1">
      <c r="A48" s="19"/>
      <c r="B48" s="20">
        <f>DATE(2018,4,1)</f>
        <v>43191</v>
      </c>
      <c r="C48" s="21">
        <v>68061</v>
      </c>
      <c r="D48" s="21">
        <v>70766</v>
      </c>
      <c r="E48" s="23">
        <f t="shared" si="10"/>
        <v>-0.03822457112172512</v>
      </c>
      <c r="F48" s="21">
        <f>+C48-38034</f>
        <v>30027</v>
      </c>
      <c r="G48" s="21">
        <f>+D48-39875</f>
        <v>30891</v>
      </c>
      <c r="H48" s="23">
        <f t="shared" si="11"/>
        <v>-0.027969311449936876</v>
      </c>
      <c r="I48" s="24">
        <f t="shared" si="12"/>
        <v>46.609706292884326</v>
      </c>
      <c r="J48" s="24">
        <f t="shared" si="13"/>
        <v>105.64835714523596</v>
      </c>
      <c r="K48" s="21">
        <v>3172303.22</v>
      </c>
      <c r="L48" s="21">
        <v>3071320.43</v>
      </c>
      <c r="M48" s="25">
        <f t="shared" si="14"/>
        <v>0.03287927531547076</v>
      </c>
      <c r="N48" s="10"/>
      <c r="R48" s="2"/>
    </row>
    <row r="49" spans="1:18" ht="15.75" customHeight="1">
      <c r="A49" s="19"/>
      <c r="B49" s="20">
        <f>DATE(2018,5,1)</f>
        <v>43221</v>
      </c>
      <c r="C49" s="21">
        <v>66559</v>
      </c>
      <c r="D49" s="21">
        <v>69721</v>
      </c>
      <c r="E49" s="23">
        <f t="shared" si="10"/>
        <v>-0.045352189440771074</v>
      </c>
      <c r="F49" s="21">
        <f>+C49-36386</f>
        <v>30173</v>
      </c>
      <c r="G49" s="21">
        <f>+D49-38109</f>
        <v>31612</v>
      </c>
      <c r="H49" s="23">
        <f t="shared" si="11"/>
        <v>-0.045520688346197644</v>
      </c>
      <c r="I49" s="24">
        <f t="shared" si="12"/>
        <v>48.38374524857645</v>
      </c>
      <c r="J49" s="24">
        <f t="shared" si="13"/>
        <v>106.73031186822656</v>
      </c>
      <c r="K49" s="21">
        <v>3220373.7</v>
      </c>
      <c r="L49" s="21">
        <v>2840659.43</v>
      </c>
      <c r="M49" s="25">
        <f t="shared" si="14"/>
        <v>0.13367117014798216</v>
      </c>
      <c r="N49" s="10"/>
      <c r="R49" s="2"/>
    </row>
    <row r="50" spans="1:18" ht="15.75" customHeight="1">
      <c r="A50" s="19"/>
      <c r="B50" s="20">
        <f>DATE(2018,6,1)</f>
        <v>43252</v>
      </c>
      <c r="C50" s="21">
        <v>66816</v>
      </c>
      <c r="D50" s="21">
        <v>69222</v>
      </c>
      <c r="E50" s="23">
        <f t="shared" si="10"/>
        <v>-0.034757735979890785</v>
      </c>
      <c r="F50" s="21">
        <f>+C50-36382</f>
        <v>30434</v>
      </c>
      <c r="G50" s="21">
        <f>+D50-38665</f>
        <v>30557</v>
      </c>
      <c r="H50" s="23">
        <f t="shared" si="11"/>
        <v>-0.0040252642602349705</v>
      </c>
      <c r="I50" s="24">
        <f t="shared" si="12"/>
        <v>48.01745689655172</v>
      </c>
      <c r="J50" s="24">
        <f t="shared" si="13"/>
        <v>105.41941249917855</v>
      </c>
      <c r="K50" s="21">
        <v>3208334.4</v>
      </c>
      <c r="L50" s="21">
        <v>3017698.96</v>
      </c>
      <c r="M50" s="25">
        <f t="shared" si="14"/>
        <v>0.06317245110493061</v>
      </c>
      <c r="N50" s="10"/>
      <c r="R50" s="2"/>
    </row>
    <row r="51" spans="1:18" ht="15.75" customHeight="1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Bot="1" thickTop="1">
      <c r="A52" s="39" t="s">
        <v>14</v>
      </c>
      <c r="B52" s="40"/>
      <c r="C52" s="41">
        <f>SUM(C39:C51)</f>
        <v>808621</v>
      </c>
      <c r="D52" s="41">
        <f>SUM(D39:D51)</f>
        <v>859425</v>
      </c>
      <c r="E52" s="280">
        <f>(+C52-D52)/D52</f>
        <v>-0.05911394246152951</v>
      </c>
      <c r="F52" s="41">
        <f>SUM(F39:F51)</f>
        <v>360753</v>
      </c>
      <c r="G52" s="41">
        <f>SUM(G39:G51)</f>
        <v>378847</v>
      </c>
      <c r="H52" s="42">
        <f>(+F52-G52)/G52</f>
        <v>-0.04776070550908414</v>
      </c>
      <c r="I52" s="43">
        <f>K52/C52</f>
        <v>46.10760756893526</v>
      </c>
      <c r="J52" s="43">
        <f>K52/F52</f>
        <v>103.34932693560413</v>
      </c>
      <c r="K52" s="41">
        <f>SUM(K39:K51)</f>
        <v>37283579.739999995</v>
      </c>
      <c r="L52" s="41">
        <f>SUM(L39:L51)</f>
        <v>36930346.7</v>
      </c>
      <c r="M52" s="44">
        <f>(+K52-L52)/L52</f>
        <v>0.009564844946337631</v>
      </c>
      <c r="N52" s="10"/>
      <c r="R52" s="2"/>
    </row>
    <row r="53" spans="1:18" ht="15.75" customHeight="1" thickTop="1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>
      <c r="A54" s="177" t="s">
        <v>65</v>
      </c>
      <c r="B54" s="20">
        <f>DATE(2017,7,1)</f>
        <v>42917</v>
      </c>
      <c r="C54" s="21">
        <v>502707</v>
      </c>
      <c r="D54" s="21">
        <v>511183</v>
      </c>
      <c r="E54" s="23">
        <f aca="true" t="shared" si="15" ref="E54:E65">(+C54-D54)/D54</f>
        <v>-0.016581146086626513</v>
      </c>
      <c r="F54" s="21">
        <f>+C54-258518</f>
        <v>244189</v>
      </c>
      <c r="G54" s="21">
        <f>+D54-260995</f>
        <v>250188</v>
      </c>
      <c r="H54" s="23">
        <f aca="true" t="shared" si="16" ref="H54:H65">(+F54-G54)/G54</f>
        <v>-0.023977968567637137</v>
      </c>
      <c r="I54" s="24">
        <f aca="true" t="shared" si="17" ref="I54:I65">K54/C54</f>
        <v>42.25325048189104</v>
      </c>
      <c r="J54" s="24">
        <f aca="true" t="shared" si="18" ref="J54:J65">K54/F54</f>
        <v>86.98591988173095</v>
      </c>
      <c r="K54" s="21">
        <v>21241004.79</v>
      </c>
      <c r="L54" s="21">
        <v>21271913.41</v>
      </c>
      <c r="M54" s="25">
        <f aca="true" t="shared" si="19" ref="M54:M65">(+K54-L54)/L54</f>
        <v>-0.0014530249067989714</v>
      </c>
      <c r="N54" s="10"/>
      <c r="R54" s="2"/>
    </row>
    <row r="55" spans="1:18" ht="15.75" customHeight="1">
      <c r="A55" s="177"/>
      <c r="B55" s="20">
        <f>DATE(2017,8,1)</f>
        <v>42948</v>
      </c>
      <c r="C55" s="21">
        <v>453491</v>
      </c>
      <c r="D55" s="21">
        <v>492813</v>
      </c>
      <c r="E55" s="23">
        <f t="shared" si="15"/>
        <v>-0.07979091460655462</v>
      </c>
      <c r="F55" s="21">
        <f>+C55-231314</f>
        <v>222177</v>
      </c>
      <c r="G55" s="21">
        <f>+D55-254208</f>
        <v>238605</v>
      </c>
      <c r="H55" s="23">
        <f t="shared" si="16"/>
        <v>-0.06885019173948576</v>
      </c>
      <c r="I55" s="24">
        <f t="shared" si="17"/>
        <v>43.557037383321834</v>
      </c>
      <c r="J55" s="24">
        <f t="shared" si="18"/>
        <v>88.9053522191766</v>
      </c>
      <c r="K55" s="21">
        <v>19752724.44</v>
      </c>
      <c r="L55" s="21">
        <v>20322456.8</v>
      </c>
      <c r="M55" s="25">
        <f t="shared" si="19"/>
        <v>-0.028034620302403564</v>
      </c>
      <c r="N55" s="10"/>
      <c r="R55" s="2"/>
    </row>
    <row r="56" spans="1:18" ht="15.75" customHeight="1">
      <c r="A56" s="177"/>
      <c r="B56" s="20">
        <f>DATE(2017,9,1)</f>
        <v>42979</v>
      </c>
      <c r="C56" s="21">
        <v>440378</v>
      </c>
      <c r="D56" s="21">
        <v>456081</v>
      </c>
      <c r="E56" s="23">
        <f t="shared" si="15"/>
        <v>-0.0344302876024215</v>
      </c>
      <c r="F56" s="21">
        <f>+C56-224768</f>
        <v>215610</v>
      </c>
      <c r="G56" s="21">
        <f>+D56-233745</f>
        <v>222336</v>
      </c>
      <c r="H56" s="23">
        <f t="shared" si="16"/>
        <v>-0.030251511226252158</v>
      </c>
      <c r="I56" s="24">
        <f t="shared" si="17"/>
        <v>45.40048721779926</v>
      </c>
      <c r="J56" s="24">
        <f t="shared" si="18"/>
        <v>92.72935281294932</v>
      </c>
      <c r="K56" s="21">
        <v>19993375.76</v>
      </c>
      <c r="L56" s="21">
        <v>19442866.91</v>
      </c>
      <c r="M56" s="25">
        <f t="shared" si="19"/>
        <v>0.028314180853486155</v>
      </c>
      <c r="N56" s="10"/>
      <c r="R56" s="2"/>
    </row>
    <row r="57" spans="1:18" ht="15.75" customHeight="1">
      <c r="A57" s="177"/>
      <c r="B57" s="20">
        <f>DATE(2017,10,1)</f>
        <v>43009</v>
      </c>
      <c r="C57" s="21">
        <v>419713</v>
      </c>
      <c r="D57" s="21">
        <v>454176</v>
      </c>
      <c r="E57" s="23">
        <f t="shared" si="15"/>
        <v>-0.07588027548791658</v>
      </c>
      <c r="F57" s="21">
        <f>+C57-218072</f>
        <v>201641</v>
      </c>
      <c r="G57" s="21">
        <f>+D57-236207</f>
        <v>217969</v>
      </c>
      <c r="H57" s="23">
        <f t="shared" si="16"/>
        <v>-0.07490973487055498</v>
      </c>
      <c r="I57" s="24">
        <f t="shared" si="17"/>
        <v>43.245254471507906</v>
      </c>
      <c r="J57" s="24">
        <f t="shared" si="18"/>
        <v>90.01440922233077</v>
      </c>
      <c r="K57" s="21">
        <v>18150595.49</v>
      </c>
      <c r="L57" s="21">
        <v>19802463.97</v>
      </c>
      <c r="M57" s="25">
        <f t="shared" si="19"/>
        <v>-0.08341732031440735</v>
      </c>
      <c r="N57" s="10"/>
      <c r="R57" s="2"/>
    </row>
    <row r="58" spans="1:18" ht="15.75" customHeight="1">
      <c r="A58" s="177"/>
      <c r="B58" s="20">
        <f>DATE(2017,11,1)</f>
        <v>43040</v>
      </c>
      <c r="C58" s="21">
        <v>408603</v>
      </c>
      <c r="D58" s="21">
        <v>448954</v>
      </c>
      <c r="E58" s="23">
        <f t="shared" si="15"/>
        <v>-0.08987780485305845</v>
      </c>
      <c r="F58" s="21">
        <f>+C58-210845</f>
        <v>197758</v>
      </c>
      <c r="G58" s="21">
        <f>+D58-231857</f>
        <v>217097</v>
      </c>
      <c r="H58" s="23">
        <f t="shared" si="16"/>
        <v>-0.0890799964992607</v>
      </c>
      <c r="I58" s="24">
        <f t="shared" si="17"/>
        <v>45.199705288507424</v>
      </c>
      <c r="J58" s="24">
        <f t="shared" si="18"/>
        <v>93.39058435056988</v>
      </c>
      <c r="K58" s="21">
        <v>18468735.18</v>
      </c>
      <c r="L58" s="21">
        <v>18785567.54</v>
      </c>
      <c r="M58" s="25">
        <f t="shared" si="19"/>
        <v>-0.01686573266021216</v>
      </c>
      <c r="N58" s="10"/>
      <c r="R58" s="2"/>
    </row>
    <row r="59" spans="1:18" ht="15.75" customHeight="1">
      <c r="A59" s="177"/>
      <c r="B59" s="20">
        <f>DATE(2017,12,1)</f>
        <v>43070</v>
      </c>
      <c r="C59" s="21">
        <v>449629</v>
      </c>
      <c r="D59" s="21">
        <v>462580</v>
      </c>
      <c r="E59" s="23">
        <f t="shared" si="15"/>
        <v>-0.02799731938259328</v>
      </c>
      <c r="F59" s="21">
        <f>+C59-233187</f>
        <v>216442</v>
      </c>
      <c r="G59" s="21">
        <f>+D59-240615</f>
        <v>221965</v>
      </c>
      <c r="H59" s="23">
        <f t="shared" si="16"/>
        <v>-0.02488230126371275</v>
      </c>
      <c r="I59" s="24">
        <f t="shared" si="17"/>
        <v>44.81480227031619</v>
      </c>
      <c r="J59" s="24">
        <f t="shared" si="18"/>
        <v>93.09669440311954</v>
      </c>
      <c r="K59" s="21">
        <v>20150034.73</v>
      </c>
      <c r="L59" s="21">
        <v>19391377.46</v>
      </c>
      <c r="M59" s="25">
        <f t="shared" si="19"/>
        <v>0.0391234336789605</v>
      </c>
      <c r="N59" s="10"/>
      <c r="R59" s="2"/>
    </row>
    <row r="60" spans="1:18" ht="15.75" customHeight="1">
      <c r="A60" s="177"/>
      <c r="B60" s="20">
        <f>DATE(2018,1,1)</f>
        <v>43101</v>
      </c>
      <c r="C60" s="21">
        <v>391423</v>
      </c>
      <c r="D60" s="21">
        <v>435215</v>
      </c>
      <c r="E60" s="23">
        <f t="shared" si="15"/>
        <v>-0.10062153188653884</v>
      </c>
      <c r="F60" s="21">
        <f>+C60-204825</f>
        <v>186598</v>
      </c>
      <c r="G60" s="21">
        <f>+D60-229944</f>
        <v>205271</v>
      </c>
      <c r="H60" s="23">
        <f t="shared" si="16"/>
        <v>-0.0909675502141072</v>
      </c>
      <c r="I60" s="24">
        <f t="shared" si="17"/>
        <v>45.31673197538213</v>
      </c>
      <c r="J60" s="24">
        <f t="shared" si="18"/>
        <v>95.0600284033055</v>
      </c>
      <c r="K60" s="21">
        <v>17738011.18</v>
      </c>
      <c r="L60" s="21">
        <v>18255008.8</v>
      </c>
      <c r="M60" s="25">
        <f t="shared" si="19"/>
        <v>-0.028320863915442265</v>
      </c>
      <c r="N60" s="10"/>
      <c r="R60" s="2"/>
    </row>
    <row r="61" spans="1:18" ht="15.75" customHeight="1">
      <c r="A61" s="177"/>
      <c r="B61" s="20">
        <f>DATE(2018,2,1)</f>
        <v>43132</v>
      </c>
      <c r="C61" s="21">
        <v>413419</v>
      </c>
      <c r="D61" s="21">
        <v>459756</v>
      </c>
      <c r="E61" s="23">
        <f t="shared" si="15"/>
        <v>-0.10078606913232237</v>
      </c>
      <c r="F61" s="21">
        <f>+C61-213480</f>
        <v>199939</v>
      </c>
      <c r="G61" s="21">
        <f>+D61-240345</f>
        <v>219411</v>
      </c>
      <c r="H61" s="23">
        <f t="shared" si="16"/>
        <v>-0.08874669000186863</v>
      </c>
      <c r="I61" s="24">
        <f t="shared" si="17"/>
        <v>45.45579910454043</v>
      </c>
      <c r="J61" s="24">
        <f t="shared" si="18"/>
        <v>93.99012203722135</v>
      </c>
      <c r="K61" s="21">
        <v>18792291.01</v>
      </c>
      <c r="L61" s="21">
        <v>19482334.15</v>
      </c>
      <c r="M61" s="25">
        <f t="shared" si="19"/>
        <v>-0.03541891514061712</v>
      </c>
      <c r="N61" s="10"/>
      <c r="R61" s="2"/>
    </row>
    <row r="62" spans="1:18" ht="15.75" customHeight="1">
      <c r="A62" s="177"/>
      <c r="B62" s="20">
        <f>DATE(2018,3,1)</f>
        <v>43160</v>
      </c>
      <c r="C62" s="21">
        <v>490262</v>
      </c>
      <c r="D62" s="21">
        <v>502493</v>
      </c>
      <c r="E62" s="23">
        <f t="shared" si="15"/>
        <v>-0.024340637581021028</v>
      </c>
      <c r="F62" s="21">
        <f>+C62-252614</f>
        <v>237648</v>
      </c>
      <c r="G62" s="21">
        <f>+D62-261915</f>
        <v>240578</v>
      </c>
      <c r="H62" s="23">
        <f t="shared" si="16"/>
        <v>-0.012179002236280956</v>
      </c>
      <c r="I62" s="24">
        <f t="shared" si="17"/>
        <v>45.101164968934974</v>
      </c>
      <c r="J62" s="24">
        <f t="shared" si="18"/>
        <v>93.04259804416616</v>
      </c>
      <c r="K62" s="21">
        <v>22111387.34</v>
      </c>
      <c r="L62" s="21">
        <v>22951045.2</v>
      </c>
      <c r="M62" s="25">
        <f t="shared" si="19"/>
        <v>-0.036584732968936835</v>
      </c>
      <c r="N62" s="10"/>
      <c r="R62" s="2"/>
    </row>
    <row r="63" spans="1:18" ht="15.75" customHeight="1">
      <c r="A63" s="177"/>
      <c r="B63" s="20">
        <f>DATE(2018,4,1)</f>
        <v>43191</v>
      </c>
      <c r="C63" s="21">
        <v>432206</v>
      </c>
      <c r="D63" s="21">
        <v>447196</v>
      </c>
      <c r="E63" s="23">
        <f t="shared" si="15"/>
        <v>-0.033519977817332895</v>
      </c>
      <c r="F63" s="21">
        <f>+C63-222217</f>
        <v>209989</v>
      </c>
      <c r="G63" s="21">
        <f>+D63-231800</f>
        <v>215396</v>
      </c>
      <c r="H63" s="23">
        <f t="shared" si="16"/>
        <v>-0.02510260171962339</v>
      </c>
      <c r="I63" s="24">
        <f t="shared" si="17"/>
        <v>47.80278681924823</v>
      </c>
      <c r="J63" s="24">
        <f t="shared" si="18"/>
        <v>98.38920743467516</v>
      </c>
      <c r="K63" s="21">
        <v>20660651.28</v>
      </c>
      <c r="L63" s="21">
        <v>20211795.2</v>
      </c>
      <c r="M63" s="25">
        <f t="shared" si="19"/>
        <v>0.02220763052259712</v>
      </c>
      <c r="N63" s="10"/>
      <c r="R63" s="2"/>
    </row>
    <row r="64" spans="1:18" ht="15.75" customHeight="1">
      <c r="A64" s="177"/>
      <c r="B64" s="20">
        <f>DATE(2018,5,1)</f>
        <v>43221</v>
      </c>
      <c r="C64" s="21">
        <v>448369</v>
      </c>
      <c r="D64" s="21">
        <v>446945</v>
      </c>
      <c r="E64" s="23">
        <f t="shared" si="15"/>
        <v>0.0031860743491928536</v>
      </c>
      <c r="F64" s="21">
        <f>+C64-226014</f>
        <v>222355</v>
      </c>
      <c r="G64" s="21">
        <f>+D64-230073</f>
        <v>216872</v>
      </c>
      <c r="H64" s="23">
        <f t="shared" si="16"/>
        <v>0.02528219410527869</v>
      </c>
      <c r="I64" s="24">
        <f t="shared" si="17"/>
        <v>43.94047985030188</v>
      </c>
      <c r="J64" s="24">
        <f t="shared" si="18"/>
        <v>88.60402963729173</v>
      </c>
      <c r="K64" s="21">
        <v>19701549.01</v>
      </c>
      <c r="L64" s="21">
        <v>20323802.07</v>
      </c>
      <c r="M64" s="25">
        <f t="shared" si="19"/>
        <v>-0.030616961228849375</v>
      </c>
      <c r="N64" s="10"/>
      <c r="R64" s="2"/>
    </row>
    <row r="65" spans="1:18" ht="15.75" customHeight="1">
      <c r="A65" s="177"/>
      <c r="B65" s="20">
        <f>DATE(2018,6,1)</f>
        <v>43252</v>
      </c>
      <c r="C65" s="21">
        <v>442670</v>
      </c>
      <c r="D65" s="21">
        <v>444480</v>
      </c>
      <c r="E65" s="23">
        <f t="shared" si="15"/>
        <v>-0.004072174226061915</v>
      </c>
      <c r="F65" s="21">
        <f>+C65-224300</f>
        <v>218370</v>
      </c>
      <c r="G65" s="21">
        <f>+D65-226171</f>
        <v>218309</v>
      </c>
      <c r="H65" s="23">
        <f t="shared" si="16"/>
        <v>0.0002794204544934016</v>
      </c>
      <c r="I65" s="24">
        <f t="shared" si="17"/>
        <v>43.72181076196715</v>
      </c>
      <c r="J65" s="24">
        <f t="shared" si="18"/>
        <v>88.63091986078673</v>
      </c>
      <c r="K65" s="21">
        <v>19354333.97</v>
      </c>
      <c r="L65" s="21">
        <v>18820931.45</v>
      </c>
      <c r="M65" s="25">
        <f t="shared" si="19"/>
        <v>0.028340920395839367</v>
      </c>
      <c r="N65" s="10"/>
      <c r="R65" s="2"/>
    </row>
    <row r="66" spans="1:18" ht="15.7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SUM(C54:C66)</f>
        <v>5292870</v>
      </c>
      <c r="D67" s="41">
        <f>SUM(D54:D66)</f>
        <v>5561872</v>
      </c>
      <c r="E67" s="280">
        <f>(+C67-D67)/D67</f>
        <v>-0.04836537050834683</v>
      </c>
      <c r="F67" s="41">
        <f>SUM(F54:F66)</f>
        <v>2572716</v>
      </c>
      <c r="G67" s="41">
        <f>SUM(G54:G66)</f>
        <v>2683997</v>
      </c>
      <c r="H67" s="42">
        <f>(+F67-G67)/G67</f>
        <v>-0.04146092562696605</v>
      </c>
      <c r="I67" s="43">
        <f>K67/C67</f>
        <v>44.60995531346887</v>
      </c>
      <c r="J67" s="43">
        <f>K67/F67</f>
        <v>91.77643166987727</v>
      </c>
      <c r="K67" s="41">
        <f>SUM(K54:K66)</f>
        <v>236114694.17999998</v>
      </c>
      <c r="L67" s="41">
        <f>SUM(L54:L66)</f>
        <v>239061562.95999998</v>
      </c>
      <c r="M67" s="44">
        <f>(+K67-L67)/L67</f>
        <v>-0.01232681968407056</v>
      </c>
      <c r="N67" s="10"/>
      <c r="R67" s="2"/>
    </row>
    <row r="68" spans="1:18" ht="15.75" thickTop="1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16</v>
      </c>
      <c r="B69" s="20">
        <f>DATE(2017,7,1)</f>
        <v>42917</v>
      </c>
      <c r="C69" s="21">
        <v>332127</v>
      </c>
      <c r="D69" s="21">
        <v>323462</v>
      </c>
      <c r="E69" s="23">
        <f aca="true" t="shared" si="20" ref="E69:E80">(+C69-D69)/D69</f>
        <v>0.026788308982198836</v>
      </c>
      <c r="F69" s="21">
        <f>+C69-153372</f>
        <v>178755</v>
      </c>
      <c r="G69" s="21">
        <f>+D69-151596</f>
        <v>171866</v>
      </c>
      <c r="H69" s="23">
        <f aca="true" t="shared" si="21" ref="H69:H80">(+F69-G69)/G69</f>
        <v>0.040083553466072404</v>
      </c>
      <c r="I69" s="24">
        <f aca="true" t="shared" si="22" ref="I69:I80">K69/C69</f>
        <v>51.117664869161494</v>
      </c>
      <c r="J69" s="24">
        <f aca="true" t="shared" si="23" ref="J69:J80">K69/F69</f>
        <v>94.97668137954183</v>
      </c>
      <c r="K69" s="21">
        <v>16977556.68</v>
      </c>
      <c r="L69" s="21">
        <v>13704607.39</v>
      </c>
      <c r="M69" s="25">
        <f aca="true" t="shared" si="24" ref="M69:M80">(+K69-L69)/L69</f>
        <v>0.23882109110168379</v>
      </c>
      <c r="N69" s="10"/>
      <c r="R69" s="2"/>
    </row>
    <row r="70" spans="1:18" ht="15.75">
      <c r="A70" s="19"/>
      <c r="B70" s="20">
        <f>DATE(2017,8,1)</f>
        <v>42948</v>
      </c>
      <c r="C70" s="21">
        <v>318460</v>
      </c>
      <c r="D70" s="21">
        <v>307862</v>
      </c>
      <c r="E70" s="23">
        <f t="shared" si="20"/>
        <v>0.03442451488004366</v>
      </c>
      <c r="F70" s="21">
        <f>+C70-146549</f>
        <v>171911</v>
      </c>
      <c r="G70" s="21">
        <f>+D70-143781</f>
        <v>164081</v>
      </c>
      <c r="H70" s="23">
        <f t="shared" si="21"/>
        <v>0.04772033325004114</v>
      </c>
      <c r="I70" s="24">
        <f t="shared" si="22"/>
        <v>48.91667229793381</v>
      </c>
      <c r="J70" s="24">
        <f t="shared" si="23"/>
        <v>90.61667641977536</v>
      </c>
      <c r="K70" s="21">
        <v>15578003.46</v>
      </c>
      <c r="L70" s="21">
        <v>14120994.54</v>
      </c>
      <c r="M70" s="25">
        <f t="shared" si="24"/>
        <v>0.10318033307588843</v>
      </c>
      <c r="N70" s="10"/>
      <c r="R70" s="2"/>
    </row>
    <row r="71" spans="1:18" ht="15.75">
      <c r="A71" s="19"/>
      <c r="B71" s="20">
        <f>DATE(2017,9,1)</f>
        <v>42979</v>
      </c>
      <c r="C71" s="21">
        <v>319116</v>
      </c>
      <c r="D71" s="21">
        <v>293770</v>
      </c>
      <c r="E71" s="23">
        <f t="shared" si="20"/>
        <v>0.08627838104639685</v>
      </c>
      <c r="F71" s="21">
        <f>+C71-146330</f>
        <v>172786</v>
      </c>
      <c r="G71" s="21">
        <f>+D71-134268</f>
        <v>159502</v>
      </c>
      <c r="H71" s="23">
        <f t="shared" si="21"/>
        <v>0.08328422214141515</v>
      </c>
      <c r="I71" s="24">
        <f t="shared" si="22"/>
        <v>48.81698181852367</v>
      </c>
      <c r="J71" s="24">
        <f t="shared" si="23"/>
        <v>90.15938773974743</v>
      </c>
      <c r="K71" s="21">
        <v>15578279.97</v>
      </c>
      <c r="L71" s="21">
        <v>14466452.66</v>
      </c>
      <c r="M71" s="25">
        <f t="shared" si="24"/>
        <v>0.07685555928124818</v>
      </c>
      <c r="N71" s="10"/>
      <c r="R71" s="2"/>
    </row>
    <row r="72" spans="1:18" ht="15.75">
      <c r="A72" s="19"/>
      <c r="B72" s="20">
        <f>DATE(2017,10,1)</f>
        <v>43009</v>
      </c>
      <c r="C72" s="21">
        <v>307325</v>
      </c>
      <c r="D72" s="21">
        <v>284233</v>
      </c>
      <c r="E72" s="23">
        <f t="shared" si="20"/>
        <v>0.08124320539838795</v>
      </c>
      <c r="F72" s="21">
        <f>+C72-144149</f>
        <v>163176</v>
      </c>
      <c r="G72" s="21">
        <f>+D72-134431</f>
        <v>149802</v>
      </c>
      <c r="H72" s="23">
        <f t="shared" si="21"/>
        <v>0.08927784675772019</v>
      </c>
      <c r="I72" s="24">
        <f t="shared" si="22"/>
        <v>46.718018937606764</v>
      </c>
      <c r="J72" s="24">
        <f t="shared" si="23"/>
        <v>87.98852263813306</v>
      </c>
      <c r="K72" s="21">
        <v>14357615.17</v>
      </c>
      <c r="L72" s="21">
        <v>13784707.47</v>
      </c>
      <c r="M72" s="25">
        <f t="shared" si="24"/>
        <v>0.04156110684588936</v>
      </c>
      <c r="N72" s="10"/>
      <c r="R72" s="2"/>
    </row>
    <row r="73" spans="1:18" ht="15.75">
      <c r="A73" s="19"/>
      <c r="B73" s="20">
        <f>DATE(2017,11,1)</f>
        <v>43040</v>
      </c>
      <c r="C73" s="21">
        <v>280587</v>
      </c>
      <c r="D73" s="21">
        <v>277688</v>
      </c>
      <c r="E73" s="23">
        <f t="shared" si="20"/>
        <v>0.010439774135000432</v>
      </c>
      <c r="F73" s="21">
        <f>+C73-134796</f>
        <v>145791</v>
      </c>
      <c r="G73" s="21">
        <f>+D73-132374</f>
        <v>145314</v>
      </c>
      <c r="H73" s="23">
        <f t="shared" si="21"/>
        <v>0.0032825467608076303</v>
      </c>
      <c r="I73" s="24">
        <f t="shared" si="22"/>
        <v>50.250457718996245</v>
      </c>
      <c r="J73" s="24">
        <f t="shared" si="23"/>
        <v>96.7112179764183</v>
      </c>
      <c r="K73" s="21">
        <v>14099625.18</v>
      </c>
      <c r="L73" s="21">
        <v>13247854.81</v>
      </c>
      <c r="M73" s="25">
        <f t="shared" si="24"/>
        <v>0.0642949656541412</v>
      </c>
      <c r="N73" s="10"/>
      <c r="R73" s="2"/>
    </row>
    <row r="74" spans="1:18" ht="15.75">
      <c r="A74" s="19"/>
      <c r="B74" s="20">
        <f>DATE(2017,12,1)</f>
        <v>43070</v>
      </c>
      <c r="C74" s="21">
        <v>306888</v>
      </c>
      <c r="D74" s="21">
        <v>285780</v>
      </c>
      <c r="E74" s="23">
        <f t="shared" si="20"/>
        <v>0.07386101196724754</v>
      </c>
      <c r="F74" s="21">
        <f>+C74-144117</f>
        <v>162771</v>
      </c>
      <c r="G74" s="21">
        <f>+D74-135388</f>
        <v>150392</v>
      </c>
      <c r="H74" s="23">
        <f t="shared" si="21"/>
        <v>0.08231155912548539</v>
      </c>
      <c r="I74" s="24">
        <f t="shared" si="22"/>
        <v>48.35359821824249</v>
      </c>
      <c r="J74" s="24">
        <f t="shared" si="23"/>
        <v>91.16574236196865</v>
      </c>
      <c r="K74" s="21">
        <v>14839139.05</v>
      </c>
      <c r="L74" s="21">
        <v>13898760.5</v>
      </c>
      <c r="M74" s="25">
        <f t="shared" si="24"/>
        <v>0.06765916644149676</v>
      </c>
      <c r="N74" s="10"/>
      <c r="R74" s="2"/>
    </row>
    <row r="75" spans="1:18" ht="15.75">
      <c r="A75" s="19"/>
      <c r="B75" s="20">
        <f>DATE(2018,1,1)</f>
        <v>43101</v>
      </c>
      <c r="C75" s="21">
        <v>266691</v>
      </c>
      <c r="D75" s="21">
        <v>275583</v>
      </c>
      <c r="E75" s="23">
        <f t="shared" si="20"/>
        <v>-0.032266141235126986</v>
      </c>
      <c r="F75" s="21">
        <f>+C75-126275</f>
        <v>140416</v>
      </c>
      <c r="G75" s="21">
        <f>+D75-132566</f>
        <v>143017</v>
      </c>
      <c r="H75" s="23">
        <f t="shared" si="21"/>
        <v>-0.018186649139612772</v>
      </c>
      <c r="I75" s="24">
        <f t="shared" si="22"/>
        <v>46.74836766145089</v>
      </c>
      <c r="J75" s="24">
        <f t="shared" si="23"/>
        <v>88.78880554922516</v>
      </c>
      <c r="K75" s="21">
        <v>12467368.92</v>
      </c>
      <c r="L75" s="21">
        <v>12186474.27</v>
      </c>
      <c r="M75" s="25">
        <f t="shared" si="24"/>
        <v>0.023049706073847098</v>
      </c>
      <c r="N75" s="10"/>
      <c r="R75" s="2"/>
    </row>
    <row r="76" spans="1:18" ht="15.75">
      <c r="A76" s="19"/>
      <c r="B76" s="20">
        <f>DATE(2018,2,1)</f>
        <v>43132</v>
      </c>
      <c r="C76" s="21">
        <v>270857</v>
      </c>
      <c r="D76" s="21">
        <v>278731</v>
      </c>
      <c r="E76" s="23">
        <f t="shared" si="20"/>
        <v>-0.028249459155960405</v>
      </c>
      <c r="F76" s="21">
        <f>+C76-128704</f>
        <v>142153</v>
      </c>
      <c r="G76" s="21">
        <f>+D76-133384</f>
        <v>145347</v>
      </c>
      <c r="H76" s="23">
        <f t="shared" si="21"/>
        <v>-0.021974997763971736</v>
      </c>
      <c r="I76" s="24">
        <f t="shared" si="22"/>
        <v>47.54318647847388</v>
      </c>
      <c r="J76" s="24">
        <f t="shared" si="23"/>
        <v>90.58834396741538</v>
      </c>
      <c r="K76" s="21">
        <v>12877404.86</v>
      </c>
      <c r="L76" s="21">
        <v>13844058.48</v>
      </c>
      <c r="M76" s="25">
        <f t="shared" si="24"/>
        <v>-0.06982443922759282</v>
      </c>
      <c r="N76" s="10"/>
      <c r="R76" s="2"/>
    </row>
    <row r="77" spans="1:18" ht="15.75">
      <c r="A77" s="19"/>
      <c r="B77" s="20">
        <f>DATE(2018,3,1)</f>
        <v>43160</v>
      </c>
      <c r="C77" s="21">
        <v>316084</v>
      </c>
      <c r="D77" s="21">
        <v>329982</v>
      </c>
      <c r="E77" s="23">
        <f t="shared" si="20"/>
        <v>-0.04211744883054227</v>
      </c>
      <c r="F77" s="21">
        <f>+C77-148506</f>
        <v>167578</v>
      </c>
      <c r="G77" s="21">
        <f>+D77-154395</f>
        <v>175587</v>
      </c>
      <c r="H77" s="23">
        <f t="shared" si="21"/>
        <v>-0.045612716203363574</v>
      </c>
      <c r="I77" s="24">
        <f t="shared" si="22"/>
        <v>49.33349233115248</v>
      </c>
      <c r="J77" s="24">
        <f t="shared" si="23"/>
        <v>93.05235526143049</v>
      </c>
      <c r="K77" s="21">
        <v>15593527.59</v>
      </c>
      <c r="L77" s="21">
        <v>16476940.38</v>
      </c>
      <c r="M77" s="25">
        <f t="shared" si="24"/>
        <v>-0.05361509901876582</v>
      </c>
      <c r="N77" s="10"/>
      <c r="R77" s="2"/>
    </row>
    <row r="78" spans="1:18" ht="15.75">
      <c r="A78" s="19"/>
      <c r="B78" s="20">
        <f>DATE(2018,4,1)</f>
        <v>43191</v>
      </c>
      <c r="C78" s="21">
        <v>286029</v>
      </c>
      <c r="D78" s="21">
        <v>309158</v>
      </c>
      <c r="E78" s="23">
        <f t="shared" si="20"/>
        <v>-0.07481287885159045</v>
      </c>
      <c r="F78" s="21">
        <f>+C78-135899</f>
        <v>150130</v>
      </c>
      <c r="G78" s="21">
        <f>+D78-147022</f>
        <v>162136</v>
      </c>
      <c r="H78" s="23">
        <f t="shared" si="21"/>
        <v>-0.07404894656337889</v>
      </c>
      <c r="I78" s="24">
        <f t="shared" si="22"/>
        <v>48.5623648301396</v>
      </c>
      <c r="J78" s="24">
        <f t="shared" si="23"/>
        <v>92.52144574701926</v>
      </c>
      <c r="K78" s="21">
        <v>13890244.65</v>
      </c>
      <c r="L78" s="21">
        <v>14760826.28</v>
      </c>
      <c r="M78" s="25">
        <f t="shared" si="24"/>
        <v>-0.058979193541460674</v>
      </c>
      <c r="N78" s="10"/>
      <c r="R78" s="2"/>
    </row>
    <row r="79" spans="1:18" ht="15.75">
      <c r="A79" s="19"/>
      <c r="B79" s="20">
        <f>DATE(2018,5,1)</f>
        <v>43221</v>
      </c>
      <c r="C79" s="21">
        <v>278772</v>
      </c>
      <c r="D79" s="21">
        <v>304960</v>
      </c>
      <c r="E79" s="23">
        <f t="shared" si="20"/>
        <v>-0.08587355718782791</v>
      </c>
      <c r="F79" s="21">
        <f>+C79-132167</f>
        <v>146605</v>
      </c>
      <c r="G79" s="21">
        <f>+D79-143125</f>
        <v>161835</v>
      </c>
      <c r="H79" s="23">
        <f t="shared" si="21"/>
        <v>-0.09410819662001421</v>
      </c>
      <c r="I79" s="24">
        <f t="shared" si="22"/>
        <v>47.81404983283831</v>
      </c>
      <c r="J79" s="24">
        <f t="shared" si="23"/>
        <v>90.91926128031105</v>
      </c>
      <c r="K79" s="21">
        <v>13329218.3</v>
      </c>
      <c r="L79" s="21">
        <v>14385483.82</v>
      </c>
      <c r="M79" s="25">
        <f t="shared" si="24"/>
        <v>-0.07342579041599447</v>
      </c>
      <c r="N79" s="10"/>
      <c r="R79" s="2"/>
    </row>
    <row r="80" spans="1:18" ht="15.75">
      <c r="A80" s="19"/>
      <c r="B80" s="20">
        <f>DATE(2018,6,1)</f>
        <v>43252</v>
      </c>
      <c r="C80" s="21">
        <v>278300</v>
      </c>
      <c r="D80" s="21">
        <v>298675</v>
      </c>
      <c r="E80" s="23">
        <f t="shared" si="20"/>
        <v>-0.06821796266845233</v>
      </c>
      <c r="F80" s="21">
        <f>+C80-130570</f>
        <v>147730</v>
      </c>
      <c r="G80" s="21">
        <f>+D80-136347</f>
        <v>162328</v>
      </c>
      <c r="H80" s="23">
        <f t="shared" si="21"/>
        <v>-0.08992903257601892</v>
      </c>
      <c r="I80" s="24">
        <f t="shared" si="22"/>
        <v>52.432689759252604</v>
      </c>
      <c r="J80" s="24">
        <f t="shared" si="23"/>
        <v>98.77491071549449</v>
      </c>
      <c r="K80" s="21">
        <v>14592017.56</v>
      </c>
      <c r="L80" s="21">
        <v>14711531.46</v>
      </c>
      <c r="M80" s="25">
        <f t="shared" si="24"/>
        <v>-0.008123824519898105</v>
      </c>
      <c r="N80" s="10"/>
      <c r="R80" s="2"/>
    </row>
    <row r="81" spans="1:18" ht="15.75" thickBot="1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7.25" thickBot="1" thickTop="1">
      <c r="A82" s="39" t="s">
        <v>14</v>
      </c>
      <c r="B82" s="40"/>
      <c r="C82" s="41">
        <f>SUM(C69:C81)</f>
        <v>3561236</v>
      </c>
      <c r="D82" s="41">
        <f>SUM(D69:D81)</f>
        <v>3569884</v>
      </c>
      <c r="E82" s="281">
        <f>(+C82-D82)/D82</f>
        <v>-0.0024224876774707528</v>
      </c>
      <c r="F82" s="47">
        <f>SUM(F69:F81)</f>
        <v>1889802</v>
      </c>
      <c r="G82" s="48">
        <f>SUM(G69:G81)</f>
        <v>1891207</v>
      </c>
      <c r="H82" s="49">
        <f>(+F82-G82)/G82</f>
        <v>-0.0007429118018281446</v>
      </c>
      <c r="I82" s="50">
        <f>K82/C82</f>
        <v>48.909985575232874</v>
      </c>
      <c r="J82" s="51">
        <f>K82/F82</f>
        <v>92.16838662992208</v>
      </c>
      <c r="K82" s="48">
        <f>SUM(K69:K81)</f>
        <v>174180001.39000002</v>
      </c>
      <c r="L82" s="47">
        <f>SUM(L69:L81)</f>
        <v>169588692.06</v>
      </c>
      <c r="M82" s="44">
        <f>(+K82-L82)/L82</f>
        <v>0.02707320443497271</v>
      </c>
      <c r="N82" s="10"/>
      <c r="R82" s="2"/>
    </row>
    <row r="83" spans="1:18" ht="15.75" customHeight="1" thickTop="1">
      <c r="A83" s="273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.75">
      <c r="A84" s="274" t="s">
        <v>66</v>
      </c>
      <c r="B84" s="20">
        <f>DATE(2017,7,1)</f>
        <v>42917</v>
      </c>
      <c r="C84" s="21">
        <v>155680</v>
      </c>
      <c r="D84" s="21">
        <v>180124</v>
      </c>
      <c r="E84" s="23">
        <f aca="true" t="shared" si="25" ref="E84:E95">(+C84-D84)/D84</f>
        <v>-0.13570651329084407</v>
      </c>
      <c r="F84" s="21">
        <f>+C84-76075</f>
        <v>79605</v>
      </c>
      <c r="G84" s="21">
        <f>+D84-87090</f>
        <v>93034</v>
      </c>
      <c r="H84" s="23">
        <f aca="true" t="shared" si="26" ref="H84:H95">(+F84-G84)/G84</f>
        <v>-0.14434507814347444</v>
      </c>
      <c r="I84" s="24">
        <f aca="true" t="shared" si="27" ref="I84:I95">K84/C84</f>
        <v>36.584776336074</v>
      </c>
      <c r="J84" s="24">
        <f aca="true" t="shared" si="28" ref="J84:J95">K84/F84</f>
        <v>71.5472392437661</v>
      </c>
      <c r="K84" s="21">
        <v>5695517.98</v>
      </c>
      <c r="L84" s="21">
        <v>6090878.36</v>
      </c>
      <c r="M84" s="25">
        <f aca="true" t="shared" si="29" ref="M84:M95">(+K84-L84)/L84</f>
        <v>-0.06491024063071256</v>
      </c>
      <c r="N84" s="10"/>
      <c r="R84" s="2"/>
    </row>
    <row r="85" spans="1:18" ht="15.75">
      <c r="A85" s="274"/>
      <c r="B85" s="20">
        <f>DATE(2017,8,1)</f>
        <v>42948</v>
      </c>
      <c r="C85" s="21">
        <v>137297</v>
      </c>
      <c r="D85" s="21">
        <v>157062</v>
      </c>
      <c r="E85" s="23">
        <f t="shared" si="25"/>
        <v>-0.12584202416879958</v>
      </c>
      <c r="F85" s="21">
        <f>+C85-65122</f>
        <v>72175</v>
      </c>
      <c r="G85" s="21">
        <f>+D85-74517</f>
        <v>82545</v>
      </c>
      <c r="H85" s="23">
        <f t="shared" si="26"/>
        <v>-0.12562844509055668</v>
      </c>
      <c r="I85" s="24">
        <f t="shared" si="27"/>
        <v>37.46472952795764</v>
      </c>
      <c r="J85" s="24">
        <f t="shared" si="28"/>
        <v>71.26837506061655</v>
      </c>
      <c r="K85" s="21">
        <v>5143794.97</v>
      </c>
      <c r="L85" s="21">
        <v>5605573.68</v>
      </c>
      <c r="M85" s="25">
        <f t="shared" si="29"/>
        <v>-0.08237849261487185</v>
      </c>
      <c r="N85" s="10"/>
      <c r="R85" s="2"/>
    </row>
    <row r="86" spans="1:18" ht="15.75">
      <c r="A86" s="274"/>
      <c r="B86" s="20">
        <f>DATE(2017,9,1)</f>
        <v>42979</v>
      </c>
      <c r="C86" s="21">
        <v>151497</v>
      </c>
      <c r="D86" s="21">
        <v>163013</v>
      </c>
      <c r="E86" s="23">
        <f t="shared" si="25"/>
        <v>-0.07064467251078135</v>
      </c>
      <c r="F86" s="21">
        <f>+C86-72439</f>
        <v>79058</v>
      </c>
      <c r="G86" s="21">
        <f>+D86-75491</f>
        <v>87522</v>
      </c>
      <c r="H86" s="23">
        <f t="shared" si="26"/>
        <v>-0.09670711363999909</v>
      </c>
      <c r="I86" s="24">
        <f t="shared" si="27"/>
        <v>38.87039182294039</v>
      </c>
      <c r="J86" s="24">
        <f t="shared" si="28"/>
        <v>74.48642452376735</v>
      </c>
      <c r="K86" s="21">
        <v>5888747.75</v>
      </c>
      <c r="L86" s="21">
        <v>5567122.49</v>
      </c>
      <c r="M86" s="25">
        <f t="shared" si="29"/>
        <v>0.05777226216554825</v>
      </c>
      <c r="N86" s="10"/>
      <c r="R86" s="2"/>
    </row>
    <row r="87" spans="1:18" ht="15.75">
      <c r="A87" s="274"/>
      <c r="B87" s="20">
        <f>DATE(2017,10,1)</f>
        <v>43009</v>
      </c>
      <c r="C87" s="21">
        <v>146324</v>
      </c>
      <c r="D87" s="21">
        <v>149865</v>
      </c>
      <c r="E87" s="23">
        <f t="shared" si="25"/>
        <v>-0.02362793180529143</v>
      </c>
      <c r="F87" s="21">
        <f>+C87-70503</f>
        <v>75821</v>
      </c>
      <c r="G87" s="21">
        <f>+D87-72452</f>
        <v>77413</v>
      </c>
      <c r="H87" s="23">
        <f t="shared" si="26"/>
        <v>-0.02056502137883818</v>
      </c>
      <c r="I87" s="24">
        <f t="shared" si="27"/>
        <v>35.309381919575735</v>
      </c>
      <c r="J87" s="24">
        <f t="shared" si="28"/>
        <v>68.1422033473576</v>
      </c>
      <c r="K87" s="21">
        <v>5166610</v>
      </c>
      <c r="L87" s="21">
        <v>5218721.49</v>
      </c>
      <c r="M87" s="25">
        <f t="shared" si="29"/>
        <v>-0.009985489760251648</v>
      </c>
      <c r="N87" s="10"/>
      <c r="R87" s="2"/>
    </row>
    <row r="88" spans="1:18" ht="15.75">
      <c r="A88" s="274"/>
      <c r="B88" s="20">
        <f>DATE(2017,11,1)</f>
        <v>43040</v>
      </c>
      <c r="C88" s="21">
        <v>136794</v>
      </c>
      <c r="D88" s="21">
        <v>147842</v>
      </c>
      <c r="E88" s="23">
        <f t="shared" si="25"/>
        <v>-0.07472842629293434</v>
      </c>
      <c r="F88" s="21">
        <f>+C88-66771</f>
        <v>70023</v>
      </c>
      <c r="G88" s="21">
        <f>+D88-70415</f>
        <v>77427</v>
      </c>
      <c r="H88" s="23">
        <f t="shared" si="26"/>
        <v>-0.0956255569762486</v>
      </c>
      <c r="I88" s="24">
        <f t="shared" si="27"/>
        <v>36.99776825006945</v>
      </c>
      <c r="J88" s="24">
        <f t="shared" si="28"/>
        <v>72.27729046170543</v>
      </c>
      <c r="K88" s="21">
        <v>5061072.71</v>
      </c>
      <c r="L88" s="21">
        <v>5196102.88</v>
      </c>
      <c r="M88" s="25">
        <f t="shared" si="29"/>
        <v>-0.025986816103995218</v>
      </c>
      <c r="N88" s="10"/>
      <c r="R88" s="2"/>
    </row>
    <row r="89" spans="1:18" ht="15.75">
      <c r="A89" s="274"/>
      <c r="B89" s="20">
        <f>DATE(2017,12,1)</f>
        <v>43070</v>
      </c>
      <c r="C89" s="21">
        <v>153482</v>
      </c>
      <c r="D89" s="21">
        <v>154347</v>
      </c>
      <c r="E89" s="23">
        <f t="shared" si="25"/>
        <v>-0.005604255346718757</v>
      </c>
      <c r="F89" s="21">
        <f>+C89-73779</f>
        <v>79703</v>
      </c>
      <c r="G89" s="21">
        <f>+D89-72503</f>
        <v>81844</v>
      </c>
      <c r="H89" s="23">
        <f t="shared" si="26"/>
        <v>-0.026159522994966034</v>
      </c>
      <c r="I89" s="24">
        <f t="shared" si="27"/>
        <v>36.682315971905496</v>
      </c>
      <c r="J89" s="24">
        <f t="shared" si="28"/>
        <v>70.63818450999335</v>
      </c>
      <c r="K89" s="21">
        <v>5630075.22</v>
      </c>
      <c r="L89" s="21">
        <v>5388733.45</v>
      </c>
      <c r="M89" s="25">
        <f t="shared" si="29"/>
        <v>0.044786362554265796</v>
      </c>
      <c r="N89" s="10"/>
      <c r="R89" s="2"/>
    </row>
    <row r="90" spans="1:18" ht="15.75">
      <c r="A90" s="274"/>
      <c r="B90" s="20">
        <f>DATE(2018,1,1)</f>
        <v>43101</v>
      </c>
      <c r="C90" s="21">
        <v>133357</v>
      </c>
      <c r="D90" s="21">
        <v>138565</v>
      </c>
      <c r="E90" s="23">
        <f t="shared" si="25"/>
        <v>-0.03758524880020207</v>
      </c>
      <c r="F90" s="21">
        <f>+C90-65017</f>
        <v>68340</v>
      </c>
      <c r="G90" s="21">
        <f>+D90-68255</f>
        <v>70310</v>
      </c>
      <c r="H90" s="23">
        <f t="shared" si="26"/>
        <v>-0.028018774000853362</v>
      </c>
      <c r="I90" s="24">
        <f t="shared" si="27"/>
        <v>34.19650239582474</v>
      </c>
      <c r="J90" s="24">
        <f t="shared" si="28"/>
        <v>66.73021612525606</v>
      </c>
      <c r="K90" s="21">
        <v>4560342.97</v>
      </c>
      <c r="L90" s="21">
        <v>5246601.47</v>
      </c>
      <c r="M90" s="25">
        <f t="shared" si="29"/>
        <v>-0.13080057708290163</v>
      </c>
      <c r="N90" s="10"/>
      <c r="R90" s="2"/>
    </row>
    <row r="91" spans="1:18" ht="15.75">
      <c r="A91" s="274"/>
      <c r="B91" s="20">
        <f>DATE(2018,2,1)</f>
        <v>43132</v>
      </c>
      <c r="C91" s="21">
        <v>147114</v>
      </c>
      <c r="D91" s="21">
        <v>152112</v>
      </c>
      <c r="E91" s="23">
        <f t="shared" si="25"/>
        <v>-0.03285736825497002</v>
      </c>
      <c r="F91" s="21">
        <f>+C91-72403</f>
        <v>74711</v>
      </c>
      <c r="G91" s="21">
        <f>+D91-73694</f>
        <v>78418</v>
      </c>
      <c r="H91" s="23">
        <f t="shared" si="26"/>
        <v>-0.04727230992884287</v>
      </c>
      <c r="I91" s="24">
        <f t="shared" si="27"/>
        <v>36.43567702597986</v>
      </c>
      <c r="J91" s="24">
        <f t="shared" si="28"/>
        <v>71.74576956539198</v>
      </c>
      <c r="K91" s="21">
        <v>5360198.19</v>
      </c>
      <c r="L91" s="21">
        <v>5660374.15</v>
      </c>
      <c r="M91" s="25">
        <f t="shared" si="29"/>
        <v>-0.053031116326471096</v>
      </c>
      <c r="N91" s="10"/>
      <c r="R91" s="2"/>
    </row>
    <row r="92" spans="1:18" ht="15.75">
      <c r="A92" s="274"/>
      <c r="B92" s="20">
        <f>DATE(2018,3,1)</f>
        <v>43160</v>
      </c>
      <c r="C92" s="21">
        <v>167073</v>
      </c>
      <c r="D92" s="21">
        <v>155706</v>
      </c>
      <c r="E92" s="23">
        <f t="shared" si="25"/>
        <v>0.07300296713036107</v>
      </c>
      <c r="F92" s="21">
        <f>+C92-81355</f>
        <v>85718</v>
      </c>
      <c r="G92" s="21">
        <f>+D92-74473</f>
        <v>81233</v>
      </c>
      <c r="H92" s="23">
        <f t="shared" si="26"/>
        <v>0.05521155195548607</v>
      </c>
      <c r="I92" s="24">
        <f t="shared" si="27"/>
        <v>39.41183979458081</v>
      </c>
      <c r="J92" s="24">
        <f t="shared" si="28"/>
        <v>76.81763818567862</v>
      </c>
      <c r="K92" s="21">
        <v>6584654.31</v>
      </c>
      <c r="L92" s="21">
        <v>6002268</v>
      </c>
      <c r="M92" s="25">
        <f t="shared" si="29"/>
        <v>0.09702770852617704</v>
      </c>
      <c r="N92" s="10"/>
      <c r="R92" s="2"/>
    </row>
    <row r="93" spans="1:18" ht="15.75">
      <c r="A93" s="274"/>
      <c r="B93" s="20">
        <f>DATE(2018,4,1)</f>
        <v>43191</v>
      </c>
      <c r="C93" s="21">
        <v>137732</v>
      </c>
      <c r="D93" s="21">
        <v>138822</v>
      </c>
      <c r="E93" s="23">
        <f t="shared" si="25"/>
        <v>-0.007851781417930876</v>
      </c>
      <c r="F93" s="21">
        <f>+C93-67146</f>
        <v>70586</v>
      </c>
      <c r="G93" s="21">
        <f>+D93-67488</f>
        <v>71334</v>
      </c>
      <c r="H93" s="23">
        <f t="shared" si="26"/>
        <v>-0.01048588330950178</v>
      </c>
      <c r="I93" s="24">
        <f t="shared" si="27"/>
        <v>38.682629381697794</v>
      </c>
      <c r="J93" s="24">
        <f t="shared" si="28"/>
        <v>75.4800655937438</v>
      </c>
      <c r="K93" s="21">
        <v>5327835.91</v>
      </c>
      <c r="L93" s="21">
        <v>5409935.04</v>
      </c>
      <c r="M93" s="25">
        <f t="shared" si="29"/>
        <v>-0.015175622145732806</v>
      </c>
      <c r="N93" s="10"/>
      <c r="R93" s="2"/>
    </row>
    <row r="94" spans="1:18" ht="15.75">
      <c r="A94" s="274"/>
      <c r="B94" s="20">
        <f>DATE(2018,5,1)</f>
        <v>43221</v>
      </c>
      <c r="C94" s="21">
        <v>130775</v>
      </c>
      <c r="D94" s="21">
        <v>142828</v>
      </c>
      <c r="E94" s="23">
        <f t="shared" si="25"/>
        <v>-0.08438821519589997</v>
      </c>
      <c r="F94" s="21">
        <f>+C94-62861</f>
        <v>67914</v>
      </c>
      <c r="G94" s="21">
        <f>+D94-69339</f>
        <v>73489</v>
      </c>
      <c r="H94" s="23">
        <f t="shared" si="26"/>
        <v>-0.0758616935867953</v>
      </c>
      <c r="I94" s="24">
        <f t="shared" si="27"/>
        <v>40.031305218887404</v>
      </c>
      <c r="J94" s="24">
        <f t="shared" si="28"/>
        <v>77.08416438436848</v>
      </c>
      <c r="K94" s="21">
        <v>5235093.94</v>
      </c>
      <c r="L94" s="21">
        <v>5302326.12</v>
      </c>
      <c r="M94" s="25">
        <f t="shared" si="29"/>
        <v>-0.012679751957618121</v>
      </c>
      <c r="N94" s="10"/>
      <c r="R94" s="2"/>
    </row>
    <row r="95" spans="1:18" ht="15.75">
      <c r="A95" s="274"/>
      <c r="B95" s="20">
        <f>DATE(2018,6,1)</f>
        <v>43252</v>
      </c>
      <c r="C95" s="21">
        <v>131234</v>
      </c>
      <c r="D95" s="21">
        <v>131581</v>
      </c>
      <c r="E95" s="23">
        <f t="shared" si="25"/>
        <v>-0.002637158860321779</v>
      </c>
      <c r="F95" s="21">
        <f>+C95-62853</f>
        <v>68381</v>
      </c>
      <c r="G95" s="21">
        <f>+D95-62996</f>
        <v>68585</v>
      </c>
      <c r="H95" s="23">
        <f t="shared" si="26"/>
        <v>-0.002974411314427353</v>
      </c>
      <c r="I95" s="24">
        <f t="shared" si="27"/>
        <v>41.0452385052654</v>
      </c>
      <c r="J95" s="24">
        <f t="shared" si="28"/>
        <v>78.77233193430924</v>
      </c>
      <c r="K95" s="21">
        <v>5386530.83</v>
      </c>
      <c r="L95" s="21">
        <v>5183808.98</v>
      </c>
      <c r="M95" s="25">
        <f t="shared" si="29"/>
        <v>0.039106736143660836</v>
      </c>
      <c r="N95" s="10"/>
      <c r="R95" s="2"/>
    </row>
    <row r="96" spans="1:18" ht="15.75" customHeight="1" thickBot="1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customHeight="1" thickBot="1" thickTop="1">
      <c r="A97" s="39" t="s">
        <v>14</v>
      </c>
      <c r="B97" s="52"/>
      <c r="C97" s="47">
        <f>SUM(C84:C96)</f>
        <v>1728359</v>
      </c>
      <c r="D97" s="48">
        <f>SUM(D84:D96)</f>
        <v>1811867</v>
      </c>
      <c r="E97" s="281">
        <f>(+C97-D97)/D97</f>
        <v>-0.04608947566239685</v>
      </c>
      <c r="F97" s="48">
        <f>SUM(F84:F96)</f>
        <v>892035</v>
      </c>
      <c r="G97" s="47">
        <f>SUM(G84:G96)</f>
        <v>943154</v>
      </c>
      <c r="H97" s="46">
        <f>(+F97-G97)/G97</f>
        <v>-0.05420005640648293</v>
      </c>
      <c r="I97" s="51">
        <f>K97/C97</f>
        <v>37.63134555957414</v>
      </c>
      <c r="J97" s="50">
        <f>K97/F97</f>
        <v>72.91246955556677</v>
      </c>
      <c r="K97" s="47">
        <f>SUM(K84:K96)</f>
        <v>65040474.78</v>
      </c>
      <c r="L97" s="48">
        <f>SUM(L84:L96)</f>
        <v>65872446.11</v>
      </c>
      <c r="M97" s="44">
        <f>(+K97-L97)/L97</f>
        <v>-0.012630035456869087</v>
      </c>
      <c r="N97" s="10"/>
      <c r="R97" s="2"/>
    </row>
    <row r="98" spans="1:18" ht="15.75" customHeight="1" thickTop="1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.75">
      <c r="A99" s="19" t="s">
        <v>17</v>
      </c>
      <c r="B99" s="20">
        <f>DATE(2017,7,1)</f>
        <v>42917</v>
      </c>
      <c r="C99" s="21">
        <v>176619</v>
      </c>
      <c r="D99" s="21">
        <v>186981</v>
      </c>
      <c r="E99" s="23">
        <f aca="true" t="shared" si="30" ref="E99:E110">(+C99-D99)/D99</f>
        <v>-0.05541739535032971</v>
      </c>
      <c r="F99" s="21">
        <f>+C99-82680</f>
        <v>93939</v>
      </c>
      <c r="G99" s="21">
        <f>+D99-86212</f>
        <v>100769</v>
      </c>
      <c r="H99" s="23">
        <f aca="true" t="shared" si="31" ref="H99:H110">(+F99-G99)/G99</f>
        <v>-0.06777878117278131</v>
      </c>
      <c r="I99" s="24">
        <f aca="true" t="shared" si="32" ref="I99:I110">K99/C99</f>
        <v>35.01759674780177</v>
      </c>
      <c r="J99" s="24">
        <f aca="true" t="shared" si="33" ref="J99:J110">K99/F99</f>
        <v>65.83818137301866</v>
      </c>
      <c r="K99" s="21">
        <v>6184772.92</v>
      </c>
      <c r="L99" s="21">
        <v>6390595.25</v>
      </c>
      <c r="M99" s="25">
        <f aca="true" t="shared" si="34" ref="M99:M110">(+K99-L99)/L99</f>
        <v>-0.03220706709597984</v>
      </c>
      <c r="N99" s="10"/>
      <c r="R99" s="2"/>
    </row>
    <row r="100" spans="1:18" ht="15.75">
      <c r="A100" s="19"/>
      <c r="B100" s="20">
        <f>DATE(2017,8,1)</f>
        <v>42948</v>
      </c>
      <c r="C100" s="21">
        <v>166602</v>
      </c>
      <c r="D100" s="21">
        <v>177226</v>
      </c>
      <c r="E100" s="23">
        <f t="shared" si="30"/>
        <v>-0.05994605757620214</v>
      </c>
      <c r="F100" s="21">
        <f>+C100-77233</f>
        <v>89369</v>
      </c>
      <c r="G100" s="21">
        <f>+D100-81305</f>
        <v>95921</v>
      </c>
      <c r="H100" s="23">
        <f t="shared" si="31"/>
        <v>-0.06830621031890827</v>
      </c>
      <c r="I100" s="24">
        <f t="shared" si="32"/>
        <v>35.4879793159746</v>
      </c>
      <c r="J100" s="24">
        <f t="shared" si="33"/>
        <v>66.15681421969587</v>
      </c>
      <c r="K100" s="21">
        <v>5912368.33</v>
      </c>
      <c r="L100" s="21">
        <v>6124719.61</v>
      </c>
      <c r="M100" s="25">
        <f t="shared" si="34"/>
        <v>-0.034671183910735835</v>
      </c>
      <c r="N100" s="10"/>
      <c r="R100" s="2"/>
    </row>
    <row r="101" spans="1:18" ht="15.75">
      <c r="A101" s="19"/>
      <c r="B101" s="20">
        <f>DATE(2017,9,1)</f>
        <v>42979</v>
      </c>
      <c r="C101" s="21">
        <v>169194</v>
      </c>
      <c r="D101" s="21">
        <v>170326</v>
      </c>
      <c r="E101" s="23">
        <f t="shared" si="30"/>
        <v>-0.006646078696147388</v>
      </c>
      <c r="F101" s="21">
        <f>+C101-79368</f>
        <v>89826</v>
      </c>
      <c r="G101" s="21">
        <f>+D101-79229</f>
        <v>91097</v>
      </c>
      <c r="H101" s="23">
        <f t="shared" si="31"/>
        <v>-0.0139521608834539</v>
      </c>
      <c r="I101" s="24">
        <f t="shared" si="32"/>
        <v>34.892878825490264</v>
      </c>
      <c r="J101" s="24">
        <f t="shared" si="33"/>
        <v>65.72335114554807</v>
      </c>
      <c r="K101" s="21">
        <v>5903665.74</v>
      </c>
      <c r="L101" s="21">
        <v>5838814.34</v>
      </c>
      <c r="M101" s="25">
        <f t="shared" si="34"/>
        <v>0.011106946757276132</v>
      </c>
      <c r="N101" s="10"/>
      <c r="R101" s="2"/>
    </row>
    <row r="102" spans="1:18" ht="15.75">
      <c r="A102" s="19"/>
      <c r="B102" s="20">
        <f>DATE(2017,10,1)</f>
        <v>43009</v>
      </c>
      <c r="C102" s="21">
        <v>167767</v>
      </c>
      <c r="D102" s="21">
        <v>175657</v>
      </c>
      <c r="E102" s="23">
        <f t="shared" si="30"/>
        <v>-0.04491708272371724</v>
      </c>
      <c r="F102" s="21">
        <f>+C102-77884</f>
        <v>89883</v>
      </c>
      <c r="G102" s="21">
        <f>+D102-84134</f>
        <v>91523</v>
      </c>
      <c r="H102" s="23">
        <f t="shared" si="31"/>
        <v>-0.017918993040000875</v>
      </c>
      <c r="I102" s="24">
        <f t="shared" si="32"/>
        <v>34.45476500146036</v>
      </c>
      <c r="J102" s="24">
        <f t="shared" si="33"/>
        <v>64.30996473192928</v>
      </c>
      <c r="K102" s="21">
        <v>5780372.56</v>
      </c>
      <c r="L102" s="21">
        <v>6097419.37</v>
      </c>
      <c r="M102" s="25">
        <f t="shared" si="34"/>
        <v>-0.051996884380285054</v>
      </c>
      <c r="N102" s="10"/>
      <c r="R102" s="2"/>
    </row>
    <row r="103" spans="1:18" ht="15.75">
      <c r="A103" s="19"/>
      <c r="B103" s="20">
        <f>DATE(2017,11,1)</f>
        <v>43040</v>
      </c>
      <c r="C103" s="21">
        <v>158513</v>
      </c>
      <c r="D103" s="21">
        <v>164706</v>
      </c>
      <c r="E103" s="23">
        <f t="shared" si="30"/>
        <v>-0.037600330285478364</v>
      </c>
      <c r="F103" s="21">
        <f>+C103-75019</f>
        <v>83494</v>
      </c>
      <c r="G103" s="21">
        <f>+D103-79591</f>
        <v>85115</v>
      </c>
      <c r="H103" s="23">
        <f t="shared" si="31"/>
        <v>-0.01904482171180168</v>
      </c>
      <c r="I103" s="24">
        <f t="shared" si="32"/>
        <v>36.12939885056746</v>
      </c>
      <c r="J103" s="24">
        <f t="shared" si="33"/>
        <v>68.59150837185906</v>
      </c>
      <c r="K103" s="21">
        <v>5726979.4</v>
      </c>
      <c r="L103" s="21">
        <v>5895263.92</v>
      </c>
      <c r="M103" s="25">
        <f t="shared" si="34"/>
        <v>-0.028545714370663756</v>
      </c>
      <c r="N103" s="10"/>
      <c r="R103" s="2"/>
    </row>
    <row r="104" spans="1:18" ht="15.75">
      <c r="A104" s="19"/>
      <c r="B104" s="20">
        <f>DATE(2017,12,1)</f>
        <v>43070</v>
      </c>
      <c r="C104" s="21">
        <v>166668</v>
      </c>
      <c r="D104" s="21">
        <v>171124</v>
      </c>
      <c r="E104" s="23">
        <f t="shared" si="30"/>
        <v>-0.026039597017367522</v>
      </c>
      <c r="F104" s="21">
        <f>+C104-80383</f>
        <v>86285</v>
      </c>
      <c r="G104" s="21">
        <f>+D104-82050</f>
        <v>89074</v>
      </c>
      <c r="H104" s="23">
        <f t="shared" si="31"/>
        <v>-0.03131104474930956</v>
      </c>
      <c r="I104" s="24">
        <f t="shared" si="32"/>
        <v>35.4193077255382</v>
      </c>
      <c r="J104" s="24">
        <f t="shared" si="33"/>
        <v>68.4158912904908</v>
      </c>
      <c r="K104" s="21">
        <v>5903265.18</v>
      </c>
      <c r="L104" s="21">
        <v>6108577.06</v>
      </c>
      <c r="M104" s="25">
        <f t="shared" si="34"/>
        <v>-0.03361042645175371</v>
      </c>
      <c r="N104" s="10"/>
      <c r="R104" s="2"/>
    </row>
    <row r="105" spans="1:18" ht="15.75">
      <c r="A105" s="19"/>
      <c r="B105" s="20">
        <f>DATE(2018,1,1)</f>
        <v>43101</v>
      </c>
      <c r="C105" s="21">
        <v>147576</v>
      </c>
      <c r="D105" s="21">
        <v>166488</v>
      </c>
      <c r="E105" s="23">
        <f t="shared" si="30"/>
        <v>-0.11359377252414589</v>
      </c>
      <c r="F105" s="21">
        <f>+C105-71568</f>
        <v>76008</v>
      </c>
      <c r="G105" s="21">
        <f>+D105-79943</f>
        <v>86545</v>
      </c>
      <c r="H105" s="23">
        <f t="shared" si="31"/>
        <v>-0.12175168987232075</v>
      </c>
      <c r="I105" s="24">
        <f t="shared" si="32"/>
        <v>35.84069476066569</v>
      </c>
      <c r="J105" s="24">
        <f t="shared" si="33"/>
        <v>69.58775878854857</v>
      </c>
      <c r="K105" s="21">
        <v>5289226.37</v>
      </c>
      <c r="L105" s="21">
        <v>5638935.65</v>
      </c>
      <c r="M105" s="25">
        <f t="shared" si="34"/>
        <v>-0.06201689497910838</v>
      </c>
      <c r="N105" s="10"/>
      <c r="R105" s="2"/>
    </row>
    <row r="106" spans="1:18" ht="15.75">
      <c r="A106" s="19"/>
      <c r="B106" s="20">
        <f>DATE(2018,2,1)</f>
        <v>43132</v>
      </c>
      <c r="C106" s="21">
        <v>152976</v>
      </c>
      <c r="D106" s="21">
        <v>177136</v>
      </c>
      <c r="E106" s="23">
        <f t="shared" si="30"/>
        <v>-0.1363923764790895</v>
      </c>
      <c r="F106" s="21">
        <f>+C106-75431</f>
        <v>77545</v>
      </c>
      <c r="G106" s="21">
        <f>+D106-84594</f>
        <v>92542</v>
      </c>
      <c r="H106" s="23">
        <f t="shared" si="31"/>
        <v>-0.1620561474789825</v>
      </c>
      <c r="I106" s="24">
        <f t="shared" si="32"/>
        <v>35.82300524265244</v>
      </c>
      <c r="J106" s="24">
        <f t="shared" si="33"/>
        <v>70.66941840221807</v>
      </c>
      <c r="K106" s="21">
        <v>5480060.05</v>
      </c>
      <c r="L106" s="21">
        <v>6392111.96</v>
      </c>
      <c r="M106" s="25">
        <f t="shared" si="34"/>
        <v>-0.14268396982208054</v>
      </c>
      <c r="N106" s="10"/>
      <c r="R106" s="2"/>
    </row>
    <row r="107" spans="1:18" ht="15.75">
      <c r="A107" s="19"/>
      <c r="B107" s="20">
        <f>DATE(2018,3,1)</f>
        <v>43160</v>
      </c>
      <c r="C107" s="21">
        <v>186939</v>
      </c>
      <c r="D107" s="21">
        <v>199079</v>
      </c>
      <c r="E107" s="23">
        <f t="shared" si="30"/>
        <v>-0.06098081666072263</v>
      </c>
      <c r="F107" s="21">
        <f>+C107-91616</f>
        <v>95323</v>
      </c>
      <c r="G107" s="21">
        <f>+D107-94435</f>
        <v>104644</v>
      </c>
      <c r="H107" s="23">
        <f t="shared" si="31"/>
        <v>-0.08907342991475861</v>
      </c>
      <c r="I107" s="24">
        <f t="shared" si="32"/>
        <v>36.43876644252938</v>
      </c>
      <c r="J107" s="24">
        <f t="shared" si="33"/>
        <v>71.46047186932849</v>
      </c>
      <c r="K107" s="21">
        <v>6811826.56</v>
      </c>
      <c r="L107" s="21">
        <v>7457849.64</v>
      </c>
      <c r="M107" s="25">
        <f t="shared" si="34"/>
        <v>-0.08662323741887616</v>
      </c>
      <c r="N107" s="10"/>
      <c r="R107" s="2"/>
    </row>
    <row r="108" spans="1:18" ht="15.75">
      <c r="A108" s="19"/>
      <c r="B108" s="20">
        <f>DATE(2018,4,1)</f>
        <v>43191</v>
      </c>
      <c r="C108" s="21">
        <v>157952</v>
      </c>
      <c r="D108" s="21">
        <v>189896</v>
      </c>
      <c r="E108" s="23">
        <f t="shared" si="30"/>
        <v>-0.16821839322576568</v>
      </c>
      <c r="F108" s="21">
        <f>+C108-75399</f>
        <v>82553</v>
      </c>
      <c r="G108" s="21">
        <f>+D108-88922</f>
        <v>100974</v>
      </c>
      <c r="H108" s="23">
        <f t="shared" si="31"/>
        <v>-0.18243310159050843</v>
      </c>
      <c r="I108" s="24">
        <f t="shared" si="32"/>
        <v>37.160334785251216</v>
      </c>
      <c r="J108" s="24">
        <f t="shared" si="33"/>
        <v>71.10037430499194</v>
      </c>
      <c r="K108" s="21">
        <v>5869549.2</v>
      </c>
      <c r="L108" s="21">
        <v>6606363.93</v>
      </c>
      <c r="M108" s="25">
        <f t="shared" si="34"/>
        <v>-0.11153105366388733</v>
      </c>
      <c r="N108" s="10"/>
      <c r="R108" s="2"/>
    </row>
    <row r="109" spans="1:18" ht="15.75">
      <c r="A109" s="19"/>
      <c r="B109" s="20">
        <f>DATE(2018,5,1)</f>
        <v>43221</v>
      </c>
      <c r="C109" s="21">
        <v>157817</v>
      </c>
      <c r="D109" s="21">
        <v>179234</v>
      </c>
      <c r="E109" s="23">
        <f t="shared" si="30"/>
        <v>-0.11949183748619123</v>
      </c>
      <c r="F109" s="21">
        <f>+C109-74068</f>
        <v>83749</v>
      </c>
      <c r="G109" s="21">
        <f>+D109-80909</f>
        <v>98325</v>
      </c>
      <c r="H109" s="23">
        <f t="shared" si="31"/>
        <v>-0.14824307144673277</v>
      </c>
      <c r="I109" s="24">
        <f t="shared" si="32"/>
        <v>34.82316803639659</v>
      </c>
      <c r="J109" s="24">
        <f t="shared" si="33"/>
        <v>65.620937682838</v>
      </c>
      <c r="K109" s="21">
        <v>5495687.91</v>
      </c>
      <c r="L109" s="21">
        <v>6238154.49</v>
      </c>
      <c r="M109" s="25">
        <f t="shared" si="34"/>
        <v>-0.11902022965128586</v>
      </c>
      <c r="N109" s="10"/>
      <c r="R109" s="2"/>
    </row>
    <row r="110" spans="1:18" ht="15.75">
      <c r="A110" s="19"/>
      <c r="B110" s="20">
        <f>DATE(2018,6,1)</f>
        <v>43252</v>
      </c>
      <c r="C110" s="21">
        <v>161809</v>
      </c>
      <c r="D110" s="21">
        <v>174298</v>
      </c>
      <c r="E110" s="23">
        <f t="shared" si="30"/>
        <v>-0.07165314576185614</v>
      </c>
      <c r="F110" s="21">
        <f>+C110-77133</f>
        <v>84676</v>
      </c>
      <c r="G110" s="21">
        <f>+D110-80234</f>
        <v>94064</v>
      </c>
      <c r="H110" s="23">
        <f t="shared" si="31"/>
        <v>-0.09980438850144582</v>
      </c>
      <c r="I110" s="24">
        <f t="shared" si="32"/>
        <v>35.99646645118628</v>
      </c>
      <c r="J110" s="24">
        <f t="shared" si="33"/>
        <v>68.78634134819784</v>
      </c>
      <c r="K110" s="21">
        <v>5824552.24</v>
      </c>
      <c r="L110" s="21">
        <v>6179343.5</v>
      </c>
      <c r="M110" s="25">
        <f t="shared" si="34"/>
        <v>-0.05741568825231997</v>
      </c>
      <c r="N110" s="10"/>
      <c r="R110" s="2"/>
    </row>
    <row r="111" spans="1:18" ht="15.75" customHeight="1" thickBot="1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25" customHeight="1" thickBot="1" thickTop="1">
      <c r="A112" s="39" t="s">
        <v>14</v>
      </c>
      <c r="B112" s="52"/>
      <c r="C112" s="47">
        <f>SUM(C99:C111)</f>
        <v>1970432</v>
      </c>
      <c r="D112" s="48">
        <f>SUM(D99:D111)</f>
        <v>2132151</v>
      </c>
      <c r="E112" s="281">
        <f>(+C112-D112)/D112</f>
        <v>-0.07584781753262315</v>
      </c>
      <c r="F112" s="48">
        <f>SUM(F99:F111)</f>
        <v>1032650</v>
      </c>
      <c r="G112" s="47">
        <f>SUM(G99:G111)</f>
        <v>1130593</v>
      </c>
      <c r="H112" s="53">
        <f>(+F112-G112)/G112</f>
        <v>-0.08662975978092913</v>
      </c>
      <c r="I112" s="51">
        <f>K112/C112</f>
        <v>35.61773583660842</v>
      </c>
      <c r="J112" s="50">
        <f>K112/F112</f>
        <v>67.96332393356897</v>
      </c>
      <c r="K112" s="47">
        <f>SUM(K99:K111)</f>
        <v>70182326.46</v>
      </c>
      <c r="L112" s="48">
        <f>SUM(L99:L111)</f>
        <v>74968148.72</v>
      </c>
      <c r="M112" s="44">
        <f>(+K112-L112)/L112</f>
        <v>-0.06383807445845657</v>
      </c>
      <c r="N112" s="10"/>
      <c r="R112" s="2"/>
    </row>
    <row r="113" spans="1:18" ht="15.75" customHeight="1" thickTop="1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>
      <c r="A114" s="19" t="s">
        <v>67</v>
      </c>
      <c r="B114" s="20">
        <f>DATE(2017,7,1)</f>
        <v>42917</v>
      </c>
      <c r="C114" s="21">
        <v>366754</v>
      </c>
      <c r="D114" s="21">
        <v>319321</v>
      </c>
      <c r="E114" s="23">
        <f aca="true" t="shared" si="35" ref="E114:E125">(+C114-D114)/D114</f>
        <v>0.14854331534725246</v>
      </c>
      <c r="F114" s="21">
        <f>+C114-155073</f>
        <v>211681</v>
      </c>
      <c r="G114" s="21">
        <f>+D114-152762</f>
        <v>166559</v>
      </c>
      <c r="H114" s="23">
        <f aca="true" t="shared" si="36" ref="H114:H125">(+F114-G114)/G114</f>
        <v>0.27090700592582806</v>
      </c>
      <c r="I114" s="24">
        <f aca="true" t="shared" si="37" ref="I114:I125">K114/C114</f>
        <v>34.16795470533382</v>
      </c>
      <c r="J114" s="24">
        <f aca="true" t="shared" si="38" ref="J114:J125">K114/F114</f>
        <v>59.19867186946396</v>
      </c>
      <c r="K114" s="21">
        <v>12531234.06</v>
      </c>
      <c r="L114" s="21">
        <v>11457006.41</v>
      </c>
      <c r="M114" s="25">
        <f aca="true" t="shared" si="39" ref="M114:M125">(+K114-L114)/L114</f>
        <v>0.09376163472007697</v>
      </c>
      <c r="N114" s="10"/>
      <c r="R114" s="2"/>
    </row>
    <row r="115" spans="1:18" ht="15.75" customHeight="1">
      <c r="A115" s="19"/>
      <c r="B115" s="20">
        <f>DATE(2017,8,1)</f>
        <v>42948</v>
      </c>
      <c r="C115" s="21">
        <v>332593</v>
      </c>
      <c r="D115" s="21">
        <v>298389</v>
      </c>
      <c r="E115" s="23">
        <f t="shared" si="35"/>
        <v>0.11462889047518508</v>
      </c>
      <c r="F115" s="21">
        <f>+C115-143450</f>
        <v>189143</v>
      </c>
      <c r="G115" s="21">
        <f>+D115-153359</f>
        <v>145030</v>
      </c>
      <c r="H115" s="23">
        <f t="shared" si="36"/>
        <v>0.3041646555884989</v>
      </c>
      <c r="I115" s="24">
        <f t="shared" si="37"/>
        <v>37.333749387389396</v>
      </c>
      <c r="J115" s="24">
        <f t="shared" si="38"/>
        <v>65.64844435162814</v>
      </c>
      <c r="K115" s="21">
        <v>12416943.71</v>
      </c>
      <c r="L115" s="21">
        <v>10752916.18</v>
      </c>
      <c r="M115" s="25">
        <f t="shared" si="39"/>
        <v>0.15475127882936787</v>
      </c>
      <c r="N115" s="10"/>
      <c r="R115" s="2"/>
    </row>
    <row r="116" spans="1:18" ht="15.75" customHeight="1">
      <c r="A116" s="19"/>
      <c r="B116" s="20">
        <f>DATE(2017,9,1)</f>
        <v>42979</v>
      </c>
      <c r="C116" s="21">
        <v>334430</v>
      </c>
      <c r="D116" s="21">
        <v>290533</v>
      </c>
      <c r="E116" s="23">
        <f t="shared" si="35"/>
        <v>0.1510912701827331</v>
      </c>
      <c r="F116" s="21">
        <f>+C116-144819</f>
        <v>189611</v>
      </c>
      <c r="G116" s="21">
        <f>+D116-140086</f>
        <v>150447</v>
      </c>
      <c r="H116" s="23">
        <f t="shared" si="36"/>
        <v>0.2603175869242989</v>
      </c>
      <c r="I116" s="24">
        <f t="shared" si="37"/>
        <v>35.36166635768322</v>
      </c>
      <c r="J116" s="24">
        <f t="shared" si="38"/>
        <v>62.369810190337056</v>
      </c>
      <c r="K116" s="21">
        <v>11826002.08</v>
      </c>
      <c r="L116" s="21">
        <v>10750631.65</v>
      </c>
      <c r="M116" s="25">
        <f t="shared" si="39"/>
        <v>0.10002858111132472</v>
      </c>
      <c r="N116" s="10"/>
      <c r="R116" s="2"/>
    </row>
    <row r="117" spans="1:18" ht="15.75" customHeight="1">
      <c r="A117" s="19"/>
      <c r="B117" s="20">
        <f>DATE(2017,10,1)</f>
        <v>43009</v>
      </c>
      <c r="C117" s="21">
        <v>316813</v>
      </c>
      <c r="D117" s="21">
        <v>282134</v>
      </c>
      <c r="E117" s="23">
        <f t="shared" si="35"/>
        <v>0.1229167700454394</v>
      </c>
      <c r="F117" s="21">
        <f>+C117-139997</f>
        <v>176816</v>
      </c>
      <c r="G117" s="21">
        <f>+D117-133884</f>
        <v>148250</v>
      </c>
      <c r="H117" s="23">
        <f t="shared" si="36"/>
        <v>0.19268802698145027</v>
      </c>
      <c r="I117" s="24">
        <f t="shared" si="37"/>
        <v>35.339736532276135</v>
      </c>
      <c r="J117" s="24">
        <f t="shared" si="38"/>
        <v>63.320558942629624</v>
      </c>
      <c r="K117" s="21">
        <v>11196087.95</v>
      </c>
      <c r="L117" s="21">
        <v>10577325.14</v>
      </c>
      <c r="M117" s="25">
        <f t="shared" si="39"/>
        <v>0.05849898739143785</v>
      </c>
      <c r="N117" s="10"/>
      <c r="R117" s="2"/>
    </row>
    <row r="118" spans="1:18" ht="15.75" customHeight="1">
      <c r="A118" s="19"/>
      <c r="B118" s="20">
        <f>DATE(2017,11,1)</f>
        <v>43040</v>
      </c>
      <c r="C118" s="21">
        <v>320184</v>
      </c>
      <c r="D118" s="21">
        <v>260391</v>
      </c>
      <c r="E118" s="23">
        <f t="shared" si="35"/>
        <v>0.22962775211124808</v>
      </c>
      <c r="F118" s="21">
        <f>+C118-141719</f>
        <v>178465</v>
      </c>
      <c r="G118" s="21">
        <f>+D118-121768</f>
        <v>138623</v>
      </c>
      <c r="H118" s="23">
        <f t="shared" si="36"/>
        <v>0.2874126227249446</v>
      </c>
      <c r="I118" s="24">
        <f t="shared" si="37"/>
        <v>37.56731151462909</v>
      </c>
      <c r="J118" s="24">
        <f t="shared" si="38"/>
        <v>67.39950169501023</v>
      </c>
      <c r="K118" s="21">
        <v>12028452.07</v>
      </c>
      <c r="L118" s="21">
        <v>10188193.43</v>
      </c>
      <c r="M118" s="25">
        <f t="shared" si="39"/>
        <v>0.1806265902432911</v>
      </c>
      <c r="N118" s="10"/>
      <c r="R118" s="2"/>
    </row>
    <row r="119" spans="1:18" ht="15.75" customHeight="1">
      <c r="A119" s="19"/>
      <c r="B119" s="20">
        <f>DATE(2017,12,1)</f>
        <v>43070</v>
      </c>
      <c r="C119" s="21">
        <v>365944</v>
      </c>
      <c r="D119" s="21">
        <v>286075</v>
      </c>
      <c r="E119" s="23">
        <f t="shared" si="35"/>
        <v>0.27918902385738004</v>
      </c>
      <c r="F119" s="21">
        <f>+C119-164571</f>
        <v>201373</v>
      </c>
      <c r="G119" s="21">
        <f>+D119-132124</f>
        <v>153951</v>
      </c>
      <c r="H119" s="23">
        <f t="shared" si="36"/>
        <v>0.30803307545907466</v>
      </c>
      <c r="I119" s="24">
        <f t="shared" si="37"/>
        <v>35.84297714950922</v>
      </c>
      <c r="J119" s="24">
        <f t="shared" si="38"/>
        <v>65.13545723607434</v>
      </c>
      <c r="K119" s="21">
        <v>13116522.43</v>
      </c>
      <c r="L119" s="21">
        <v>11400564.6</v>
      </c>
      <c r="M119" s="25">
        <f t="shared" si="39"/>
        <v>0.1505151622052122</v>
      </c>
      <c r="N119" s="10"/>
      <c r="R119" s="2"/>
    </row>
    <row r="120" spans="1:18" ht="15.75" customHeight="1">
      <c r="A120" s="19"/>
      <c r="B120" s="20">
        <f>DATE(2018,1,1)</f>
        <v>43101</v>
      </c>
      <c r="C120" s="21">
        <v>343002</v>
      </c>
      <c r="D120" s="21">
        <v>275836</v>
      </c>
      <c r="E120" s="23">
        <f t="shared" si="35"/>
        <v>0.24349976072738874</v>
      </c>
      <c r="F120" s="21">
        <f>+C120-149849</f>
        <v>193153</v>
      </c>
      <c r="G120" s="21">
        <f>+D120-127332</f>
        <v>148504</v>
      </c>
      <c r="H120" s="23">
        <f t="shared" si="36"/>
        <v>0.30065856811937725</v>
      </c>
      <c r="I120" s="24">
        <f t="shared" si="37"/>
        <v>35.74071288214063</v>
      </c>
      <c r="J120" s="24">
        <f t="shared" si="38"/>
        <v>63.46852495172221</v>
      </c>
      <c r="K120" s="21">
        <v>12259136</v>
      </c>
      <c r="L120" s="21">
        <v>10343421.21</v>
      </c>
      <c r="M120" s="25">
        <f t="shared" si="39"/>
        <v>0.18521094240538996</v>
      </c>
      <c r="N120" s="10"/>
      <c r="R120" s="2"/>
    </row>
    <row r="121" spans="1:18" ht="15.75" customHeight="1">
      <c r="A121" s="19"/>
      <c r="B121" s="20">
        <f>DATE(2018,2,1)</f>
        <v>43132</v>
      </c>
      <c r="C121" s="21">
        <v>374858</v>
      </c>
      <c r="D121" s="21">
        <v>311664</v>
      </c>
      <c r="E121" s="23">
        <f t="shared" si="35"/>
        <v>0.20276323219877818</v>
      </c>
      <c r="F121" s="21">
        <f>+C121-169639</f>
        <v>205219</v>
      </c>
      <c r="G121" s="21">
        <f>+D121-142608</f>
        <v>169056</v>
      </c>
      <c r="H121" s="23">
        <f t="shared" si="36"/>
        <v>0.21391136664773802</v>
      </c>
      <c r="I121" s="24">
        <f t="shared" si="37"/>
        <v>37.13534274311873</v>
      </c>
      <c r="J121" s="24">
        <f t="shared" si="38"/>
        <v>67.83231723183526</v>
      </c>
      <c r="K121" s="21">
        <v>13920480.31</v>
      </c>
      <c r="L121" s="21">
        <v>12217808.24</v>
      </c>
      <c r="M121" s="25">
        <f t="shared" si="39"/>
        <v>0.13935986197799421</v>
      </c>
      <c r="N121" s="10"/>
      <c r="R121" s="2"/>
    </row>
    <row r="122" spans="1:18" ht="15.75" customHeight="1">
      <c r="A122" s="19"/>
      <c r="B122" s="20">
        <f>DATE(2018,3,1)</f>
        <v>43160</v>
      </c>
      <c r="C122" s="21">
        <v>445851</v>
      </c>
      <c r="D122" s="21">
        <v>370866</v>
      </c>
      <c r="E122" s="23">
        <f t="shared" si="35"/>
        <v>0.20218893077283978</v>
      </c>
      <c r="F122" s="21">
        <f>+C122-199421</f>
        <v>246430</v>
      </c>
      <c r="G122" s="21">
        <f>+D122-168024</f>
        <v>202842</v>
      </c>
      <c r="H122" s="23">
        <f t="shared" si="36"/>
        <v>0.2148864633557153</v>
      </c>
      <c r="I122" s="24">
        <f t="shared" si="37"/>
        <v>36.89793033995662</v>
      </c>
      <c r="J122" s="24">
        <f t="shared" si="38"/>
        <v>66.75720951182892</v>
      </c>
      <c r="K122" s="21">
        <v>16450979.14</v>
      </c>
      <c r="L122" s="21">
        <v>13973884.75</v>
      </c>
      <c r="M122" s="25">
        <f t="shared" si="39"/>
        <v>0.17726598110092476</v>
      </c>
      <c r="N122" s="10"/>
      <c r="R122" s="2"/>
    </row>
    <row r="123" spans="1:18" ht="15.75" customHeight="1">
      <c r="A123" s="19"/>
      <c r="B123" s="20">
        <f>DATE(2018,4,1)</f>
        <v>43191</v>
      </c>
      <c r="C123" s="21">
        <v>388327</v>
      </c>
      <c r="D123" s="21">
        <v>350997</v>
      </c>
      <c r="E123" s="23">
        <f t="shared" si="35"/>
        <v>0.10635418536340767</v>
      </c>
      <c r="F123" s="21">
        <f>+C123-169797</f>
        <v>218530</v>
      </c>
      <c r="G123" s="21">
        <f>+D123-152989</f>
        <v>198008</v>
      </c>
      <c r="H123" s="23">
        <f t="shared" si="36"/>
        <v>0.10364227707971395</v>
      </c>
      <c r="I123" s="24">
        <f t="shared" si="37"/>
        <v>37.59288388394317</v>
      </c>
      <c r="J123" s="24">
        <f t="shared" si="38"/>
        <v>66.80241532055095</v>
      </c>
      <c r="K123" s="21">
        <v>14598331.82</v>
      </c>
      <c r="L123" s="21">
        <v>13592263.76</v>
      </c>
      <c r="M123" s="25">
        <f t="shared" si="39"/>
        <v>0.07401769696087773</v>
      </c>
      <c r="N123" s="10"/>
      <c r="R123" s="2"/>
    </row>
    <row r="124" spans="1:18" ht="15.75" customHeight="1">
      <c r="A124" s="19"/>
      <c r="B124" s="20">
        <f>DATE(2018,5,1)</f>
        <v>43221</v>
      </c>
      <c r="C124" s="21">
        <v>394379</v>
      </c>
      <c r="D124" s="21">
        <v>350689</v>
      </c>
      <c r="E124" s="23">
        <f t="shared" si="35"/>
        <v>0.1245833202638235</v>
      </c>
      <c r="F124" s="21">
        <f>+C124-169906</f>
        <v>224473</v>
      </c>
      <c r="G124" s="21">
        <f>+D124-152542</f>
        <v>198147</v>
      </c>
      <c r="H124" s="23">
        <f t="shared" si="36"/>
        <v>0.13286095676442236</v>
      </c>
      <c r="I124" s="24">
        <f t="shared" si="37"/>
        <v>37.221089839976266</v>
      </c>
      <c r="J124" s="24">
        <f t="shared" si="38"/>
        <v>65.3941284252449</v>
      </c>
      <c r="K124" s="21">
        <v>14679216.19</v>
      </c>
      <c r="L124" s="21">
        <v>12985480.84</v>
      </c>
      <c r="M124" s="25">
        <f t="shared" si="39"/>
        <v>0.13043300982607275</v>
      </c>
      <c r="N124" s="10"/>
      <c r="R124" s="2"/>
    </row>
    <row r="125" spans="1:18" ht="15.75" customHeight="1">
      <c r="A125" s="19"/>
      <c r="B125" s="20">
        <f>DATE(2018,6,1)</f>
        <v>43252</v>
      </c>
      <c r="C125" s="21">
        <v>398661</v>
      </c>
      <c r="D125" s="21">
        <v>343984</v>
      </c>
      <c r="E125" s="23">
        <f t="shared" si="35"/>
        <v>0.1589521605656077</v>
      </c>
      <c r="F125" s="21">
        <f>+C125-171980</f>
        <v>226681</v>
      </c>
      <c r="G125" s="21">
        <f>+D125-146644</f>
        <v>197340</v>
      </c>
      <c r="H125" s="23">
        <f t="shared" si="36"/>
        <v>0.14868247694334652</v>
      </c>
      <c r="I125" s="24">
        <f t="shared" si="37"/>
        <v>37.39935255768685</v>
      </c>
      <c r="J125" s="24">
        <f t="shared" si="38"/>
        <v>65.77376705590676</v>
      </c>
      <c r="K125" s="21">
        <v>14909663.29</v>
      </c>
      <c r="L125" s="21">
        <v>12305888.19</v>
      </c>
      <c r="M125" s="25">
        <f t="shared" si="39"/>
        <v>0.21158774237164588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SUM(C114:C126)</f>
        <v>4381796</v>
      </c>
      <c r="D127" s="41">
        <f>SUM(D114:D126)</f>
        <v>3740879</v>
      </c>
      <c r="E127" s="280">
        <f>(+C127-D127)/D127</f>
        <v>0.1713279151771549</v>
      </c>
      <c r="F127" s="41">
        <f>SUM(F114:F126)</f>
        <v>2461575</v>
      </c>
      <c r="G127" s="41">
        <f>SUM(G114:G126)</f>
        <v>2016757</v>
      </c>
      <c r="H127" s="42">
        <f>(+F127-G127)/G127</f>
        <v>0.22056102941504604</v>
      </c>
      <c r="I127" s="43">
        <f>K127/C127</f>
        <v>36.499428328018915</v>
      </c>
      <c r="J127" s="43">
        <f>K127/F127</f>
        <v>64.97183675086072</v>
      </c>
      <c r="K127" s="41">
        <f>SUM(K114:K126)</f>
        <v>159933049.04999998</v>
      </c>
      <c r="L127" s="41">
        <f>SUM(L114:L126)</f>
        <v>140545384.4</v>
      </c>
      <c r="M127" s="44">
        <f>(+K127-L127)/L127</f>
        <v>0.13794593634481514</v>
      </c>
      <c r="N127" s="10"/>
      <c r="R127" s="2"/>
    </row>
    <row r="128" spans="1:18" ht="15.75" customHeight="1" thickTop="1">
      <c r="A128" s="54"/>
      <c r="B128" s="55"/>
      <c r="C128" s="55"/>
      <c r="D128" s="55"/>
      <c r="E128" s="56"/>
      <c r="F128" s="55"/>
      <c r="G128" s="55"/>
      <c r="H128" s="56"/>
      <c r="I128" s="55"/>
      <c r="J128" s="55"/>
      <c r="K128" s="196"/>
      <c r="L128" s="196"/>
      <c r="M128" s="57"/>
      <c r="N128" s="10"/>
      <c r="R128" s="2"/>
    </row>
    <row r="129" spans="1:18" ht="15.75" customHeight="1">
      <c r="A129" s="19" t="s">
        <v>18</v>
      </c>
      <c r="B129" s="20">
        <f>DATE(2017,7,1)</f>
        <v>42917</v>
      </c>
      <c r="C129" s="21">
        <v>402324</v>
      </c>
      <c r="D129" s="21">
        <v>443593</v>
      </c>
      <c r="E129" s="23">
        <f aca="true" t="shared" si="40" ref="E129:E140">(+C129-D129)/D129</f>
        <v>-0.09303347888717811</v>
      </c>
      <c r="F129" s="21">
        <f>+C129-196212</f>
        <v>206112</v>
      </c>
      <c r="G129" s="21">
        <f>+D129-216102</f>
        <v>227491</v>
      </c>
      <c r="H129" s="23">
        <f aca="true" t="shared" si="41" ref="H129:H140">(+F129-G129)/G129</f>
        <v>-0.09397734415867001</v>
      </c>
      <c r="I129" s="24">
        <f aca="true" t="shared" si="42" ref="I129:I140">K129/C129</f>
        <v>40.6170578190712</v>
      </c>
      <c r="J129" s="24">
        <f aca="true" t="shared" si="43" ref="J129:J140">K129/F129</f>
        <v>79.28319151723335</v>
      </c>
      <c r="K129" s="21">
        <v>16341217.17</v>
      </c>
      <c r="L129" s="21">
        <v>16992668.91</v>
      </c>
      <c r="M129" s="25">
        <f aca="true" t="shared" si="44" ref="M129:M140">(+K129-L129)/L129</f>
        <v>-0.03833722315489994</v>
      </c>
      <c r="N129" s="10"/>
      <c r="R129" s="2"/>
    </row>
    <row r="130" spans="1:18" ht="15.75" customHeight="1">
      <c r="A130" s="19"/>
      <c r="B130" s="20">
        <f>DATE(2017,8,1)</f>
        <v>42948</v>
      </c>
      <c r="C130" s="21">
        <v>379939</v>
      </c>
      <c r="D130" s="21">
        <v>403931</v>
      </c>
      <c r="E130" s="23">
        <f t="shared" si="40"/>
        <v>-0.05939628302853705</v>
      </c>
      <c r="F130" s="21">
        <f>+C130-185707</f>
        <v>194232</v>
      </c>
      <c r="G130" s="21">
        <f>+D130-196405</f>
        <v>207526</v>
      </c>
      <c r="H130" s="23">
        <f t="shared" si="41"/>
        <v>-0.06405944315411082</v>
      </c>
      <c r="I130" s="24">
        <f t="shared" si="42"/>
        <v>40.309828814625504</v>
      </c>
      <c r="J130" s="24">
        <f t="shared" si="43"/>
        <v>78.85042655175255</v>
      </c>
      <c r="K130" s="21">
        <v>15315276.05</v>
      </c>
      <c r="L130" s="21">
        <v>15920732.62</v>
      </c>
      <c r="M130" s="25">
        <f t="shared" si="44"/>
        <v>-0.03802944151196972</v>
      </c>
      <c r="N130" s="10"/>
      <c r="R130" s="2"/>
    </row>
    <row r="131" spans="1:18" ht="15.75" customHeight="1">
      <c r="A131" s="19"/>
      <c r="B131" s="20">
        <f>DATE(2017,9,1)</f>
        <v>42979</v>
      </c>
      <c r="C131" s="21">
        <v>383853</v>
      </c>
      <c r="D131" s="21">
        <v>412152</v>
      </c>
      <c r="E131" s="23">
        <f t="shared" si="40"/>
        <v>-0.06866156175391604</v>
      </c>
      <c r="F131" s="21">
        <f>+C131-186182</f>
        <v>197671</v>
      </c>
      <c r="G131" s="21">
        <f>+D131-198762</f>
        <v>213390</v>
      </c>
      <c r="H131" s="23">
        <f t="shared" si="41"/>
        <v>-0.07366324570036084</v>
      </c>
      <c r="I131" s="24">
        <f t="shared" si="42"/>
        <v>41.76407293938044</v>
      </c>
      <c r="J131" s="24">
        <f t="shared" si="43"/>
        <v>81.10074158576624</v>
      </c>
      <c r="K131" s="21">
        <v>16031264.69</v>
      </c>
      <c r="L131" s="21">
        <v>15877918.01</v>
      </c>
      <c r="M131" s="25">
        <f t="shared" si="44"/>
        <v>0.00965785815894887</v>
      </c>
      <c r="N131" s="10"/>
      <c r="R131" s="2"/>
    </row>
    <row r="132" spans="1:18" ht="15.75" customHeight="1">
      <c r="A132" s="19"/>
      <c r="B132" s="20">
        <f>DATE(2017,10,1)</f>
        <v>43009</v>
      </c>
      <c r="C132" s="21">
        <v>372927</v>
      </c>
      <c r="D132" s="21">
        <v>416520</v>
      </c>
      <c r="E132" s="23">
        <f t="shared" si="40"/>
        <v>-0.10466004033419764</v>
      </c>
      <c r="F132" s="21">
        <f>+C132-185932</f>
        <v>186995</v>
      </c>
      <c r="G132" s="21">
        <f>+D132-200772</f>
        <v>215748</v>
      </c>
      <c r="H132" s="23">
        <f t="shared" si="41"/>
        <v>-0.13327122383521517</v>
      </c>
      <c r="I132" s="24">
        <f t="shared" si="42"/>
        <v>40.93245611071336</v>
      </c>
      <c r="J132" s="24">
        <f t="shared" si="43"/>
        <v>81.63222578143801</v>
      </c>
      <c r="K132" s="21">
        <v>15264818.06</v>
      </c>
      <c r="L132" s="21">
        <v>16320470.64</v>
      </c>
      <c r="M132" s="25">
        <f t="shared" si="44"/>
        <v>-0.06468272902698595</v>
      </c>
      <c r="N132" s="10"/>
      <c r="R132" s="2"/>
    </row>
    <row r="133" spans="1:18" ht="15.75" customHeight="1">
      <c r="A133" s="19"/>
      <c r="B133" s="20">
        <f>DATE(2017,11,1)</f>
        <v>43040</v>
      </c>
      <c r="C133" s="21">
        <v>350531</v>
      </c>
      <c r="D133" s="21">
        <v>406238</v>
      </c>
      <c r="E133" s="23">
        <f t="shared" si="40"/>
        <v>-0.1371289736558372</v>
      </c>
      <c r="F133" s="21">
        <f>+C133-173337</f>
        <v>177194</v>
      </c>
      <c r="G133" s="21">
        <f>+D133-201694</f>
        <v>204544</v>
      </c>
      <c r="H133" s="23">
        <f t="shared" si="41"/>
        <v>-0.13371206195244056</v>
      </c>
      <c r="I133" s="24">
        <f t="shared" si="42"/>
        <v>42.16910792483404</v>
      </c>
      <c r="J133" s="24">
        <f t="shared" si="43"/>
        <v>83.42031654570697</v>
      </c>
      <c r="K133" s="21">
        <v>14781579.57</v>
      </c>
      <c r="L133" s="21">
        <v>15913149.14</v>
      </c>
      <c r="M133" s="25">
        <f t="shared" si="44"/>
        <v>-0.07110909098159815</v>
      </c>
      <c r="N133" s="10"/>
      <c r="R133" s="2"/>
    </row>
    <row r="134" spans="1:18" ht="15.75" customHeight="1">
      <c r="A134" s="19"/>
      <c r="B134" s="20">
        <f>DATE(2017,12,1)</f>
        <v>43070</v>
      </c>
      <c r="C134" s="21">
        <v>390264</v>
      </c>
      <c r="D134" s="21">
        <v>414721</v>
      </c>
      <c r="E134" s="23">
        <f t="shared" si="40"/>
        <v>-0.058972176475268916</v>
      </c>
      <c r="F134" s="21">
        <f>+C134-192232</f>
        <v>198032</v>
      </c>
      <c r="G134" s="21">
        <f>+D134-204940</f>
        <v>209781</v>
      </c>
      <c r="H134" s="23">
        <f t="shared" si="41"/>
        <v>-0.0560060253311787</v>
      </c>
      <c r="I134" s="24">
        <f t="shared" si="42"/>
        <v>42.14231497140397</v>
      </c>
      <c r="J134" s="24">
        <f t="shared" si="43"/>
        <v>83.05035756847379</v>
      </c>
      <c r="K134" s="21">
        <v>16446628.41</v>
      </c>
      <c r="L134" s="21">
        <v>16539049.81</v>
      </c>
      <c r="M134" s="25">
        <f t="shared" si="44"/>
        <v>-0.005588071930475695</v>
      </c>
      <c r="N134" s="10"/>
      <c r="R134" s="2"/>
    </row>
    <row r="135" spans="1:18" ht="15.75" customHeight="1">
      <c r="A135" s="19"/>
      <c r="B135" s="20">
        <f>DATE(2018,1,1)</f>
        <v>43101</v>
      </c>
      <c r="C135" s="21">
        <v>343731</v>
      </c>
      <c r="D135" s="21">
        <v>381508</v>
      </c>
      <c r="E135" s="23">
        <f t="shared" si="40"/>
        <v>-0.09902020403241872</v>
      </c>
      <c r="F135" s="21">
        <f>+C135-170444</f>
        <v>173287</v>
      </c>
      <c r="G135" s="21">
        <f>+D135-188183</f>
        <v>193325</v>
      </c>
      <c r="H135" s="23">
        <f t="shared" si="41"/>
        <v>-0.1036492952282426</v>
      </c>
      <c r="I135" s="24">
        <f t="shared" si="42"/>
        <v>43.80359051118462</v>
      </c>
      <c r="J135" s="24">
        <f t="shared" si="43"/>
        <v>86.88852579824223</v>
      </c>
      <c r="K135" s="21">
        <v>15056651.97</v>
      </c>
      <c r="L135" s="21">
        <v>15120347.78</v>
      </c>
      <c r="M135" s="25">
        <f t="shared" si="44"/>
        <v>-0.0042125889514426675</v>
      </c>
      <c r="N135" s="10"/>
      <c r="R135" s="2"/>
    </row>
    <row r="136" spans="1:18" ht="15.75" customHeight="1">
      <c r="A136" s="19"/>
      <c r="B136" s="20">
        <f>DATE(2018,2,1)</f>
        <v>43132</v>
      </c>
      <c r="C136" s="21">
        <v>348132</v>
      </c>
      <c r="D136" s="21">
        <v>408428</v>
      </c>
      <c r="E136" s="23">
        <f t="shared" si="40"/>
        <v>-0.14762944754032534</v>
      </c>
      <c r="F136" s="21">
        <f>+C136-170486</f>
        <v>177646</v>
      </c>
      <c r="G136" s="21">
        <f>+D136-202328</f>
        <v>206100</v>
      </c>
      <c r="H136" s="23">
        <f t="shared" si="41"/>
        <v>-0.13805919456574478</v>
      </c>
      <c r="I136" s="24">
        <f t="shared" si="42"/>
        <v>43.901873599669095</v>
      </c>
      <c r="J136" s="24">
        <f t="shared" si="43"/>
        <v>86.03428762820441</v>
      </c>
      <c r="K136" s="21">
        <v>15283647.06</v>
      </c>
      <c r="L136" s="21">
        <v>16517544.51</v>
      </c>
      <c r="M136" s="25">
        <f t="shared" si="44"/>
        <v>-0.07470223248092214</v>
      </c>
      <c r="N136" s="10"/>
      <c r="R136" s="2"/>
    </row>
    <row r="137" spans="1:18" ht="15.75" customHeight="1">
      <c r="A137" s="19"/>
      <c r="B137" s="20">
        <f>DATE(2018,3,1)</f>
        <v>43160</v>
      </c>
      <c r="C137" s="21">
        <v>425327</v>
      </c>
      <c r="D137" s="21">
        <v>438400</v>
      </c>
      <c r="E137" s="23">
        <f t="shared" si="40"/>
        <v>-0.029819799270072993</v>
      </c>
      <c r="F137" s="21">
        <f>+C137-208257</f>
        <v>217070</v>
      </c>
      <c r="G137" s="21">
        <f>+D137-216803</f>
        <v>221597</v>
      </c>
      <c r="H137" s="23">
        <f t="shared" si="41"/>
        <v>-0.02042897692658294</v>
      </c>
      <c r="I137" s="24">
        <f t="shared" si="42"/>
        <v>42.77366108899741</v>
      </c>
      <c r="J137" s="24">
        <f t="shared" si="43"/>
        <v>83.81071981388492</v>
      </c>
      <c r="K137" s="21">
        <v>18192792.95</v>
      </c>
      <c r="L137" s="21">
        <v>18361714.65</v>
      </c>
      <c r="M137" s="25">
        <f t="shared" si="44"/>
        <v>-0.009199669160526861</v>
      </c>
      <c r="N137" s="10"/>
      <c r="R137" s="2"/>
    </row>
    <row r="138" spans="1:18" ht="15.75" customHeight="1">
      <c r="A138" s="19"/>
      <c r="B138" s="20">
        <f>DATE(2018,4,1)</f>
        <v>43191</v>
      </c>
      <c r="C138" s="21">
        <v>373812</v>
      </c>
      <c r="D138" s="21">
        <v>389645</v>
      </c>
      <c r="E138" s="23">
        <f t="shared" si="40"/>
        <v>-0.04063442364203313</v>
      </c>
      <c r="F138" s="21">
        <f>+C138-186032</f>
        <v>187780</v>
      </c>
      <c r="G138" s="21">
        <f>+D138-193820</f>
        <v>195825</v>
      </c>
      <c r="H138" s="23">
        <f t="shared" si="41"/>
        <v>-0.04108259925954296</v>
      </c>
      <c r="I138" s="24">
        <f t="shared" si="42"/>
        <v>43.88863648036981</v>
      </c>
      <c r="J138" s="24">
        <f t="shared" si="43"/>
        <v>87.36872393226116</v>
      </c>
      <c r="K138" s="21">
        <v>16406098.98</v>
      </c>
      <c r="L138" s="21">
        <v>16171096.51</v>
      </c>
      <c r="M138" s="25">
        <f t="shared" si="44"/>
        <v>0.014532253261532273</v>
      </c>
      <c r="N138" s="10"/>
      <c r="R138" s="2"/>
    </row>
    <row r="139" spans="1:18" ht="15.75" customHeight="1">
      <c r="A139" s="19"/>
      <c r="B139" s="20">
        <f>DATE(2018,5,1)</f>
        <v>43221</v>
      </c>
      <c r="C139" s="21">
        <v>380134</v>
      </c>
      <c r="D139" s="21">
        <v>380619</v>
      </c>
      <c r="E139" s="23">
        <f t="shared" si="40"/>
        <v>-0.0012742401193844763</v>
      </c>
      <c r="F139" s="21">
        <f>+C139-186204</f>
        <v>193930</v>
      </c>
      <c r="G139" s="21">
        <f>+D139-183593</f>
        <v>197026</v>
      </c>
      <c r="H139" s="23">
        <f t="shared" si="41"/>
        <v>-0.01571366215626364</v>
      </c>
      <c r="I139" s="24">
        <f t="shared" si="42"/>
        <v>43.08634081665939</v>
      </c>
      <c r="J139" s="24">
        <f t="shared" si="43"/>
        <v>84.45615985149281</v>
      </c>
      <c r="K139" s="21">
        <v>16378583.08</v>
      </c>
      <c r="L139" s="21">
        <v>15620543.79</v>
      </c>
      <c r="M139" s="25">
        <f t="shared" si="44"/>
        <v>0.04852835472253434</v>
      </c>
      <c r="N139" s="10"/>
      <c r="R139" s="2"/>
    </row>
    <row r="140" spans="1:18" ht="15.75" customHeight="1">
      <c r="A140" s="19"/>
      <c r="B140" s="20">
        <f>DATE(2018,6,1)</f>
        <v>43252</v>
      </c>
      <c r="C140" s="21">
        <v>379471</v>
      </c>
      <c r="D140" s="21">
        <v>356505</v>
      </c>
      <c r="E140" s="23">
        <f t="shared" si="40"/>
        <v>0.06441985385899215</v>
      </c>
      <c r="F140" s="21">
        <f>+C140-183843</f>
        <v>195628</v>
      </c>
      <c r="G140" s="21">
        <f>+D140-173352</f>
        <v>183153</v>
      </c>
      <c r="H140" s="23">
        <f t="shared" si="41"/>
        <v>0.06811245243048161</v>
      </c>
      <c r="I140" s="24">
        <f t="shared" si="42"/>
        <v>42.24512215689737</v>
      </c>
      <c r="J140" s="24">
        <f t="shared" si="43"/>
        <v>81.94531841045249</v>
      </c>
      <c r="K140" s="21">
        <v>16030798.75</v>
      </c>
      <c r="L140" s="21">
        <v>14956017.91</v>
      </c>
      <c r="M140" s="25">
        <f t="shared" si="44"/>
        <v>0.07186276764762177</v>
      </c>
      <c r="N140" s="10"/>
      <c r="R140" s="2"/>
    </row>
    <row r="141" spans="1:18" ht="15.75" customHeight="1" thickBot="1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7.25" thickBot="1" thickTop="1">
      <c r="A142" s="39" t="s">
        <v>14</v>
      </c>
      <c r="B142" s="40"/>
      <c r="C142" s="41">
        <f>SUM(C129:C141)</f>
        <v>4530445</v>
      </c>
      <c r="D142" s="41">
        <f>SUM(D129:D141)</f>
        <v>4852260</v>
      </c>
      <c r="E142" s="280">
        <f>(+C142-D142)/D142</f>
        <v>-0.0663227032351935</v>
      </c>
      <c r="F142" s="41">
        <f>SUM(F129:F141)</f>
        <v>2305577</v>
      </c>
      <c r="G142" s="41">
        <f>SUM(G129:G141)</f>
        <v>2475506</v>
      </c>
      <c r="H142" s="42">
        <f>(+F142-G142)/G142</f>
        <v>-0.06864414790349932</v>
      </c>
      <c r="I142" s="43">
        <f>K142/C142</f>
        <v>42.27605825476305</v>
      </c>
      <c r="J142" s="43">
        <f>K142/F142</f>
        <v>83.07220133615142</v>
      </c>
      <c r="K142" s="41">
        <f>SUM(K129:K141)</f>
        <v>191529356.73999998</v>
      </c>
      <c r="L142" s="41">
        <f>SUM(L129:L141)</f>
        <v>194311254.27999997</v>
      </c>
      <c r="M142" s="44">
        <f>(+K142-L142)/L142</f>
        <v>-0.014316708264315529</v>
      </c>
      <c r="N142" s="10"/>
      <c r="R142" s="2"/>
    </row>
    <row r="143" spans="1:18" ht="15.75" customHeight="1" thickTop="1">
      <c r="A143" s="54"/>
      <c r="B143" s="55"/>
      <c r="C143" s="55"/>
      <c r="D143" s="55"/>
      <c r="E143" s="56"/>
      <c r="F143" s="55"/>
      <c r="G143" s="55"/>
      <c r="H143" s="56"/>
      <c r="I143" s="55"/>
      <c r="J143" s="55"/>
      <c r="K143" s="196"/>
      <c r="L143" s="196"/>
      <c r="M143" s="57"/>
      <c r="N143" s="10"/>
      <c r="R143" s="2"/>
    </row>
    <row r="144" spans="1:18" ht="15.75" customHeight="1">
      <c r="A144" s="19" t="s">
        <v>58</v>
      </c>
      <c r="B144" s="20">
        <f>DATE(2017,7,1)</f>
        <v>42917</v>
      </c>
      <c r="C144" s="21">
        <v>487621</v>
      </c>
      <c r="D144" s="21">
        <v>530171</v>
      </c>
      <c r="E144" s="23">
        <f aca="true" t="shared" si="45" ref="E144:E155">(+C144-D144)/D144</f>
        <v>-0.08025712458810459</v>
      </c>
      <c r="F144" s="21">
        <f>+C144-237847</f>
        <v>249774</v>
      </c>
      <c r="G144" s="21">
        <f>+D144-255599</f>
        <v>274572</v>
      </c>
      <c r="H144" s="23">
        <f aca="true" t="shared" si="46" ref="H144:H155">(+F144-G144)/G144</f>
        <v>-0.09031510860539312</v>
      </c>
      <c r="I144" s="24">
        <f aca="true" t="shared" si="47" ref="I144:I155">K144/C144</f>
        <v>40.61489082709728</v>
      </c>
      <c r="J144" s="24">
        <f aca="true" t="shared" si="48" ref="J144:J155">K144/F144</f>
        <v>79.29037321738852</v>
      </c>
      <c r="K144" s="21">
        <v>19804673.68</v>
      </c>
      <c r="L144" s="21">
        <v>20026177.73</v>
      </c>
      <c r="M144" s="25">
        <f aca="true" t="shared" si="49" ref="M144:M155">(+K144-L144)/L144</f>
        <v>-0.011060725266019136</v>
      </c>
      <c r="N144" s="10"/>
      <c r="R144" s="2"/>
    </row>
    <row r="145" spans="1:18" ht="15.75" customHeight="1">
      <c r="A145" s="19"/>
      <c r="B145" s="20">
        <f>DATE(2017,8,1)</f>
        <v>42948</v>
      </c>
      <c r="C145" s="21">
        <v>450476</v>
      </c>
      <c r="D145" s="21">
        <v>452258</v>
      </c>
      <c r="E145" s="23">
        <f t="shared" si="45"/>
        <v>-0.003940228807450615</v>
      </c>
      <c r="F145" s="21">
        <f>+C145-212152</f>
        <v>238324</v>
      </c>
      <c r="G145" s="21">
        <f>+D145-201862</f>
        <v>250396</v>
      </c>
      <c r="H145" s="23">
        <f t="shared" si="46"/>
        <v>-0.04821163277368648</v>
      </c>
      <c r="I145" s="24">
        <f t="shared" si="47"/>
        <v>41.27123347303741</v>
      </c>
      <c r="J145" s="24">
        <f t="shared" si="48"/>
        <v>78.01018852486531</v>
      </c>
      <c r="K145" s="21">
        <v>18591700.17</v>
      </c>
      <c r="L145" s="21">
        <v>17792626.65</v>
      </c>
      <c r="M145" s="25">
        <f t="shared" si="49"/>
        <v>0.044910374152093126</v>
      </c>
      <c r="N145" s="10"/>
      <c r="R145" s="2"/>
    </row>
    <row r="146" spans="1:18" ht="15.75" customHeight="1">
      <c r="A146" s="19"/>
      <c r="B146" s="20">
        <f>DATE(2017,9,1)</f>
        <v>42979</v>
      </c>
      <c r="C146" s="21">
        <v>460463</v>
      </c>
      <c r="D146" s="21">
        <v>443833</v>
      </c>
      <c r="E146" s="23">
        <f t="shared" si="45"/>
        <v>0.03746904804284494</v>
      </c>
      <c r="F146" s="21">
        <f>+C146-224219</f>
        <v>236244</v>
      </c>
      <c r="G146" s="21">
        <f>+D146-215331</f>
        <v>228502</v>
      </c>
      <c r="H146" s="23">
        <f t="shared" si="46"/>
        <v>0.03388154151823616</v>
      </c>
      <c r="I146" s="24">
        <f t="shared" si="47"/>
        <v>40.64952912611871</v>
      </c>
      <c r="J146" s="24">
        <f t="shared" si="48"/>
        <v>79.22996617903523</v>
      </c>
      <c r="K146" s="21">
        <v>18717604.13</v>
      </c>
      <c r="L146" s="21">
        <v>17971661.23</v>
      </c>
      <c r="M146" s="25">
        <f t="shared" si="49"/>
        <v>0.04150661925202551</v>
      </c>
      <c r="N146" s="10"/>
      <c r="R146" s="2"/>
    </row>
    <row r="147" spans="1:18" ht="15.75" customHeight="1">
      <c r="A147" s="19"/>
      <c r="B147" s="20">
        <f>DATE(2017,10,1)</f>
        <v>43009</v>
      </c>
      <c r="C147" s="21">
        <v>417011</v>
      </c>
      <c r="D147" s="21">
        <v>470107</v>
      </c>
      <c r="E147" s="23">
        <f t="shared" si="45"/>
        <v>-0.11294449986917872</v>
      </c>
      <c r="F147" s="21">
        <f>+C147-199528</f>
        <v>217483</v>
      </c>
      <c r="G147" s="21">
        <f>+D147-226355</f>
        <v>243752</v>
      </c>
      <c r="H147" s="23">
        <f t="shared" si="46"/>
        <v>-0.10776937214874134</v>
      </c>
      <c r="I147" s="24">
        <f t="shared" si="47"/>
        <v>42.60150058391745</v>
      </c>
      <c r="J147" s="24">
        <f t="shared" si="48"/>
        <v>81.68589894382549</v>
      </c>
      <c r="K147" s="21">
        <v>17765294.36</v>
      </c>
      <c r="L147" s="21">
        <v>19212522.4</v>
      </c>
      <c r="M147" s="25">
        <f t="shared" si="49"/>
        <v>-0.07532733130346275</v>
      </c>
      <c r="N147" s="10"/>
      <c r="R147" s="2"/>
    </row>
    <row r="148" spans="1:18" ht="15.75" customHeight="1">
      <c r="A148" s="19"/>
      <c r="B148" s="20">
        <f>DATE(2017,11,1)</f>
        <v>43040</v>
      </c>
      <c r="C148" s="21">
        <v>418322</v>
      </c>
      <c r="D148" s="21">
        <v>443731</v>
      </c>
      <c r="E148" s="23">
        <f t="shared" si="45"/>
        <v>-0.057262170098550697</v>
      </c>
      <c r="F148" s="21">
        <f>+C148-203115</f>
        <v>215207</v>
      </c>
      <c r="G148" s="21">
        <f>+D148-215748</f>
        <v>227983</v>
      </c>
      <c r="H148" s="23">
        <f t="shared" si="46"/>
        <v>-0.05603926608562919</v>
      </c>
      <c r="I148" s="24">
        <f t="shared" si="47"/>
        <v>42.15487947083825</v>
      </c>
      <c r="J148" s="24">
        <f t="shared" si="48"/>
        <v>81.94117054742642</v>
      </c>
      <c r="K148" s="21">
        <v>17634313.49</v>
      </c>
      <c r="L148" s="21">
        <v>17124542.9</v>
      </c>
      <c r="M148" s="25">
        <f t="shared" si="49"/>
        <v>0.029768420271235378</v>
      </c>
      <c r="N148" s="10"/>
      <c r="R148" s="2"/>
    </row>
    <row r="149" spans="1:18" ht="15.75" customHeight="1">
      <c r="A149" s="19"/>
      <c r="B149" s="20">
        <f>DATE(2017,12,1)</f>
        <v>43070</v>
      </c>
      <c r="C149" s="21">
        <v>463864</v>
      </c>
      <c r="D149" s="21">
        <v>475585</v>
      </c>
      <c r="E149" s="23">
        <f t="shared" si="45"/>
        <v>-0.024645436672729375</v>
      </c>
      <c r="F149" s="21">
        <f>+C149-225145</f>
        <v>238719</v>
      </c>
      <c r="G149" s="21">
        <f>+D149-231688</f>
        <v>243897</v>
      </c>
      <c r="H149" s="23">
        <f t="shared" si="46"/>
        <v>-0.0212302734350976</v>
      </c>
      <c r="I149" s="24">
        <f t="shared" si="47"/>
        <v>41.52262214787093</v>
      </c>
      <c r="J149" s="24">
        <f t="shared" si="48"/>
        <v>80.68419187412816</v>
      </c>
      <c r="K149" s="21">
        <v>19260849.6</v>
      </c>
      <c r="L149" s="21">
        <v>18798395.36</v>
      </c>
      <c r="M149" s="25">
        <f t="shared" si="49"/>
        <v>0.02460072953801319</v>
      </c>
      <c r="N149" s="10"/>
      <c r="R149" s="2"/>
    </row>
    <row r="150" spans="1:18" ht="15.75" customHeight="1">
      <c r="A150" s="19"/>
      <c r="B150" s="20">
        <f>DATE(2018,1,1)</f>
        <v>43101</v>
      </c>
      <c r="C150" s="21">
        <v>394135</v>
      </c>
      <c r="D150" s="21">
        <v>452679</v>
      </c>
      <c r="E150" s="23">
        <f t="shared" si="45"/>
        <v>-0.12932784600125033</v>
      </c>
      <c r="F150" s="21">
        <f>+C150-197319</f>
        <v>196816</v>
      </c>
      <c r="G150" s="21">
        <f>+D150-220938</f>
        <v>231741</v>
      </c>
      <c r="H150" s="23">
        <f t="shared" si="46"/>
        <v>-0.150707039324073</v>
      </c>
      <c r="I150" s="24">
        <f t="shared" si="47"/>
        <v>41.98923886485595</v>
      </c>
      <c r="J150" s="24">
        <f t="shared" si="48"/>
        <v>84.08578906186489</v>
      </c>
      <c r="K150" s="21">
        <v>16549428.66</v>
      </c>
      <c r="L150" s="21">
        <v>18005996.58</v>
      </c>
      <c r="M150" s="25">
        <f t="shared" si="49"/>
        <v>-0.08089349087280556</v>
      </c>
      <c r="N150" s="10"/>
      <c r="R150" s="2"/>
    </row>
    <row r="151" spans="1:18" ht="15.75" customHeight="1">
      <c r="A151" s="19"/>
      <c r="B151" s="20">
        <f>DATE(2018,2,1)</f>
        <v>43132</v>
      </c>
      <c r="C151" s="21">
        <v>427928</v>
      </c>
      <c r="D151" s="21">
        <v>474610</v>
      </c>
      <c r="E151" s="23">
        <f t="shared" si="45"/>
        <v>-0.09835865236720676</v>
      </c>
      <c r="F151" s="21">
        <f>+C151-211910</f>
        <v>216018</v>
      </c>
      <c r="G151" s="21">
        <f>+D151-228642</f>
        <v>245968</v>
      </c>
      <c r="H151" s="23">
        <f t="shared" si="46"/>
        <v>-0.1217638066740389</v>
      </c>
      <c r="I151" s="24">
        <f t="shared" si="47"/>
        <v>41.937372361705705</v>
      </c>
      <c r="J151" s="24">
        <f t="shared" si="48"/>
        <v>83.07722449055171</v>
      </c>
      <c r="K151" s="21">
        <v>17946175.88</v>
      </c>
      <c r="L151" s="21">
        <v>18749403.41</v>
      </c>
      <c r="M151" s="25">
        <f t="shared" si="49"/>
        <v>-0.04284016469407232</v>
      </c>
      <c r="N151" s="10"/>
      <c r="R151" s="2"/>
    </row>
    <row r="152" spans="1:18" ht="15.75" customHeight="1">
      <c r="A152" s="19"/>
      <c r="B152" s="20">
        <f>DATE(2018,3,1)</f>
        <v>43160</v>
      </c>
      <c r="C152" s="21">
        <v>524386</v>
      </c>
      <c r="D152" s="21">
        <v>532412</v>
      </c>
      <c r="E152" s="23">
        <f t="shared" si="45"/>
        <v>-0.015074791702666356</v>
      </c>
      <c r="F152" s="21">
        <f>+C152-260974</f>
        <v>263412</v>
      </c>
      <c r="G152" s="21">
        <f>+D152-262290</f>
        <v>270122</v>
      </c>
      <c r="H152" s="23">
        <f t="shared" si="46"/>
        <v>-0.024840627568283962</v>
      </c>
      <c r="I152" s="24">
        <f t="shared" si="47"/>
        <v>42.14211388175886</v>
      </c>
      <c r="J152" s="24">
        <f t="shared" si="48"/>
        <v>83.89418299090399</v>
      </c>
      <c r="K152" s="21">
        <v>22098734.53</v>
      </c>
      <c r="L152" s="21">
        <v>20942441.98</v>
      </c>
      <c r="M152" s="25">
        <f t="shared" si="49"/>
        <v>0.05521288067094842</v>
      </c>
      <c r="N152" s="10"/>
      <c r="R152" s="2"/>
    </row>
    <row r="153" spans="1:18" ht="15.75" customHeight="1">
      <c r="A153" s="19"/>
      <c r="B153" s="20">
        <f>DATE(2018,4,1)</f>
        <v>43191</v>
      </c>
      <c r="C153" s="21">
        <v>423807</v>
      </c>
      <c r="D153" s="21">
        <v>473417</v>
      </c>
      <c r="E153" s="23">
        <f t="shared" si="45"/>
        <v>-0.10479133617930915</v>
      </c>
      <c r="F153" s="21">
        <f>+C153-207334</f>
        <v>216473</v>
      </c>
      <c r="G153" s="21">
        <f>+D153-234217</f>
        <v>239200</v>
      </c>
      <c r="H153" s="23">
        <f t="shared" si="46"/>
        <v>-0.09501254180602006</v>
      </c>
      <c r="I153" s="24">
        <f t="shared" si="47"/>
        <v>44.02253657915042</v>
      </c>
      <c r="J153" s="24">
        <f t="shared" si="48"/>
        <v>86.18654132386025</v>
      </c>
      <c r="K153" s="21">
        <v>18657059.16</v>
      </c>
      <c r="L153" s="21">
        <v>19695485.45</v>
      </c>
      <c r="M153" s="25">
        <f t="shared" si="49"/>
        <v>-0.05272407692799464</v>
      </c>
      <c r="N153" s="10"/>
      <c r="R153" s="2"/>
    </row>
    <row r="154" spans="1:18" ht="15.75" customHeight="1">
      <c r="A154" s="19"/>
      <c r="B154" s="20">
        <f>DATE(2018,5,1)</f>
        <v>43221</v>
      </c>
      <c r="C154" s="21">
        <v>416553</v>
      </c>
      <c r="D154" s="21">
        <v>448316</v>
      </c>
      <c r="E154" s="23">
        <f t="shared" si="45"/>
        <v>-0.0708495793145906</v>
      </c>
      <c r="F154" s="21">
        <f>+C154-196899</f>
        <v>219654</v>
      </c>
      <c r="G154" s="21">
        <f>+D154-212809</f>
        <v>235507</v>
      </c>
      <c r="H154" s="23">
        <f t="shared" si="46"/>
        <v>-0.0673143473442403</v>
      </c>
      <c r="I154" s="24">
        <f t="shared" si="47"/>
        <v>43.318098441254776</v>
      </c>
      <c r="J154" s="24">
        <f t="shared" si="48"/>
        <v>82.14866954391907</v>
      </c>
      <c r="K154" s="21">
        <v>18044283.86</v>
      </c>
      <c r="L154" s="21">
        <v>18644495.24</v>
      </c>
      <c r="M154" s="25">
        <f t="shared" si="49"/>
        <v>-0.03219241777660477</v>
      </c>
      <c r="N154" s="10"/>
      <c r="R154" s="2"/>
    </row>
    <row r="155" spans="1:18" ht="15.75" customHeight="1">
      <c r="A155" s="19"/>
      <c r="B155" s="20">
        <f>DATE(2018,6,1)</f>
        <v>43252</v>
      </c>
      <c r="C155" s="21">
        <v>422315</v>
      </c>
      <c r="D155" s="21">
        <v>437452</v>
      </c>
      <c r="E155" s="23">
        <f t="shared" si="45"/>
        <v>-0.03460265354827501</v>
      </c>
      <c r="F155" s="21">
        <f>+C155-196208</f>
        <v>226107</v>
      </c>
      <c r="G155" s="21">
        <f>+D155-215340</f>
        <v>222112</v>
      </c>
      <c r="H155" s="23">
        <f t="shared" si="46"/>
        <v>0.017986421264947414</v>
      </c>
      <c r="I155" s="24">
        <f t="shared" si="47"/>
        <v>45.72342287155322</v>
      </c>
      <c r="J155" s="24">
        <f t="shared" si="48"/>
        <v>85.40066132406338</v>
      </c>
      <c r="K155" s="21">
        <v>19309687.33</v>
      </c>
      <c r="L155" s="21">
        <v>17910278.13</v>
      </c>
      <c r="M155" s="25">
        <f t="shared" si="49"/>
        <v>0.07813442035028852</v>
      </c>
      <c r="N155" s="10"/>
      <c r="R155" s="2"/>
    </row>
    <row r="156" spans="1:18" ht="15.75" customHeight="1" thickBot="1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7.25" thickBot="1" thickTop="1">
      <c r="A157" s="39" t="s">
        <v>14</v>
      </c>
      <c r="B157" s="40"/>
      <c r="C157" s="41">
        <f>SUM(C144:C156)</f>
        <v>5306881</v>
      </c>
      <c r="D157" s="41">
        <f>SUM(D144:D156)</f>
        <v>5634571</v>
      </c>
      <c r="E157" s="280">
        <f>(+C157-D157)/D157</f>
        <v>-0.05815704514150234</v>
      </c>
      <c r="F157" s="41">
        <f>SUM(F144:F156)</f>
        <v>2734231</v>
      </c>
      <c r="G157" s="41">
        <f>SUM(G144:G156)</f>
        <v>2913752</v>
      </c>
      <c r="H157" s="42">
        <f>(+F157-G157)/G157</f>
        <v>-0.061611626521406074</v>
      </c>
      <c r="I157" s="43">
        <f>K157/C157</f>
        <v>42.28091883914487</v>
      </c>
      <c r="J157" s="43">
        <f>K157/F157</f>
        <v>82.0632217431519</v>
      </c>
      <c r="K157" s="41">
        <f>SUM(K144:K156)</f>
        <v>224379804.84999996</v>
      </c>
      <c r="L157" s="41">
        <f>SUM(L144:L156)</f>
        <v>224874027.05999997</v>
      </c>
      <c r="M157" s="44">
        <f>(+K157-L157)/L157</f>
        <v>-0.00219777364447759</v>
      </c>
      <c r="N157" s="10"/>
      <c r="R157" s="2"/>
    </row>
    <row r="158" spans="1:18" ht="15.75" customHeight="1" thickTop="1">
      <c r="A158" s="58"/>
      <c r="B158" s="59"/>
      <c r="C158" s="59"/>
      <c r="D158" s="59"/>
      <c r="E158" s="60"/>
      <c r="F158" s="59"/>
      <c r="G158" s="59"/>
      <c r="H158" s="60"/>
      <c r="I158" s="59"/>
      <c r="J158" s="59"/>
      <c r="K158" s="197"/>
      <c r="L158" s="197"/>
      <c r="M158" s="61"/>
      <c r="N158" s="10"/>
      <c r="R158" s="2"/>
    </row>
    <row r="159" spans="1:18" ht="15" customHeight="1">
      <c r="A159" s="19" t="s">
        <v>59</v>
      </c>
      <c r="B159" s="20">
        <f>DATE(2017,7,1)</f>
        <v>42917</v>
      </c>
      <c r="C159" s="21">
        <v>62927</v>
      </c>
      <c r="D159" s="21">
        <v>73310</v>
      </c>
      <c r="E159" s="23">
        <f aca="true" t="shared" si="50" ref="E159:E170">(+C159-D159)/D159</f>
        <v>-0.14163142818169416</v>
      </c>
      <c r="F159" s="21">
        <f>+C159-30201</f>
        <v>32726</v>
      </c>
      <c r="G159" s="21">
        <f>+D159-35214</f>
        <v>38096</v>
      </c>
      <c r="H159" s="23">
        <f aca="true" t="shared" si="51" ref="H159:H170">(+F159-G159)/G159</f>
        <v>-0.14095968080638388</v>
      </c>
      <c r="I159" s="24">
        <f aca="true" t="shared" si="52" ref="I159:I170">K159/C159</f>
        <v>46.5557015271664</v>
      </c>
      <c r="J159" s="24">
        <f aca="true" t="shared" si="53" ref="J159:J170">K159/F159</f>
        <v>89.51936166962048</v>
      </c>
      <c r="K159" s="21">
        <v>2929610.63</v>
      </c>
      <c r="L159" s="21">
        <v>3001887.38</v>
      </c>
      <c r="M159" s="25">
        <f aca="true" t="shared" si="54" ref="M159:M170">(+K159-L159)/L159</f>
        <v>-0.024077102452790884</v>
      </c>
      <c r="N159" s="10"/>
      <c r="R159" s="2"/>
    </row>
    <row r="160" spans="1:18" ht="15" customHeight="1">
      <c r="A160" s="19"/>
      <c r="B160" s="20">
        <f>DATE(2017,8,1)</f>
        <v>42948</v>
      </c>
      <c r="C160" s="21">
        <v>58528</v>
      </c>
      <c r="D160" s="21">
        <v>68681</v>
      </c>
      <c r="E160" s="23">
        <f t="shared" si="50"/>
        <v>-0.1478283659236179</v>
      </c>
      <c r="F160" s="21">
        <f>+C160-27538</f>
        <v>30990</v>
      </c>
      <c r="G160" s="21">
        <f>+D160-33144</f>
        <v>35537</v>
      </c>
      <c r="H160" s="23">
        <f t="shared" si="51"/>
        <v>-0.12795114950614853</v>
      </c>
      <c r="I160" s="24">
        <f t="shared" si="52"/>
        <v>45.66702706396938</v>
      </c>
      <c r="J160" s="24">
        <f t="shared" si="53"/>
        <v>86.24716876411745</v>
      </c>
      <c r="K160" s="21">
        <v>2672799.76</v>
      </c>
      <c r="L160" s="21">
        <v>2805830.16</v>
      </c>
      <c r="M160" s="25">
        <f t="shared" si="54"/>
        <v>-0.04741213559412319</v>
      </c>
      <c r="N160" s="10"/>
      <c r="R160" s="2"/>
    </row>
    <row r="161" spans="1:18" ht="15" customHeight="1">
      <c r="A161" s="19"/>
      <c r="B161" s="20">
        <f>DATE(2017,9,1)</f>
        <v>42979</v>
      </c>
      <c r="C161" s="21">
        <v>59418</v>
      </c>
      <c r="D161" s="21">
        <v>66932</v>
      </c>
      <c r="E161" s="23">
        <f t="shared" si="50"/>
        <v>-0.11226319249387438</v>
      </c>
      <c r="F161" s="21">
        <f>+C161-28421</f>
        <v>30997</v>
      </c>
      <c r="G161" s="21">
        <f>+D161-32466</f>
        <v>34466</v>
      </c>
      <c r="H161" s="23">
        <f t="shared" si="51"/>
        <v>-0.10064991585910753</v>
      </c>
      <c r="I161" s="24">
        <f t="shared" si="52"/>
        <v>46.52493638291427</v>
      </c>
      <c r="J161" s="24">
        <f t="shared" si="53"/>
        <v>89.18342646062521</v>
      </c>
      <c r="K161" s="21">
        <v>2764418.67</v>
      </c>
      <c r="L161" s="21">
        <v>2776425.81</v>
      </c>
      <c r="M161" s="25">
        <f t="shared" si="54"/>
        <v>-0.0043246752557743046</v>
      </c>
      <c r="N161" s="10"/>
      <c r="R161" s="2"/>
    </row>
    <row r="162" spans="1:18" ht="15" customHeight="1">
      <c r="A162" s="19"/>
      <c r="B162" s="20">
        <f>DATE(2017,10,1)</f>
        <v>43009</v>
      </c>
      <c r="C162" s="21">
        <v>52864</v>
      </c>
      <c r="D162" s="21">
        <v>66855</v>
      </c>
      <c r="E162" s="23">
        <f t="shared" si="50"/>
        <v>-0.2092738015107322</v>
      </c>
      <c r="F162" s="21">
        <f>+C162-24998</f>
        <v>27866</v>
      </c>
      <c r="G162" s="21">
        <f>+D162-32784</f>
        <v>34071</v>
      </c>
      <c r="H162" s="23">
        <f t="shared" si="51"/>
        <v>-0.18211969123301341</v>
      </c>
      <c r="I162" s="24">
        <f t="shared" si="52"/>
        <v>48.50260025726392</v>
      </c>
      <c r="J162" s="24">
        <f t="shared" si="53"/>
        <v>92.01325845115912</v>
      </c>
      <c r="K162" s="21">
        <v>2564041.46</v>
      </c>
      <c r="L162" s="21">
        <v>2823578.15</v>
      </c>
      <c r="M162" s="25">
        <f t="shared" si="54"/>
        <v>-0.09191765774218078</v>
      </c>
      <c r="N162" s="10"/>
      <c r="R162" s="2"/>
    </row>
    <row r="163" spans="1:18" ht="15" customHeight="1">
      <c r="A163" s="19"/>
      <c r="B163" s="20">
        <f>DATE(2017,11,1)</f>
        <v>43040</v>
      </c>
      <c r="C163" s="21">
        <v>54003</v>
      </c>
      <c r="D163" s="21">
        <v>61969</v>
      </c>
      <c r="E163" s="23">
        <f t="shared" si="50"/>
        <v>-0.12854814504026207</v>
      </c>
      <c r="F163" s="21">
        <f>+C163-25453</f>
        <v>28550</v>
      </c>
      <c r="G163" s="21">
        <f>+D163-31011</f>
        <v>30958</v>
      </c>
      <c r="H163" s="23">
        <f t="shared" si="51"/>
        <v>-0.07778280250662188</v>
      </c>
      <c r="I163" s="24">
        <f t="shared" si="52"/>
        <v>46.12329852045257</v>
      </c>
      <c r="J163" s="24">
        <f t="shared" si="53"/>
        <v>87.24330963222418</v>
      </c>
      <c r="K163" s="21">
        <v>2490796.49</v>
      </c>
      <c r="L163" s="21">
        <v>2631435.77</v>
      </c>
      <c r="M163" s="25">
        <f t="shared" si="54"/>
        <v>-0.05344583424888223</v>
      </c>
      <c r="N163" s="10"/>
      <c r="R163" s="2"/>
    </row>
    <row r="164" spans="1:18" ht="15" customHeight="1">
      <c r="A164" s="19"/>
      <c r="B164" s="20">
        <f>DATE(2017,12,1)</f>
        <v>43070</v>
      </c>
      <c r="C164" s="21">
        <v>55987</v>
      </c>
      <c r="D164" s="21">
        <v>62520</v>
      </c>
      <c r="E164" s="23">
        <f t="shared" si="50"/>
        <v>-0.10449456174024312</v>
      </c>
      <c r="F164" s="21">
        <f>+C164-26854</f>
        <v>29133</v>
      </c>
      <c r="G164" s="21">
        <f>+D164-31131</f>
        <v>31389</v>
      </c>
      <c r="H164" s="23">
        <f t="shared" si="51"/>
        <v>-0.07187231195641786</v>
      </c>
      <c r="I164" s="24">
        <f t="shared" si="52"/>
        <v>47.4045569507207</v>
      </c>
      <c r="J164" s="24">
        <f t="shared" si="53"/>
        <v>91.10077678234305</v>
      </c>
      <c r="K164" s="21">
        <v>2654038.93</v>
      </c>
      <c r="L164" s="21">
        <v>2786931.09</v>
      </c>
      <c r="M164" s="25">
        <f t="shared" si="54"/>
        <v>-0.04768404948254379</v>
      </c>
      <c r="N164" s="10"/>
      <c r="R164" s="2"/>
    </row>
    <row r="165" spans="1:18" ht="15" customHeight="1">
      <c r="A165" s="19"/>
      <c r="B165" s="20">
        <f>DATE(2018,1,1)</f>
        <v>43101</v>
      </c>
      <c r="C165" s="21">
        <v>52482</v>
      </c>
      <c r="D165" s="21">
        <v>64608</v>
      </c>
      <c r="E165" s="23">
        <f t="shared" si="50"/>
        <v>-0.18768573551263001</v>
      </c>
      <c r="F165" s="21">
        <f>+C165-25959</f>
        <v>26523</v>
      </c>
      <c r="G165" s="21">
        <f>+D165-31755</f>
        <v>32853</v>
      </c>
      <c r="H165" s="23">
        <f t="shared" si="51"/>
        <v>-0.19267646790247467</v>
      </c>
      <c r="I165" s="24">
        <f t="shared" si="52"/>
        <v>48.66601844441904</v>
      </c>
      <c r="J165" s="24">
        <f t="shared" si="53"/>
        <v>96.29717528183086</v>
      </c>
      <c r="K165" s="21">
        <v>2554089.98</v>
      </c>
      <c r="L165" s="21">
        <v>2744182.31</v>
      </c>
      <c r="M165" s="25">
        <f t="shared" si="54"/>
        <v>-0.0692710281336957</v>
      </c>
      <c r="N165" s="10"/>
      <c r="R165" s="2"/>
    </row>
    <row r="166" spans="1:18" ht="15" customHeight="1">
      <c r="A166" s="19"/>
      <c r="B166" s="20">
        <f>DATE(2018,2,1)</f>
        <v>43132</v>
      </c>
      <c r="C166" s="21">
        <v>54321</v>
      </c>
      <c r="D166" s="21">
        <v>71597</v>
      </c>
      <c r="E166" s="23">
        <f t="shared" si="50"/>
        <v>-0.24129502632791877</v>
      </c>
      <c r="F166" s="21">
        <f>+C166-26653</f>
        <v>27668</v>
      </c>
      <c r="G166" s="21">
        <f>+D166-35305</f>
        <v>36292</v>
      </c>
      <c r="H166" s="23">
        <f t="shared" si="51"/>
        <v>-0.23762812741099967</v>
      </c>
      <c r="I166" s="24">
        <f t="shared" si="52"/>
        <v>48.37616483496254</v>
      </c>
      <c r="J166" s="24">
        <f t="shared" si="53"/>
        <v>94.97765107705652</v>
      </c>
      <c r="K166" s="21">
        <v>2627841.65</v>
      </c>
      <c r="L166" s="21">
        <v>2870098.11</v>
      </c>
      <c r="M166" s="25">
        <f t="shared" si="54"/>
        <v>-0.0844070309498932</v>
      </c>
      <c r="N166" s="10"/>
      <c r="R166" s="2"/>
    </row>
    <row r="167" spans="1:18" ht="15" customHeight="1">
      <c r="A167" s="19"/>
      <c r="B167" s="20">
        <f>DATE(2018,3,1)</f>
        <v>43160</v>
      </c>
      <c r="C167" s="21">
        <v>72081</v>
      </c>
      <c r="D167" s="21">
        <v>80322</v>
      </c>
      <c r="E167" s="23">
        <f t="shared" si="50"/>
        <v>-0.1025995368641219</v>
      </c>
      <c r="F167" s="21">
        <f>+C167-35399</f>
        <v>36682</v>
      </c>
      <c r="G167" s="21">
        <f>+D167-39470</f>
        <v>40852</v>
      </c>
      <c r="H167" s="23">
        <f t="shared" si="51"/>
        <v>-0.10207578576324293</v>
      </c>
      <c r="I167" s="24">
        <f t="shared" si="52"/>
        <v>50.13988346443584</v>
      </c>
      <c r="J167" s="24">
        <f t="shared" si="53"/>
        <v>98.5260601930102</v>
      </c>
      <c r="K167" s="21">
        <v>3614132.94</v>
      </c>
      <c r="L167" s="21">
        <v>3274329.22</v>
      </c>
      <c r="M167" s="25">
        <f t="shared" si="54"/>
        <v>0.10377811672828663</v>
      </c>
      <c r="N167" s="10"/>
      <c r="R167" s="2"/>
    </row>
    <row r="168" spans="1:18" ht="15" customHeight="1">
      <c r="A168" s="19"/>
      <c r="B168" s="20">
        <f>DATE(2018,4,1)</f>
        <v>43191</v>
      </c>
      <c r="C168" s="21">
        <v>60066</v>
      </c>
      <c r="D168" s="21">
        <v>72550</v>
      </c>
      <c r="E168" s="23">
        <f t="shared" si="50"/>
        <v>-0.17207443142660234</v>
      </c>
      <c r="F168" s="21">
        <f>+C168-29108</f>
        <v>30958</v>
      </c>
      <c r="G168" s="21">
        <f>+D168-34427</f>
        <v>38123</v>
      </c>
      <c r="H168" s="23">
        <f t="shared" si="51"/>
        <v>-0.18794428560186763</v>
      </c>
      <c r="I168" s="24">
        <f t="shared" si="52"/>
        <v>48.44034079179569</v>
      </c>
      <c r="J168" s="24">
        <f t="shared" si="53"/>
        <v>93.9859651786291</v>
      </c>
      <c r="K168" s="21">
        <v>2909617.51</v>
      </c>
      <c r="L168" s="21">
        <v>2988566.55</v>
      </c>
      <c r="M168" s="25">
        <f t="shared" si="54"/>
        <v>-0.026417025914982566</v>
      </c>
      <c r="N168" s="10"/>
      <c r="R168" s="2"/>
    </row>
    <row r="169" spans="1:18" ht="15" customHeight="1">
      <c r="A169" s="19"/>
      <c r="B169" s="20">
        <f>DATE(2018,5,1)</f>
        <v>43221</v>
      </c>
      <c r="C169" s="21">
        <v>60028</v>
      </c>
      <c r="D169" s="21">
        <v>66410</v>
      </c>
      <c r="E169" s="23">
        <f t="shared" si="50"/>
        <v>-0.0960999849420268</v>
      </c>
      <c r="F169" s="21">
        <f>+C169-28729</f>
        <v>31299</v>
      </c>
      <c r="G169" s="21">
        <f>+D169-30782</f>
        <v>35628</v>
      </c>
      <c r="H169" s="23">
        <f t="shared" si="51"/>
        <v>-0.12150555742674302</v>
      </c>
      <c r="I169" s="24">
        <f t="shared" si="52"/>
        <v>48.74272722729393</v>
      </c>
      <c r="J169" s="24">
        <f t="shared" si="53"/>
        <v>93.48312821495895</v>
      </c>
      <c r="K169" s="21">
        <v>2925928.43</v>
      </c>
      <c r="L169" s="21">
        <v>2875557.16</v>
      </c>
      <c r="M169" s="25">
        <f t="shared" si="54"/>
        <v>0.017517047026809934</v>
      </c>
      <c r="N169" s="10"/>
      <c r="R169" s="2"/>
    </row>
    <row r="170" spans="1:18" ht="15" customHeight="1">
      <c r="A170" s="19"/>
      <c r="B170" s="20">
        <f>DATE(2018,6,1)</f>
        <v>43252</v>
      </c>
      <c r="C170" s="21">
        <v>62196</v>
      </c>
      <c r="D170" s="21">
        <v>59896</v>
      </c>
      <c r="E170" s="23">
        <f t="shared" si="50"/>
        <v>0.038399893148123414</v>
      </c>
      <c r="F170" s="21">
        <f>+C170-29603</f>
        <v>32593</v>
      </c>
      <c r="G170" s="21">
        <f>+D170-28381</f>
        <v>31515</v>
      </c>
      <c r="H170" s="23">
        <f t="shared" si="51"/>
        <v>0.03420593368237347</v>
      </c>
      <c r="I170" s="24">
        <f t="shared" si="52"/>
        <v>46.33006608142003</v>
      </c>
      <c r="J170" s="24">
        <f t="shared" si="53"/>
        <v>88.40992820544288</v>
      </c>
      <c r="K170" s="21">
        <v>2881544.79</v>
      </c>
      <c r="L170" s="21">
        <v>2687013.79</v>
      </c>
      <c r="M170" s="25">
        <f t="shared" si="54"/>
        <v>0.07239672558584077</v>
      </c>
      <c r="N170" s="10"/>
      <c r="R170" s="2"/>
    </row>
    <row r="171" spans="1:18" ht="15.75" thickBot="1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7.25" thickBot="1" thickTop="1">
      <c r="A172" s="62" t="s">
        <v>14</v>
      </c>
      <c r="B172" s="52"/>
      <c r="C172" s="48">
        <f>SUM(C159:C171)</f>
        <v>704901</v>
      </c>
      <c r="D172" s="48">
        <f>SUM(D159:D171)</f>
        <v>815650</v>
      </c>
      <c r="E172" s="280">
        <f>(+C172-D172)/D172</f>
        <v>-0.13578005271869062</v>
      </c>
      <c r="F172" s="48">
        <f>SUM(F159:F171)</f>
        <v>365985</v>
      </c>
      <c r="G172" s="48">
        <f>SUM(G159:G171)</f>
        <v>419780</v>
      </c>
      <c r="H172" s="42">
        <f>(+F172-G172)/G172</f>
        <v>-0.12815045976463862</v>
      </c>
      <c r="I172" s="50">
        <f>K172/C172</f>
        <v>47.65046615056582</v>
      </c>
      <c r="J172" s="50">
        <f>K172/F172</f>
        <v>91.77660625435468</v>
      </c>
      <c r="K172" s="48">
        <f>SUM(K159:K171)</f>
        <v>33588861.239999995</v>
      </c>
      <c r="L172" s="48">
        <f>SUM(L159:L171)</f>
        <v>34265835.5</v>
      </c>
      <c r="M172" s="44">
        <f>(+K172-L172)/L172</f>
        <v>-0.01975653738254844</v>
      </c>
      <c r="N172" s="10"/>
      <c r="R172" s="2"/>
    </row>
    <row r="173" spans="1:18" ht="15.75" customHeight="1" thickTop="1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.75">
      <c r="A174" s="19" t="s">
        <v>19</v>
      </c>
      <c r="B174" s="20">
        <f>DATE(2017,7,1)</f>
        <v>42917</v>
      </c>
      <c r="C174" s="21">
        <v>504566</v>
      </c>
      <c r="D174" s="21">
        <v>563540</v>
      </c>
      <c r="E174" s="23">
        <f aca="true" t="shared" si="55" ref="E174:E185">(+C174-D174)/D174</f>
        <v>-0.10464918195691521</v>
      </c>
      <c r="F174" s="21">
        <f>+C174-244721</f>
        <v>259845</v>
      </c>
      <c r="G174" s="21">
        <f>+D174-291099</f>
        <v>272441</v>
      </c>
      <c r="H174" s="23">
        <f aca="true" t="shared" si="56" ref="H174:H185">(+F174-G174)/G174</f>
        <v>-0.04623386347869814</v>
      </c>
      <c r="I174" s="24">
        <f aca="true" t="shared" si="57" ref="I174:I185">K174/C174</f>
        <v>47.04090033811236</v>
      </c>
      <c r="J174" s="24">
        <f aca="true" t="shared" si="58" ref="J174:J185">K174/F174</f>
        <v>91.34383544035869</v>
      </c>
      <c r="K174" s="21">
        <v>23735238.92</v>
      </c>
      <c r="L174" s="21">
        <v>23596498.81</v>
      </c>
      <c r="M174" s="25">
        <f aca="true" t="shared" si="59" ref="M174:M185">(+K174-L174)/L174</f>
        <v>0.005879690504813631</v>
      </c>
      <c r="N174" s="10"/>
      <c r="R174" s="2"/>
    </row>
    <row r="175" spans="1:18" ht="15.75">
      <c r="A175" s="19"/>
      <c r="B175" s="20">
        <f>DATE(2017,8,1)</f>
        <v>42948</v>
      </c>
      <c r="C175" s="21">
        <v>457218</v>
      </c>
      <c r="D175" s="21">
        <v>486709</v>
      </c>
      <c r="E175" s="23">
        <f t="shared" si="55"/>
        <v>-0.06059267447283695</v>
      </c>
      <c r="F175" s="21">
        <f>+C175-220228</f>
        <v>236990</v>
      </c>
      <c r="G175" s="21">
        <f>+D175-236659</f>
        <v>250050</v>
      </c>
      <c r="H175" s="23">
        <f t="shared" si="56"/>
        <v>-0.052229554089182166</v>
      </c>
      <c r="I175" s="24">
        <f t="shared" si="57"/>
        <v>46.81798590606669</v>
      </c>
      <c r="J175" s="24">
        <f t="shared" si="58"/>
        <v>90.32459546816321</v>
      </c>
      <c r="K175" s="21">
        <v>21406025.88</v>
      </c>
      <c r="L175" s="21">
        <v>20653783.03</v>
      </c>
      <c r="M175" s="25">
        <f t="shared" si="59"/>
        <v>0.0364215528413052</v>
      </c>
      <c r="N175" s="10"/>
      <c r="R175" s="2"/>
    </row>
    <row r="176" spans="1:18" ht="15.75">
      <c r="A176" s="19"/>
      <c r="B176" s="20">
        <f>DATE(2017,9,1)</f>
        <v>42979</v>
      </c>
      <c r="C176" s="21">
        <v>469781</v>
      </c>
      <c r="D176" s="21">
        <v>486459</v>
      </c>
      <c r="E176" s="23">
        <f t="shared" si="55"/>
        <v>-0.03428449262938912</v>
      </c>
      <c r="F176" s="21">
        <f>+C176-233419</f>
        <v>236362</v>
      </c>
      <c r="G176" s="21">
        <f>+D176-234302</f>
        <v>252157</v>
      </c>
      <c r="H176" s="23">
        <f t="shared" si="56"/>
        <v>-0.06263954599713671</v>
      </c>
      <c r="I176" s="24">
        <f t="shared" si="57"/>
        <v>46.84166528659099</v>
      </c>
      <c r="J176" s="24">
        <f t="shared" si="58"/>
        <v>93.10009375449522</v>
      </c>
      <c r="K176" s="21">
        <v>22005324.36</v>
      </c>
      <c r="L176" s="21">
        <v>21731947.99</v>
      </c>
      <c r="M176" s="25">
        <f t="shared" si="59"/>
        <v>0.012579469181768508</v>
      </c>
      <c r="N176" s="10"/>
      <c r="R176" s="2"/>
    </row>
    <row r="177" spans="1:18" ht="15.75">
      <c r="A177" s="19"/>
      <c r="B177" s="20">
        <f>DATE(2017,10,1)</f>
        <v>43009</v>
      </c>
      <c r="C177" s="21">
        <v>443959</v>
      </c>
      <c r="D177" s="21">
        <v>477593</v>
      </c>
      <c r="E177" s="23">
        <f t="shared" si="55"/>
        <v>-0.07042398025096683</v>
      </c>
      <c r="F177" s="21">
        <f>+C177-215005</f>
        <v>228954</v>
      </c>
      <c r="G177" s="21">
        <f>+D177-232483</f>
        <v>245110</v>
      </c>
      <c r="H177" s="23">
        <f t="shared" si="56"/>
        <v>-0.06591326343274448</v>
      </c>
      <c r="I177" s="24">
        <f t="shared" si="57"/>
        <v>47.42121524735392</v>
      </c>
      <c r="J177" s="24">
        <f t="shared" si="58"/>
        <v>91.95329760563257</v>
      </c>
      <c r="K177" s="21">
        <v>21053075.3</v>
      </c>
      <c r="L177" s="21">
        <v>21659363.64</v>
      </c>
      <c r="M177" s="25">
        <f t="shared" si="59"/>
        <v>-0.027991973821443254</v>
      </c>
      <c r="N177" s="10"/>
      <c r="R177" s="2"/>
    </row>
    <row r="178" spans="1:18" ht="15.75">
      <c r="A178" s="19"/>
      <c r="B178" s="20">
        <f>DATE(2017,11,1)</f>
        <v>43040</v>
      </c>
      <c r="C178" s="21">
        <v>438651</v>
      </c>
      <c r="D178" s="21">
        <v>459053</v>
      </c>
      <c r="E178" s="23">
        <f t="shared" si="55"/>
        <v>-0.044443669903039516</v>
      </c>
      <c r="F178" s="21">
        <f>+C178-216495</f>
        <v>222156</v>
      </c>
      <c r="G178" s="21">
        <f>+D178-224175</f>
        <v>234878</v>
      </c>
      <c r="H178" s="23">
        <f t="shared" si="56"/>
        <v>-0.054164289546062214</v>
      </c>
      <c r="I178" s="24">
        <f t="shared" si="57"/>
        <v>47.66654841776264</v>
      </c>
      <c r="J178" s="24">
        <f t="shared" si="58"/>
        <v>94.11845338410846</v>
      </c>
      <c r="K178" s="21">
        <v>20908979.13</v>
      </c>
      <c r="L178" s="21">
        <v>19929888.68</v>
      </c>
      <c r="M178" s="25">
        <f t="shared" si="59"/>
        <v>0.049126739527779406</v>
      </c>
      <c r="N178" s="10"/>
      <c r="R178" s="2"/>
    </row>
    <row r="179" spans="1:18" ht="15.75">
      <c r="A179" s="19"/>
      <c r="B179" s="20">
        <f>DATE(2017,12,1)</f>
        <v>43070</v>
      </c>
      <c r="C179" s="21">
        <v>489188</v>
      </c>
      <c r="D179" s="21">
        <v>472440</v>
      </c>
      <c r="E179" s="23">
        <f t="shared" si="55"/>
        <v>0.0354500042333418</v>
      </c>
      <c r="F179" s="21">
        <f>+C179-242094</f>
        <v>247094</v>
      </c>
      <c r="G179" s="21">
        <f>+D179-231079</f>
        <v>241361</v>
      </c>
      <c r="H179" s="23">
        <f t="shared" si="56"/>
        <v>0.023752801819680893</v>
      </c>
      <c r="I179" s="24">
        <f t="shared" si="57"/>
        <v>45.852801458743876</v>
      </c>
      <c r="J179" s="24">
        <f t="shared" si="58"/>
        <v>90.7777616615539</v>
      </c>
      <c r="K179" s="21">
        <v>22430640.24</v>
      </c>
      <c r="L179" s="21">
        <v>22002920</v>
      </c>
      <c r="M179" s="25">
        <f t="shared" si="59"/>
        <v>0.01943924897240904</v>
      </c>
      <c r="N179" s="10"/>
      <c r="R179" s="2"/>
    </row>
    <row r="180" spans="1:18" ht="15.75">
      <c r="A180" s="19"/>
      <c r="B180" s="20">
        <f>DATE(2018,1,1)</f>
        <v>43101</v>
      </c>
      <c r="C180" s="21">
        <v>417488</v>
      </c>
      <c r="D180" s="21">
        <v>431914</v>
      </c>
      <c r="E180" s="23">
        <f t="shared" si="55"/>
        <v>-0.033400167625962575</v>
      </c>
      <c r="F180" s="21">
        <f>+C180-207200</f>
        <v>210288</v>
      </c>
      <c r="G180" s="21">
        <f>+D180-215306</f>
        <v>216608</v>
      </c>
      <c r="H180" s="23">
        <f t="shared" si="56"/>
        <v>-0.029177131038558134</v>
      </c>
      <c r="I180" s="24">
        <f t="shared" si="57"/>
        <v>48.03263665063427</v>
      </c>
      <c r="J180" s="24">
        <f t="shared" si="58"/>
        <v>95.35993214068326</v>
      </c>
      <c r="K180" s="21">
        <v>20053049.41</v>
      </c>
      <c r="L180" s="21">
        <v>19897433.17</v>
      </c>
      <c r="M180" s="25">
        <f t="shared" si="59"/>
        <v>0.007820920350401073</v>
      </c>
      <c r="N180" s="10"/>
      <c r="R180" s="2"/>
    </row>
    <row r="181" spans="1:18" ht="15.75">
      <c r="A181" s="19"/>
      <c r="B181" s="20">
        <f>DATE(2018,2,1)</f>
        <v>43132</v>
      </c>
      <c r="C181" s="21">
        <v>430711</v>
      </c>
      <c r="D181" s="21">
        <v>452807</v>
      </c>
      <c r="E181" s="23">
        <f t="shared" si="55"/>
        <v>-0.04879783218899001</v>
      </c>
      <c r="F181" s="21">
        <f>+C181-217330</f>
        <v>213381</v>
      </c>
      <c r="G181" s="21">
        <f>+D181-220846</f>
        <v>231961</v>
      </c>
      <c r="H181" s="23">
        <f t="shared" si="56"/>
        <v>-0.08009967192760852</v>
      </c>
      <c r="I181" s="24">
        <f t="shared" si="57"/>
        <v>47.66773295783019</v>
      </c>
      <c r="J181" s="24">
        <f t="shared" si="58"/>
        <v>96.21764322971586</v>
      </c>
      <c r="K181" s="21">
        <v>20531016.93</v>
      </c>
      <c r="L181" s="21">
        <v>21299823.14</v>
      </c>
      <c r="M181" s="25">
        <f t="shared" si="59"/>
        <v>-0.03609448796578134</v>
      </c>
      <c r="N181" s="10"/>
      <c r="R181" s="2"/>
    </row>
    <row r="182" spans="1:18" ht="15.75">
      <c r="A182" s="19"/>
      <c r="B182" s="20">
        <f>DATE(2018,3,1)</f>
        <v>43160</v>
      </c>
      <c r="C182" s="21">
        <v>521467</v>
      </c>
      <c r="D182" s="21">
        <v>526085</v>
      </c>
      <c r="E182" s="23">
        <f t="shared" si="55"/>
        <v>-0.008778049174563046</v>
      </c>
      <c r="F182" s="21">
        <f>+C182-260794</f>
        <v>260673</v>
      </c>
      <c r="G182" s="21">
        <f>+D182-262524</f>
        <v>263561</v>
      </c>
      <c r="H182" s="23">
        <f t="shared" si="56"/>
        <v>-0.010957615125151293</v>
      </c>
      <c r="I182" s="24">
        <f t="shared" si="57"/>
        <v>49.03701724174301</v>
      </c>
      <c r="J182" s="24">
        <f t="shared" si="58"/>
        <v>98.09679663793335</v>
      </c>
      <c r="K182" s="21">
        <v>25571186.27</v>
      </c>
      <c r="L182" s="21">
        <v>24915267.97</v>
      </c>
      <c r="M182" s="25">
        <f t="shared" si="59"/>
        <v>0.026325958074774853</v>
      </c>
      <c r="N182" s="10"/>
      <c r="R182" s="2"/>
    </row>
    <row r="183" spans="1:18" ht="15.75">
      <c r="A183" s="19"/>
      <c r="B183" s="20">
        <f>DATE(2018,4,1)</f>
        <v>43191</v>
      </c>
      <c r="C183" s="21">
        <v>465006</v>
      </c>
      <c r="D183" s="21">
        <v>479757</v>
      </c>
      <c r="E183" s="23">
        <f t="shared" si="55"/>
        <v>-0.03074681557538504</v>
      </c>
      <c r="F183" s="21">
        <f>+C183-234252</f>
        <v>230754</v>
      </c>
      <c r="G183" s="21">
        <f>+D183-241216</f>
        <v>238541</v>
      </c>
      <c r="H183" s="23">
        <f t="shared" si="56"/>
        <v>-0.03264428337266969</v>
      </c>
      <c r="I183" s="24">
        <f t="shared" si="57"/>
        <v>48.25875414510781</v>
      </c>
      <c r="J183" s="24">
        <f t="shared" si="58"/>
        <v>97.2490627681427</v>
      </c>
      <c r="K183" s="21">
        <v>22440610.23</v>
      </c>
      <c r="L183" s="21">
        <v>21938363.06</v>
      </c>
      <c r="M183" s="25">
        <f t="shared" si="59"/>
        <v>0.022893557218758225</v>
      </c>
      <c r="N183" s="10"/>
      <c r="R183" s="2"/>
    </row>
    <row r="184" spans="1:18" ht="15.75">
      <c r="A184" s="19"/>
      <c r="B184" s="20">
        <f>DATE(2018,5,1)</f>
        <v>43221</v>
      </c>
      <c r="C184" s="21">
        <v>440547</v>
      </c>
      <c r="D184" s="21">
        <v>472678</v>
      </c>
      <c r="E184" s="23">
        <f t="shared" si="55"/>
        <v>-0.06797650832067496</v>
      </c>
      <c r="F184" s="21">
        <f>+C184-216178</f>
        <v>224369</v>
      </c>
      <c r="G184" s="21">
        <f>+D184-231634</f>
        <v>241044</v>
      </c>
      <c r="H184" s="23">
        <f t="shared" si="56"/>
        <v>-0.06917824131693799</v>
      </c>
      <c r="I184" s="24">
        <f t="shared" si="57"/>
        <v>50.55996275085292</v>
      </c>
      <c r="J184" s="24">
        <f t="shared" si="58"/>
        <v>99.27414174863729</v>
      </c>
      <c r="K184" s="21">
        <v>22274039.91</v>
      </c>
      <c r="L184" s="21">
        <v>22415506.22</v>
      </c>
      <c r="M184" s="25">
        <f t="shared" si="59"/>
        <v>-0.0063110914655042155</v>
      </c>
      <c r="N184" s="10"/>
      <c r="R184" s="2"/>
    </row>
    <row r="185" spans="1:18" ht="15.75">
      <c r="A185" s="19"/>
      <c r="B185" s="20">
        <f>DATE(2018,6,1)</f>
        <v>43252</v>
      </c>
      <c r="C185" s="21">
        <v>454381</v>
      </c>
      <c r="D185" s="21">
        <v>445138</v>
      </c>
      <c r="E185" s="23">
        <f t="shared" si="55"/>
        <v>0.020764347236138007</v>
      </c>
      <c r="F185" s="21">
        <f>+C185-221715</f>
        <v>232666</v>
      </c>
      <c r="G185" s="21">
        <f>+D185-217855</f>
        <v>227283</v>
      </c>
      <c r="H185" s="23">
        <f t="shared" si="56"/>
        <v>0.023684129477347625</v>
      </c>
      <c r="I185" s="24">
        <f t="shared" si="57"/>
        <v>48.933389996500736</v>
      </c>
      <c r="J185" s="24">
        <f t="shared" si="58"/>
        <v>95.56360912208918</v>
      </c>
      <c r="K185" s="21">
        <v>22234402.68</v>
      </c>
      <c r="L185" s="21">
        <v>21255588.5</v>
      </c>
      <c r="M185" s="25">
        <f t="shared" si="59"/>
        <v>0.04604973322662883</v>
      </c>
      <c r="N185" s="10"/>
      <c r="R185" s="2"/>
    </row>
    <row r="186" spans="1:18" ht="15.75" thickBot="1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7.25" thickBot="1" thickTop="1">
      <c r="A187" s="39" t="s">
        <v>14</v>
      </c>
      <c r="B187" s="40"/>
      <c r="C187" s="41">
        <f>SUM(C174:C186)</f>
        <v>5532963</v>
      </c>
      <c r="D187" s="41">
        <f>SUM(D174:D186)</f>
        <v>5754173</v>
      </c>
      <c r="E187" s="280">
        <f>(+C187-D187)/D187</f>
        <v>-0.03844340446489878</v>
      </c>
      <c r="F187" s="41">
        <f>SUM(F174:F186)</f>
        <v>2803532</v>
      </c>
      <c r="G187" s="41">
        <f>SUM(G174:G186)</f>
        <v>2914995</v>
      </c>
      <c r="H187" s="42">
        <f>(+F187-G187)/G187</f>
        <v>-0.03823780143705221</v>
      </c>
      <c r="I187" s="43">
        <f>K187/C187</f>
        <v>47.83035586176882</v>
      </c>
      <c r="J187" s="43">
        <f>K187/F187</f>
        <v>94.39649315934328</v>
      </c>
      <c r="K187" s="41">
        <f>SUM(K174:K186)</f>
        <v>264643589.26</v>
      </c>
      <c r="L187" s="41">
        <f>SUM(L174:L186)</f>
        <v>261296384.20999998</v>
      </c>
      <c r="M187" s="44">
        <f>(+K187-L187)/L187</f>
        <v>0.012809993755251943</v>
      </c>
      <c r="N187" s="10"/>
      <c r="R187" s="2"/>
    </row>
    <row r="188" spans="1:18" ht="15.75" customHeight="1" thickTop="1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.75">
      <c r="A189" s="19" t="s">
        <v>63</v>
      </c>
      <c r="B189" s="20">
        <f>DATE(2017,7,1)</f>
        <v>42917</v>
      </c>
      <c r="C189" s="21">
        <v>79906</v>
      </c>
      <c r="D189" s="21">
        <v>90995</v>
      </c>
      <c r="E189" s="23">
        <f aca="true" t="shared" si="60" ref="E189:E200">(+C189-D189)/D189</f>
        <v>-0.12186383867245452</v>
      </c>
      <c r="F189" s="21">
        <f>+C189-36860</f>
        <v>43046</v>
      </c>
      <c r="G189" s="21">
        <f>+D189-43310</f>
        <v>47685</v>
      </c>
      <c r="H189" s="23">
        <f aca="true" t="shared" si="61" ref="H189:H200">(+F189-G189)/G189</f>
        <v>-0.09728426129810212</v>
      </c>
      <c r="I189" s="24">
        <f aca="true" t="shared" si="62" ref="I189:I200">K189/C189</f>
        <v>41.48382036392761</v>
      </c>
      <c r="J189" s="24">
        <f aca="true" t="shared" si="63" ref="J189:J200">K189/F189</f>
        <v>77.00613645867212</v>
      </c>
      <c r="K189" s="21">
        <v>3314806.15</v>
      </c>
      <c r="L189" s="21">
        <v>3405161.57</v>
      </c>
      <c r="M189" s="25">
        <f aca="true" t="shared" si="64" ref="M189:M200">(+K189-L189)/L189</f>
        <v>-0.026534840753532858</v>
      </c>
      <c r="N189" s="10"/>
      <c r="R189" s="2"/>
    </row>
    <row r="190" spans="1:18" ht="15.75">
      <c r="A190" s="19"/>
      <c r="B190" s="20">
        <f>DATE(2017,8,1)</f>
        <v>42948</v>
      </c>
      <c r="C190" s="21">
        <v>79783</v>
      </c>
      <c r="D190" s="21">
        <v>81875</v>
      </c>
      <c r="E190" s="23">
        <f t="shared" si="60"/>
        <v>-0.02555114503816794</v>
      </c>
      <c r="F190" s="21">
        <f>+C190-35821</f>
        <v>43962</v>
      </c>
      <c r="G190" s="21">
        <f>+D190-38874</f>
        <v>43001</v>
      </c>
      <c r="H190" s="23">
        <f t="shared" si="61"/>
        <v>0.022348317480988814</v>
      </c>
      <c r="I190" s="24">
        <f t="shared" si="62"/>
        <v>40.543974656255095</v>
      </c>
      <c r="J190" s="24">
        <f t="shared" si="63"/>
        <v>73.5799083299213</v>
      </c>
      <c r="K190" s="21">
        <v>3234719.93</v>
      </c>
      <c r="L190" s="21">
        <v>3227442.54</v>
      </c>
      <c r="M190" s="25">
        <f t="shared" si="64"/>
        <v>0.002254847269875835</v>
      </c>
      <c r="N190" s="10"/>
      <c r="R190" s="2"/>
    </row>
    <row r="191" spans="1:18" ht="15.75">
      <c r="A191" s="19"/>
      <c r="B191" s="20">
        <f>DATE(2017,9,1)</f>
        <v>42979</v>
      </c>
      <c r="C191" s="21">
        <v>84353</v>
      </c>
      <c r="D191" s="21">
        <v>77996</v>
      </c>
      <c r="E191" s="23">
        <f t="shared" si="60"/>
        <v>0.08150417970152316</v>
      </c>
      <c r="F191" s="21">
        <f>+C191-38205</f>
        <v>46148</v>
      </c>
      <c r="G191" s="21">
        <f>+D191-37134</f>
        <v>40862</v>
      </c>
      <c r="H191" s="23">
        <f t="shared" si="61"/>
        <v>0.12936224364935636</v>
      </c>
      <c r="I191" s="24">
        <f t="shared" si="62"/>
        <v>41.11766030846562</v>
      </c>
      <c r="J191" s="24">
        <f t="shared" si="63"/>
        <v>75.15814336482622</v>
      </c>
      <c r="K191" s="21">
        <v>3468398</v>
      </c>
      <c r="L191" s="21">
        <v>3211171.21</v>
      </c>
      <c r="M191" s="25">
        <f t="shared" si="64"/>
        <v>0.08010372950497399</v>
      </c>
      <c r="N191" s="10"/>
      <c r="R191" s="2"/>
    </row>
    <row r="192" spans="1:18" ht="15.75">
      <c r="A192" s="19"/>
      <c r="B192" s="20">
        <f>DATE(2017,10,1)</f>
        <v>43009</v>
      </c>
      <c r="C192" s="21">
        <v>80014</v>
      </c>
      <c r="D192" s="21">
        <v>81415</v>
      </c>
      <c r="E192" s="23">
        <f t="shared" si="60"/>
        <v>-0.01720813117975803</v>
      </c>
      <c r="F192" s="21">
        <f>+C192-36610</f>
        <v>43404</v>
      </c>
      <c r="G192" s="21">
        <f>+D192-39008</f>
        <v>42407</v>
      </c>
      <c r="H192" s="23">
        <f t="shared" si="61"/>
        <v>0.02351026953097366</v>
      </c>
      <c r="I192" s="24">
        <f t="shared" si="62"/>
        <v>42.121276276651585</v>
      </c>
      <c r="J192" s="24">
        <f t="shared" si="63"/>
        <v>77.6493364666851</v>
      </c>
      <c r="K192" s="21">
        <v>3370291.8</v>
      </c>
      <c r="L192" s="21">
        <v>3237622.05</v>
      </c>
      <c r="M192" s="25">
        <f t="shared" si="64"/>
        <v>0.04097752855371121</v>
      </c>
      <c r="N192" s="10"/>
      <c r="R192" s="2"/>
    </row>
    <row r="193" spans="1:18" ht="15.75">
      <c r="A193" s="19"/>
      <c r="B193" s="20">
        <f>DATE(2017,11,1)</f>
        <v>43040</v>
      </c>
      <c r="C193" s="21">
        <v>81471</v>
      </c>
      <c r="D193" s="21">
        <v>79210</v>
      </c>
      <c r="E193" s="23">
        <f t="shared" si="60"/>
        <v>0.02854437571013761</v>
      </c>
      <c r="F193" s="21">
        <f>+C193-37675</f>
        <v>43796</v>
      </c>
      <c r="G193" s="21">
        <f>+D193-38642</f>
        <v>40568</v>
      </c>
      <c r="H193" s="23">
        <f t="shared" si="61"/>
        <v>0.07957010451587458</v>
      </c>
      <c r="I193" s="24">
        <f t="shared" si="62"/>
        <v>42.033816572768224</v>
      </c>
      <c r="J193" s="24">
        <f t="shared" si="63"/>
        <v>78.19291875970409</v>
      </c>
      <c r="K193" s="21">
        <v>3424537.07</v>
      </c>
      <c r="L193" s="21">
        <v>3067872.51</v>
      </c>
      <c r="M193" s="25">
        <f t="shared" si="64"/>
        <v>0.11625794710745659</v>
      </c>
      <c r="N193" s="10"/>
      <c r="R193" s="2"/>
    </row>
    <row r="194" spans="1:18" ht="15.75">
      <c r="A194" s="19"/>
      <c r="B194" s="20">
        <f>DATE(2017,12,1)</f>
        <v>43070</v>
      </c>
      <c r="C194" s="21">
        <v>87056</v>
      </c>
      <c r="D194" s="21">
        <v>84348</v>
      </c>
      <c r="E194" s="23">
        <f t="shared" si="60"/>
        <v>0.03210508844311661</v>
      </c>
      <c r="F194" s="21">
        <f>+C194-40605</f>
        <v>46451</v>
      </c>
      <c r="G194" s="21">
        <f>+D194-40782</f>
        <v>43566</v>
      </c>
      <c r="H194" s="23">
        <f t="shared" si="61"/>
        <v>0.06622136528485516</v>
      </c>
      <c r="I194" s="24">
        <f t="shared" si="62"/>
        <v>43.27050576640323</v>
      </c>
      <c r="J194" s="24">
        <f t="shared" si="63"/>
        <v>81.09528643086263</v>
      </c>
      <c r="K194" s="21">
        <v>3766957.15</v>
      </c>
      <c r="L194" s="21">
        <v>3395559.65</v>
      </c>
      <c r="M194" s="25">
        <f t="shared" si="64"/>
        <v>0.10937740410479904</v>
      </c>
      <c r="N194" s="10"/>
      <c r="R194" s="2"/>
    </row>
    <row r="195" spans="1:18" ht="15.75">
      <c r="A195" s="19"/>
      <c r="B195" s="20">
        <f>DATE(2018,1,1)</f>
        <v>43101</v>
      </c>
      <c r="C195" s="21">
        <v>80564</v>
      </c>
      <c r="D195" s="21">
        <v>81990</v>
      </c>
      <c r="E195" s="23">
        <f t="shared" si="60"/>
        <v>-0.017392364922551532</v>
      </c>
      <c r="F195" s="21">
        <f>+C195-37104</f>
        <v>43460</v>
      </c>
      <c r="G195" s="21">
        <f>+D195-39665</f>
        <v>42325</v>
      </c>
      <c r="H195" s="23">
        <f t="shared" si="61"/>
        <v>0.026816302421736563</v>
      </c>
      <c r="I195" s="24">
        <f t="shared" si="62"/>
        <v>40.31286604438707</v>
      </c>
      <c r="J195" s="24">
        <f t="shared" si="63"/>
        <v>74.72999861942016</v>
      </c>
      <c r="K195" s="21">
        <v>3247765.74</v>
      </c>
      <c r="L195" s="21">
        <v>3194844.34</v>
      </c>
      <c r="M195" s="25">
        <f t="shared" si="64"/>
        <v>0.01656462549283399</v>
      </c>
      <c r="N195" s="10"/>
      <c r="R195" s="2"/>
    </row>
    <row r="196" spans="1:18" ht="15.75">
      <c r="A196" s="19"/>
      <c r="B196" s="20">
        <f>DATE(2018,2,1)</f>
        <v>43132</v>
      </c>
      <c r="C196" s="21">
        <v>82056</v>
      </c>
      <c r="D196" s="21">
        <v>90518</v>
      </c>
      <c r="E196" s="23">
        <f t="shared" si="60"/>
        <v>-0.0934841688945845</v>
      </c>
      <c r="F196" s="21">
        <f>+C196-38030</f>
        <v>44026</v>
      </c>
      <c r="G196" s="21">
        <f>+D196-42790</f>
        <v>47728</v>
      </c>
      <c r="H196" s="23">
        <f t="shared" si="61"/>
        <v>-0.07756453234998324</v>
      </c>
      <c r="I196" s="24">
        <f t="shared" si="62"/>
        <v>43.376592692795164</v>
      </c>
      <c r="J196" s="24">
        <f t="shared" si="63"/>
        <v>80.84562962794712</v>
      </c>
      <c r="K196" s="21">
        <v>3559309.69</v>
      </c>
      <c r="L196" s="21">
        <v>3465001.29</v>
      </c>
      <c r="M196" s="25">
        <f t="shared" si="64"/>
        <v>0.02721742132453864</v>
      </c>
      <c r="N196" s="10"/>
      <c r="R196" s="2"/>
    </row>
    <row r="197" spans="1:18" ht="15.75">
      <c r="A197" s="19"/>
      <c r="B197" s="20">
        <f>DATE(2018,3,1)</f>
        <v>43160</v>
      </c>
      <c r="C197" s="21">
        <v>100462</v>
      </c>
      <c r="D197" s="21">
        <v>104418</v>
      </c>
      <c r="E197" s="23">
        <f t="shared" si="60"/>
        <v>-0.03788618820509874</v>
      </c>
      <c r="F197" s="21">
        <f>+C197-46682</f>
        <v>53780</v>
      </c>
      <c r="G197" s="21">
        <f>+D197-48501</f>
        <v>55917</v>
      </c>
      <c r="H197" s="23">
        <f t="shared" si="61"/>
        <v>-0.038217357869699736</v>
      </c>
      <c r="I197" s="24">
        <f t="shared" si="62"/>
        <v>43.719761402321275</v>
      </c>
      <c r="J197" s="24">
        <f t="shared" si="63"/>
        <v>81.66929471922647</v>
      </c>
      <c r="K197" s="21">
        <v>4392174.67</v>
      </c>
      <c r="L197" s="21">
        <v>3935038.9</v>
      </c>
      <c r="M197" s="25">
        <f t="shared" si="64"/>
        <v>0.11617058474313939</v>
      </c>
      <c r="N197" s="10"/>
      <c r="R197" s="2"/>
    </row>
    <row r="198" spans="1:18" ht="15.75">
      <c r="A198" s="19"/>
      <c r="B198" s="20">
        <f>DATE(2018,4,1)</f>
        <v>43191</v>
      </c>
      <c r="C198" s="21">
        <v>88416</v>
      </c>
      <c r="D198" s="21">
        <v>85832</v>
      </c>
      <c r="E198" s="23">
        <f t="shared" si="60"/>
        <v>0.030105322024419796</v>
      </c>
      <c r="F198" s="21">
        <f>+C198-40698</f>
        <v>47718</v>
      </c>
      <c r="G198" s="21">
        <f>+D198-41090</f>
        <v>44742</v>
      </c>
      <c r="H198" s="23">
        <f t="shared" si="61"/>
        <v>0.06651468418935229</v>
      </c>
      <c r="I198" s="24">
        <f t="shared" si="62"/>
        <v>43.34700981722765</v>
      </c>
      <c r="J198" s="24">
        <f t="shared" si="63"/>
        <v>80.31705478016681</v>
      </c>
      <c r="K198" s="21">
        <v>3832569.22</v>
      </c>
      <c r="L198" s="21">
        <v>3480876.24</v>
      </c>
      <c r="M198" s="25">
        <f t="shared" si="64"/>
        <v>0.10103576104159336</v>
      </c>
      <c r="N198" s="10"/>
      <c r="R198" s="2"/>
    </row>
    <row r="199" spans="1:18" ht="15.75">
      <c r="A199" s="19"/>
      <c r="B199" s="20">
        <f>DATE(2018,5,1)</f>
        <v>43221</v>
      </c>
      <c r="C199" s="21">
        <v>84886</v>
      </c>
      <c r="D199" s="21">
        <v>80172</v>
      </c>
      <c r="E199" s="23">
        <f t="shared" si="60"/>
        <v>0.05879858304645013</v>
      </c>
      <c r="F199" s="21">
        <f>+C199-37859</f>
        <v>47027</v>
      </c>
      <c r="G199" s="21">
        <f>+D199-37803</f>
        <v>42369</v>
      </c>
      <c r="H199" s="23">
        <f t="shared" si="61"/>
        <v>0.10993887040052869</v>
      </c>
      <c r="I199" s="24">
        <f t="shared" si="62"/>
        <v>42.99754871239073</v>
      </c>
      <c r="J199" s="24">
        <f t="shared" si="63"/>
        <v>77.61264635209561</v>
      </c>
      <c r="K199" s="21">
        <v>3649889.92</v>
      </c>
      <c r="L199" s="21">
        <v>3297881.83</v>
      </c>
      <c r="M199" s="25">
        <f t="shared" si="64"/>
        <v>0.10673762983193362</v>
      </c>
      <c r="N199" s="10"/>
      <c r="R199" s="2"/>
    </row>
    <row r="200" spans="1:18" ht="15.75">
      <c r="A200" s="19"/>
      <c r="B200" s="20">
        <f>DATE(2018,6,1)</f>
        <v>43252</v>
      </c>
      <c r="C200" s="21">
        <v>84346</v>
      </c>
      <c r="D200" s="21">
        <v>77427</v>
      </c>
      <c r="E200" s="23">
        <f t="shared" si="60"/>
        <v>0.08936159220943599</v>
      </c>
      <c r="F200" s="21">
        <f>+C200-38178</f>
        <v>46168</v>
      </c>
      <c r="G200" s="21">
        <f>+D200-35707</f>
        <v>41720</v>
      </c>
      <c r="H200" s="23">
        <f t="shared" si="61"/>
        <v>0.10661553211888783</v>
      </c>
      <c r="I200" s="24">
        <f t="shared" si="62"/>
        <v>43.79280677210538</v>
      </c>
      <c r="J200" s="24">
        <f t="shared" si="63"/>
        <v>80.00667302027378</v>
      </c>
      <c r="K200" s="21">
        <v>3693748.08</v>
      </c>
      <c r="L200" s="21">
        <v>3194156.03</v>
      </c>
      <c r="M200" s="25">
        <f t="shared" si="64"/>
        <v>0.15640815455092227</v>
      </c>
      <c r="N200" s="10"/>
      <c r="R200" s="2"/>
    </row>
    <row r="201" spans="1:18" ht="15.75" thickBot="1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7.25" thickBot="1" thickTop="1">
      <c r="A202" s="26" t="s">
        <v>14</v>
      </c>
      <c r="B202" s="27"/>
      <c r="C202" s="28">
        <f>SUM(C189:C201)</f>
        <v>1013313</v>
      </c>
      <c r="D202" s="28">
        <f>SUM(D189:D201)</f>
        <v>1016196</v>
      </c>
      <c r="E202" s="280">
        <f>(+C202-D202)/D202</f>
        <v>-0.002837051120059516</v>
      </c>
      <c r="F202" s="28">
        <f>SUM(F189:F201)</f>
        <v>548986</v>
      </c>
      <c r="G202" s="28">
        <f>SUM(G189:G201)</f>
        <v>532890</v>
      </c>
      <c r="H202" s="42">
        <f>(+F202-G202)/G202</f>
        <v>0.030205107996021694</v>
      </c>
      <c r="I202" s="43">
        <f>K202/C202</f>
        <v>42.39081845392292</v>
      </c>
      <c r="J202" s="43">
        <f>K202/F202</f>
        <v>78.24455891407065</v>
      </c>
      <c r="K202" s="28">
        <f>SUM(K189:K201)</f>
        <v>42955167.419999994</v>
      </c>
      <c r="L202" s="28">
        <f>SUM(L189:L201)</f>
        <v>40112628.16</v>
      </c>
      <c r="M202" s="44">
        <f>(+K202-L202)/L202</f>
        <v>0.07086394959367324</v>
      </c>
      <c r="N202" s="10"/>
      <c r="R202" s="2"/>
    </row>
    <row r="203" spans="1:18" ht="16.5" thickBot="1" thickTop="1">
      <c r="A203" s="63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7.25" thickBot="1" thickTop="1">
      <c r="A204" s="64" t="s">
        <v>20</v>
      </c>
      <c r="B204" s="65"/>
      <c r="C204" s="28">
        <f>C202+C187+C82+C112+C127+C52+C22+C142+C157+C67+C172+C37+C97</f>
        <v>39760202</v>
      </c>
      <c r="D204" s="28">
        <f>D202+D187+D82+D112+D127+D52+D22+D142+D157+D67+D172+D37+D97</f>
        <v>40856085</v>
      </c>
      <c r="E204" s="279">
        <f>(+C204-D204)/D204</f>
        <v>-0.02682300567957013</v>
      </c>
      <c r="F204" s="28">
        <f>F202+F187+F82+F112+F127+F52+F22+F142+F157+F67+F172+F37+F97</f>
        <v>20558341</v>
      </c>
      <c r="G204" s="28">
        <f>G202+G187+G82+G112+G127+G52+G22+G142+G157+G67+G172+G37+G97</f>
        <v>20966818</v>
      </c>
      <c r="H204" s="30">
        <f>(+F204-G204)/G204</f>
        <v>-0.019482069239118688</v>
      </c>
      <c r="I204" s="31">
        <f>K204/C204</f>
        <v>43.9042527646112</v>
      </c>
      <c r="J204" s="31">
        <f>K204/F204</f>
        <v>84.9116160968436</v>
      </c>
      <c r="K204" s="28">
        <f>K202+K187+K82+K112+K127+K52+K22+K142+K157+K67+K172+K37+K97</f>
        <v>1745641958.58</v>
      </c>
      <c r="L204" s="28">
        <f>L202+L187+L82+L112+L127+L52+L22+L142+L157+L67+L172+L37+L97</f>
        <v>1718928611.69</v>
      </c>
      <c r="M204" s="32">
        <f>(+K204-L204)/L204</f>
        <v>0.015540695936020338</v>
      </c>
      <c r="N204" s="10"/>
      <c r="R204" s="2"/>
    </row>
    <row r="205" spans="1:18" ht="17.25" thickBot="1" thickTop="1">
      <c r="A205" s="64"/>
      <c r="B205" s="65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7.25" thickBot="1" thickTop="1">
      <c r="A206" s="64" t="s">
        <v>21</v>
      </c>
      <c r="B206" s="65"/>
      <c r="C206" s="28">
        <f>+C20+C35+C50+C65+C80+C95+C110+C125+C140+C155+C170+C185+C200</f>
        <v>3272621</v>
      </c>
      <c r="D206" s="28">
        <f>+D20+D35+D50+D65+D80+D95+D110+D125+D140+D155+D170+D185+D200</f>
        <v>3249097</v>
      </c>
      <c r="E206" s="279">
        <f>(+C206-D206)/D206</f>
        <v>0.007240165498290756</v>
      </c>
      <c r="F206" s="28">
        <f>+F20+F35+F50+F65+F80+F95+F110+F125+F140+F155+F170+F185+F200</f>
        <v>1715892</v>
      </c>
      <c r="G206" s="28">
        <f>+G20+G35+G50+G65+G80+G95+G110+G125+G140+G155+G170+G185+G200</f>
        <v>1695103</v>
      </c>
      <c r="H206" s="30">
        <f>(+F206-G206)/G206</f>
        <v>0.012264151499938352</v>
      </c>
      <c r="I206" s="31">
        <f>K206/C206</f>
        <v>45.180688695696816</v>
      </c>
      <c r="J206" s="31">
        <f>K206/F206</f>
        <v>86.1704994370275</v>
      </c>
      <c r="K206" s="28">
        <f>+K20+K35+K50+K65+K80+K95+K110+K125+K140+K155+K170+K185+K200</f>
        <v>147859270.62</v>
      </c>
      <c r="L206" s="28">
        <f>+L20+L35+L50+L65+L80+L95+L110+L125+L140+L155+L170+L185+L200</f>
        <v>139313338.39000002</v>
      </c>
      <c r="M206" s="44">
        <f>(+K206-L206)/L206</f>
        <v>0.06134324486630363</v>
      </c>
      <c r="N206" s="10"/>
      <c r="R206" s="2"/>
    </row>
    <row r="207" spans="1:18" ht="15.75" thickTop="1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8"/>
      <c r="L207" s="68"/>
      <c r="M207" s="67"/>
      <c r="R207" s="2"/>
    </row>
    <row r="208" spans="1:18" ht="18.75">
      <c r="A208" s="264" t="s">
        <v>22</v>
      </c>
      <c r="B208" s="70"/>
      <c r="C208" s="71"/>
      <c r="D208" s="71"/>
      <c r="E208" s="71"/>
      <c r="F208" s="71"/>
      <c r="G208" s="71"/>
      <c r="H208" s="71"/>
      <c r="I208" s="71"/>
      <c r="J208" s="71"/>
      <c r="K208" s="198"/>
      <c r="L208" s="198"/>
      <c r="M208" s="71"/>
      <c r="N208" s="2"/>
      <c r="O208" s="2"/>
      <c r="P208" s="2"/>
      <c r="Q208" s="2"/>
      <c r="R208" s="2"/>
    </row>
    <row r="209" spans="1:18" ht="18">
      <c r="A209" s="69"/>
      <c r="B209" s="70"/>
      <c r="C209" s="71"/>
      <c r="D209" s="71"/>
      <c r="E209" s="71"/>
      <c r="F209" s="71"/>
      <c r="G209" s="71"/>
      <c r="H209" s="71"/>
      <c r="I209" s="71"/>
      <c r="J209" s="71"/>
      <c r="K209" s="198"/>
      <c r="L209" s="198"/>
      <c r="M209" s="71"/>
      <c r="N209" s="2"/>
      <c r="O209" s="2"/>
      <c r="P209" s="2"/>
      <c r="Q209" s="2"/>
      <c r="R209" s="2"/>
    </row>
    <row r="210" spans="1:18" ht="15.75">
      <c r="A210" s="72"/>
      <c r="B210" s="73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3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3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3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3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3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4"/>
      <c r="N219" s="2"/>
      <c r="O219" s="2"/>
      <c r="P219" s="2"/>
      <c r="Q219" s="2"/>
      <c r="R219" s="2"/>
    </row>
    <row r="220" spans="1:18" ht="15">
      <c r="A220" s="2"/>
      <c r="B220" s="73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4"/>
      <c r="N220" s="2"/>
      <c r="O220" s="2"/>
      <c r="P220" s="2"/>
      <c r="Q220" s="2"/>
      <c r="R220" s="2"/>
    </row>
    <row r="221" spans="1:18" ht="15">
      <c r="A221" s="2"/>
      <c r="B221" s="70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4"/>
      <c r="N221" s="2"/>
      <c r="O221" s="2"/>
      <c r="P221" s="2"/>
      <c r="Q221" s="2"/>
      <c r="R221" s="2"/>
    </row>
    <row r="222" spans="1:18" ht="15.75">
      <c r="A222" s="76"/>
      <c r="B222" s="70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.75">
      <c r="A223" s="76"/>
      <c r="B223" s="70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.75">
      <c r="A224" s="76"/>
      <c r="B224" s="70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0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>
      <c r="A226" s="76"/>
      <c r="B226" s="73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3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3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77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.75">
      <c r="A239" s="76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.75">
      <c r="A242" s="76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.75">
      <c r="A243" s="76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>
      <c r="A244" s="76"/>
      <c r="B244" s="77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77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77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77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77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77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77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77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.75">
      <c r="A257" s="76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.75">
      <c r="A260" s="76"/>
      <c r="B260" s="77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77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77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.75">
      <c r="A266" s="76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.75">
      <c r="A269" s="76"/>
      <c r="B269" s="76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74"/>
      <c r="D341" s="74"/>
      <c r="E341" s="74"/>
      <c r="F341" s="74"/>
      <c r="G341" s="74"/>
      <c r="H341" s="74"/>
      <c r="I341" s="74"/>
      <c r="J341" s="74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74"/>
      <c r="D342" s="74"/>
      <c r="E342" s="74"/>
      <c r="F342" s="74"/>
      <c r="G342" s="74"/>
      <c r="H342" s="74"/>
      <c r="I342" s="74"/>
      <c r="J342" s="74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74"/>
      <c r="D343" s="74"/>
      <c r="E343" s="74"/>
      <c r="F343" s="74"/>
      <c r="G343" s="74"/>
      <c r="H343" s="74"/>
      <c r="I343" s="74"/>
      <c r="J343" s="74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74"/>
      <c r="D344" s="74"/>
      <c r="E344" s="74"/>
      <c r="F344" s="74"/>
      <c r="G344" s="74"/>
      <c r="H344" s="74"/>
      <c r="I344" s="74"/>
      <c r="J344" s="74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74"/>
      <c r="D345" s="74"/>
      <c r="E345" s="74"/>
      <c r="F345" s="74"/>
      <c r="G345" s="74"/>
      <c r="H345" s="74"/>
      <c r="I345" s="74"/>
      <c r="J345" s="74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74"/>
      <c r="D346" s="74"/>
      <c r="E346" s="74"/>
      <c r="F346" s="74"/>
      <c r="G346" s="74"/>
      <c r="H346" s="74"/>
      <c r="I346" s="74"/>
      <c r="J346" s="74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74"/>
      <c r="D347" s="74"/>
      <c r="E347" s="74"/>
      <c r="F347" s="74"/>
      <c r="G347" s="74"/>
      <c r="H347" s="74"/>
      <c r="I347" s="74"/>
      <c r="J347" s="74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74"/>
      <c r="D348" s="74"/>
      <c r="E348" s="74"/>
      <c r="F348" s="74"/>
      <c r="G348" s="74"/>
      <c r="H348" s="74"/>
      <c r="I348" s="74"/>
      <c r="J348" s="74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74"/>
      <c r="D349" s="74"/>
      <c r="E349" s="74"/>
      <c r="F349" s="74"/>
      <c r="G349" s="74"/>
      <c r="H349" s="74"/>
      <c r="I349" s="74"/>
      <c r="J349" s="74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74"/>
      <c r="D350" s="74"/>
      <c r="E350" s="74"/>
      <c r="F350" s="74"/>
      <c r="G350" s="74"/>
      <c r="H350" s="74"/>
      <c r="I350" s="74"/>
      <c r="J350" s="74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74"/>
      <c r="D351" s="74"/>
      <c r="E351" s="74"/>
      <c r="F351" s="74"/>
      <c r="G351" s="74"/>
      <c r="H351" s="74"/>
      <c r="I351" s="74"/>
      <c r="J351" s="74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74"/>
      <c r="D352" s="74"/>
      <c r="E352" s="74"/>
      <c r="F352" s="74"/>
      <c r="G352" s="74"/>
      <c r="H352" s="74"/>
      <c r="I352" s="74"/>
      <c r="J352" s="74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  <row r="467" spans="1:1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2"/>
      <c r="L467" s="192"/>
      <c r="M467" s="75"/>
      <c r="N467" s="2"/>
      <c r="O467" s="2"/>
      <c r="P467" s="2"/>
      <c r="Q467" s="2"/>
      <c r="R467" s="2"/>
    </row>
    <row r="468" spans="1:1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2"/>
      <c r="L468" s="192"/>
      <c r="M468" s="75"/>
      <c r="N468" s="2"/>
      <c r="O468" s="2"/>
      <c r="P468" s="2"/>
      <c r="Q468" s="2"/>
      <c r="R468" s="2"/>
    </row>
    <row r="469" spans="1:1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2"/>
      <c r="L469" s="192"/>
      <c r="M469" s="75"/>
      <c r="N469" s="2"/>
      <c r="O469" s="2"/>
      <c r="P469" s="2"/>
      <c r="Q469" s="2"/>
      <c r="R469" s="2"/>
    </row>
    <row r="470" spans="1:1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2"/>
      <c r="L470" s="192"/>
      <c r="M470" s="75"/>
      <c r="N470" s="2"/>
      <c r="O470" s="2"/>
      <c r="P470" s="2"/>
      <c r="Q470" s="2"/>
      <c r="R470" s="2"/>
    </row>
    <row r="471" spans="1:1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2"/>
      <c r="L471" s="192"/>
      <c r="M471" s="75"/>
      <c r="N471" s="2"/>
      <c r="O471" s="2"/>
      <c r="P471" s="2"/>
      <c r="Q471" s="2"/>
      <c r="R471" s="2"/>
    </row>
    <row r="472" spans="1:1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2"/>
      <c r="L472" s="192"/>
      <c r="M472" s="75"/>
      <c r="N472" s="2"/>
      <c r="O472" s="2"/>
      <c r="P472" s="2"/>
      <c r="Q472" s="2"/>
      <c r="R472" s="2"/>
    </row>
    <row r="473" spans="1:1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2"/>
      <c r="L473" s="192"/>
      <c r="M473" s="75"/>
      <c r="N473" s="2"/>
      <c r="O473" s="2"/>
      <c r="P473" s="2"/>
      <c r="Q473" s="2"/>
      <c r="R473" s="2"/>
    </row>
    <row r="474" spans="1:1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2"/>
      <c r="L474" s="192"/>
      <c r="M474" s="75"/>
      <c r="N474" s="2"/>
      <c r="O474" s="2"/>
      <c r="P474" s="2"/>
      <c r="Q474" s="2"/>
      <c r="R474" s="2"/>
    </row>
    <row r="475" spans="1:1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2"/>
      <c r="L475" s="192"/>
      <c r="M475" s="75"/>
      <c r="N475" s="2"/>
      <c r="O475" s="2"/>
      <c r="P475" s="2"/>
      <c r="Q475" s="2"/>
      <c r="R475" s="2"/>
    </row>
    <row r="476" spans="1:1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2"/>
      <c r="L476" s="192"/>
      <c r="M476" s="75"/>
      <c r="N476" s="2"/>
      <c r="O476" s="2"/>
      <c r="P476" s="2"/>
      <c r="Q476" s="2"/>
      <c r="R476" s="2"/>
    </row>
    <row r="477" spans="1:1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2"/>
      <c r="L477" s="192"/>
      <c r="M477" s="75"/>
      <c r="N477" s="2"/>
      <c r="O477" s="2"/>
      <c r="P477" s="2"/>
      <c r="Q477" s="2"/>
      <c r="R477" s="2"/>
    </row>
    <row r="478" spans="1:1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2"/>
      <c r="L478" s="192"/>
      <c r="M478" s="75"/>
      <c r="N478" s="2"/>
      <c r="O478" s="2"/>
      <c r="P478" s="2"/>
      <c r="Q478" s="2"/>
      <c r="R47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STATS'!$C$24*2</f>
        <v>308970</v>
      </c>
      <c r="D10" s="89">
        <f>'MONTHLY STATS'!$C$39*2</f>
        <v>149730</v>
      </c>
      <c r="E10" s="89">
        <f>'MONTHLY STATS'!$C$54*2</f>
        <v>1005414</v>
      </c>
      <c r="F10" s="89">
        <f>'MONTHLY STATS'!$C$69*2</f>
        <v>664254</v>
      </c>
      <c r="G10" s="89">
        <f>'MONTHLY STATS'!$C$84*2</f>
        <v>311360</v>
      </c>
      <c r="H10" s="89">
        <f>'MONTHLY STATS'!$C$99*2</f>
        <v>353238</v>
      </c>
      <c r="I10" s="89">
        <f>'MONTHLY STATS'!$C$114*2</f>
        <v>733508</v>
      </c>
      <c r="J10" s="89">
        <f>'MONTHLY STATS'!$C$129*2</f>
        <v>804648</v>
      </c>
      <c r="K10" s="89">
        <f>'MONTHLY STATS'!$C$144*2</f>
        <v>975242</v>
      </c>
      <c r="L10" s="89">
        <f>'MONTHLY STATS'!$C$159*2</f>
        <v>125854</v>
      </c>
      <c r="M10" s="89">
        <f>'MONTHLY STATS'!$C$174*2</f>
        <v>1009132</v>
      </c>
      <c r="N10" s="89">
        <f>'MONTHLY STATS'!$C$189*2</f>
        <v>159812</v>
      </c>
      <c r="O10" s="90">
        <f aca="true" t="shared" si="0" ref="O10:O15">SUM(B10:N10)</f>
        <v>7191256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STATS'!$C$25*2</f>
        <v>293770</v>
      </c>
      <c r="D11" s="89">
        <f>'MONTHLY STATS'!$C$40*2</f>
        <v>134350</v>
      </c>
      <c r="E11" s="89">
        <f>'MONTHLY STATS'!$C$55*2</f>
        <v>906982</v>
      </c>
      <c r="F11" s="89">
        <f>'MONTHLY STATS'!$C$70*2</f>
        <v>636920</v>
      </c>
      <c r="G11" s="89">
        <f>'MONTHLY STATS'!$C$85*2</f>
        <v>274594</v>
      </c>
      <c r="H11" s="89">
        <f>'MONTHLY STATS'!$C$100*2</f>
        <v>333204</v>
      </c>
      <c r="I11" s="89">
        <f>'MONTHLY STATS'!$C$115*2</f>
        <v>665186</v>
      </c>
      <c r="J11" s="89">
        <f>'MONTHLY STATS'!$C$130*2</f>
        <v>759878</v>
      </c>
      <c r="K11" s="89">
        <f>'MONTHLY STATS'!$C$145*2</f>
        <v>900952</v>
      </c>
      <c r="L11" s="89">
        <f>'MONTHLY STATS'!$C$160*2</f>
        <v>117056</v>
      </c>
      <c r="M11" s="89">
        <f>'MONTHLY STATS'!$C$175*2</f>
        <v>914436</v>
      </c>
      <c r="N11" s="89">
        <f>'MONTHLY STATS'!$C$190*2</f>
        <v>159566</v>
      </c>
      <c r="O11" s="90">
        <f t="shared" si="0"/>
        <v>6634270</v>
      </c>
      <c r="P11" s="83"/>
    </row>
    <row r="12" spans="1:16" ht="15.75">
      <c r="A12" s="88">
        <f>DATE(2017,9,1)</f>
        <v>42979</v>
      </c>
      <c r="B12" s="89">
        <f>'MONTHLY STATS'!$C$11*2</f>
        <v>563214</v>
      </c>
      <c r="C12" s="89">
        <f>'MONTHLY STATS'!$C$26*2</f>
        <v>295582</v>
      </c>
      <c r="D12" s="89">
        <f>'MONTHLY STATS'!$C$41*2</f>
        <v>139808</v>
      </c>
      <c r="E12" s="89">
        <f>'MONTHLY STATS'!$C$56*2</f>
        <v>880756</v>
      </c>
      <c r="F12" s="89">
        <f>'MONTHLY STATS'!$C$71*2</f>
        <v>638232</v>
      </c>
      <c r="G12" s="89">
        <f>'MONTHLY STATS'!$C$86*2</f>
        <v>302994</v>
      </c>
      <c r="H12" s="89">
        <f>'MONTHLY STATS'!$C$101*2</f>
        <v>338388</v>
      </c>
      <c r="I12" s="89">
        <f>'MONTHLY STATS'!$C$116*2</f>
        <v>668860</v>
      </c>
      <c r="J12" s="89">
        <f>'MONTHLY STATS'!$C$131*2</f>
        <v>767706</v>
      </c>
      <c r="K12" s="89">
        <f>'MONTHLY STATS'!$C$146*2</f>
        <v>920926</v>
      </c>
      <c r="L12" s="89">
        <f>'MONTHLY STATS'!$C$161*2</f>
        <v>118836</v>
      </c>
      <c r="M12" s="89">
        <f>'MONTHLY STATS'!$C$176*2</f>
        <v>939562</v>
      </c>
      <c r="N12" s="89">
        <f>'MONTHLY STATS'!$C$191*2</f>
        <v>168706</v>
      </c>
      <c r="O12" s="90">
        <f t="shared" si="0"/>
        <v>6743570</v>
      </c>
      <c r="P12" s="83"/>
    </row>
    <row r="13" spans="1:16" ht="15.75">
      <c r="A13" s="88">
        <f>DATE(2017,10,1)</f>
        <v>43009</v>
      </c>
      <c r="B13" s="89">
        <f>'MONTHLY STATS'!$C$12*2</f>
        <v>533402</v>
      </c>
      <c r="C13" s="89">
        <f>'MONTHLY STATS'!$C$27*2</f>
        <v>275400</v>
      </c>
      <c r="D13" s="89">
        <f>'MONTHLY STATS'!$C$42*2</f>
        <v>127314</v>
      </c>
      <c r="E13" s="89">
        <f>'MONTHLY STATS'!$C$57*2</f>
        <v>839426</v>
      </c>
      <c r="F13" s="89">
        <f>'MONTHLY STATS'!$C$72*2</f>
        <v>614650</v>
      </c>
      <c r="G13" s="89">
        <f>'MONTHLY STATS'!$C$87*2</f>
        <v>292648</v>
      </c>
      <c r="H13" s="89">
        <f>'MONTHLY STATS'!$C$102*2</f>
        <v>335534</v>
      </c>
      <c r="I13" s="89">
        <f>'MONTHLY STATS'!$C$117*2</f>
        <v>633626</v>
      </c>
      <c r="J13" s="89">
        <f>'MONTHLY STATS'!$C$132*2</f>
        <v>745854</v>
      </c>
      <c r="K13" s="89">
        <f>'MONTHLY STATS'!$C$147*2</f>
        <v>834022</v>
      </c>
      <c r="L13" s="89">
        <f>'MONTHLY STATS'!$C$162*2</f>
        <v>105728</v>
      </c>
      <c r="M13" s="89">
        <f>'MONTHLY STATS'!$C$177*2</f>
        <v>887918</v>
      </c>
      <c r="N13" s="89">
        <f>'MONTHLY STATS'!$C$192*2</f>
        <v>160028</v>
      </c>
      <c r="O13" s="90">
        <f t="shared" si="0"/>
        <v>6385550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STATS'!$C$28*2</f>
        <v>256542</v>
      </c>
      <c r="D14" s="89">
        <f>'MONTHLY STATS'!$C$43*2</f>
        <v>126226</v>
      </c>
      <c r="E14" s="89">
        <f>'MONTHLY STATS'!$C$58*2</f>
        <v>817206</v>
      </c>
      <c r="F14" s="89">
        <f>'MONTHLY STATS'!$C$73*2</f>
        <v>561174</v>
      </c>
      <c r="G14" s="89">
        <f>'MONTHLY STATS'!$C$88*2</f>
        <v>273588</v>
      </c>
      <c r="H14" s="89">
        <f>'MONTHLY STATS'!$C$103*2</f>
        <v>317026</v>
      </c>
      <c r="I14" s="89">
        <f>'MONTHLY STATS'!$C$118*2</f>
        <v>640368</v>
      </c>
      <c r="J14" s="89">
        <f>'MONTHLY STATS'!$C$133*2</f>
        <v>701062</v>
      </c>
      <c r="K14" s="89">
        <f>'MONTHLY STATS'!$C$148*2</f>
        <v>836644</v>
      </c>
      <c r="L14" s="89">
        <f>'MONTHLY STATS'!$C$163*2</f>
        <v>108006</v>
      </c>
      <c r="M14" s="89">
        <f>'MONTHLY STATS'!$C$178*2</f>
        <v>877302</v>
      </c>
      <c r="N14" s="89">
        <f>'MONTHLY STATS'!$C$193*2</f>
        <v>162942</v>
      </c>
      <c r="O14" s="90">
        <f t="shared" si="0"/>
        <v>6220436</v>
      </c>
      <c r="P14" s="83"/>
    </row>
    <row r="15" spans="1:16" ht="15.75">
      <c r="A15" s="88">
        <f>DATE(2017,12,1)</f>
        <v>43070</v>
      </c>
      <c r="B15" s="89">
        <f>'MONTHLY STATS'!$C$14*2</f>
        <v>571776</v>
      </c>
      <c r="C15" s="89">
        <f>'MONTHLY STATS'!$C$29*2</f>
        <v>270404</v>
      </c>
      <c r="D15" s="89">
        <f>'MONTHLY STATS'!$C$44*2</f>
        <v>134464</v>
      </c>
      <c r="E15" s="89">
        <f>'MONTHLY STATS'!$C$59*2</f>
        <v>899258</v>
      </c>
      <c r="F15" s="89">
        <f>'MONTHLY STATS'!$C$74*2</f>
        <v>613776</v>
      </c>
      <c r="G15" s="89">
        <f>'MONTHLY STATS'!$C$89*2</f>
        <v>306964</v>
      </c>
      <c r="H15" s="89">
        <f>'MONTHLY STATS'!$C$104*2</f>
        <v>333336</v>
      </c>
      <c r="I15" s="89">
        <f>'MONTHLY STATS'!$C$119*2</f>
        <v>731888</v>
      </c>
      <c r="J15" s="89">
        <f>'MONTHLY STATS'!$C$134*2</f>
        <v>780528</v>
      </c>
      <c r="K15" s="89">
        <f>'MONTHLY STATS'!$C$149*2</f>
        <v>927728</v>
      </c>
      <c r="L15" s="89">
        <f>'MONTHLY STATS'!$C$164*2</f>
        <v>111974</v>
      </c>
      <c r="M15" s="89">
        <f>'MONTHLY STATS'!$C$179*2</f>
        <v>978376</v>
      </c>
      <c r="N15" s="89">
        <f>'MONTHLY STATS'!$C$194*2</f>
        <v>174112</v>
      </c>
      <c r="O15" s="90">
        <f t="shared" si="0"/>
        <v>6834584</v>
      </c>
      <c r="P15" s="83"/>
    </row>
    <row r="16" spans="1:16" ht="15.75">
      <c r="A16" s="88">
        <f>DATE(2018,1,1)</f>
        <v>43101</v>
      </c>
      <c r="B16" s="89">
        <f>'MONTHLY STATS'!$C$15*2</f>
        <v>502748</v>
      </c>
      <c r="C16" s="89">
        <f>'MONTHLY STATS'!$C$30*2</f>
        <v>245996</v>
      </c>
      <c r="D16" s="89">
        <f>'MONTHLY STATS'!$C$45*2</f>
        <v>108440</v>
      </c>
      <c r="E16" s="89">
        <f>'MONTHLY STATS'!$C$60*2</f>
        <v>782846</v>
      </c>
      <c r="F16" s="89">
        <f>'MONTHLY STATS'!$C$75*2</f>
        <v>533382</v>
      </c>
      <c r="G16" s="89">
        <f>'MONTHLY STATS'!$C$90*2</f>
        <v>266714</v>
      </c>
      <c r="H16" s="89">
        <f>'MONTHLY STATS'!$C$105*2</f>
        <v>295152</v>
      </c>
      <c r="I16" s="89">
        <f>'MONTHLY STATS'!$C$120*2</f>
        <v>686004</v>
      </c>
      <c r="J16" s="89">
        <f>'MONTHLY STATS'!$C$135*2</f>
        <v>687462</v>
      </c>
      <c r="K16" s="89">
        <f>'MONTHLY STATS'!$C$150*2</f>
        <v>788270</v>
      </c>
      <c r="L16" s="89">
        <f>'MONTHLY STATS'!$C$165*2</f>
        <v>104964</v>
      </c>
      <c r="M16" s="89">
        <f>'MONTHLY STATS'!$C$180*2</f>
        <v>834976</v>
      </c>
      <c r="N16" s="89">
        <f>'MONTHLY STATS'!$C$195*2</f>
        <v>161128</v>
      </c>
      <c r="O16" s="90">
        <f aca="true" t="shared" si="1" ref="O16:O21">SUM(B16:N16)</f>
        <v>5998082</v>
      </c>
      <c r="P16" s="83"/>
    </row>
    <row r="17" spans="1:16" ht="15.75">
      <c r="A17" s="88">
        <f>DATE(2018,2,1)</f>
        <v>43132</v>
      </c>
      <c r="B17" s="89">
        <f>'MONTHLY STATS'!$C$16*2</f>
        <v>520856</v>
      </c>
      <c r="C17" s="89">
        <f>'MONTHLY STATS'!$C$31*2</f>
        <v>258692</v>
      </c>
      <c r="D17" s="89">
        <f>'MONTHLY STATS'!$C$46*2</f>
        <v>131016</v>
      </c>
      <c r="E17" s="89">
        <f>'MONTHLY STATS'!$C$61*2</f>
        <v>826838</v>
      </c>
      <c r="F17" s="89">
        <f>'MONTHLY STATS'!$C$76*2</f>
        <v>541714</v>
      </c>
      <c r="G17" s="89">
        <f>'MONTHLY STATS'!$C$91*2</f>
        <v>294228</v>
      </c>
      <c r="H17" s="89">
        <f>'MONTHLY STATS'!$C$106*2</f>
        <v>305952</v>
      </c>
      <c r="I17" s="89">
        <f>'MONTHLY STATS'!$C$121*2</f>
        <v>749716</v>
      </c>
      <c r="J17" s="89">
        <f>'MONTHLY STATS'!$C$136*2</f>
        <v>696264</v>
      </c>
      <c r="K17" s="89">
        <f>'MONTHLY STATS'!$C$151*2</f>
        <v>855856</v>
      </c>
      <c r="L17" s="89">
        <f>'MONTHLY STATS'!$C$166*2</f>
        <v>108642</v>
      </c>
      <c r="M17" s="89">
        <f>'MONTHLY STATS'!$C$181*2</f>
        <v>861422</v>
      </c>
      <c r="N17" s="89">
        <f>'MONTHLY STATS'!$C$196*2</f>
        <v>164112</v>
      </c>
      <c r="O17" s="90">
        <f t="shared" si="1"/>
        <v>6315308</v>
      </c>
      <c r="P17" s="83"/>
    </row>
    <row r="18" spans="1:16" ht="15.75">
      <c r="A18" s="88">
        <f>DATE(2018,3,1)</f>
        <v>43160</v>
      </c>
      <c r="B18" s="89">
        <f>'MONTHLY STATS'!$C$17*2</f>
        <v>598080</v>
      </c>
      <c r="C18" s="89">
        <f>'MONTHLY STATS'!$C$32*2</f>
        <v>311670</v>
      </c>
      <c r="D18" s="89">
        <f>'MONTHLY STATS'!$C$47*2</f>
        <v>163022</v>
      </c>
      <c r="E18" s="89">
        <f>'MONTHLY STATS'!$C$62*2</f>
        <v>980524</v>
      </c>
      <c r="F18" s="89">
        <f>'MONTHLY STATS'!$C$77*2</f>
        <v>632168</v>
      </c>
      <c r="G18" s="89">
        <f>'MONTHLY STATS'!$C$92*2</f>
        <v>334146</v>
      </c>
      <c r="H18" s="89">
        <f>'MONTHLY STATS'!$C$107*2</f>
        <v>373878</v>
      </c>
      <c r="I18" s="89">
        <f>'MONTHLY STATS'!$C$122*2</f>
        <v>891702</v>
      </c>
      <c r="J18" s="89">
        <f>'MONTHLY STATS'!$C$137*2</f>
        <v>850654</v>
      </c>
      <c r="K18" s="89">
        <f>'MONTHLY STATS'!$C$152*2</f>
        <v>1048772</v>
      </c>
      <c r="L18" s="89">
        <f>'MONTHLY STATS'!$C$167*2</f>
        <v>144162</v>
      </c>
      <c r="M18" s="89">
        <f>'MONTHLY STATS'!$C$182*2</f>
        <v>1042934</v>
      </c>
      <c r="N18" s="89">
        <f>'MONTHLY STATS'!$C$197*2</f>
        <v>200924</v>
      </c>
      <c r="O18" s="90">
        <f t="shared" si="1"/>
        <v>7572636</v>
      </c>
      <c r="P18" s="83"/>
    </row>
    <row r="19" spans="1:16" ht="15.75">
      <c r="A19" s="88">
        <f>DATE(2018,4,1)</f>
        <v>43191</v>
      </c>
      <c r="B19" s="89">
        <f>'MONTHLY STATS'!$C$18*2</f>
        <v>526918</v>
      </c>
      <c r="C19" s="89">
        <f>'MONTHLY STATS'!$C$33*2</f>
        <v>268732</v>
      </c>
      <c r="D19" s="89">
        <f>'MONTHLY STATS'!$C$48*2</f>
        <v>136122</v>
      </c>
      <c r="E19" s="89">
        <f>'MONTHLY STATS'!$C$63*2</f>
        <v>864412</v>
      </c>
      <c r="F19" s="89">
        <f>'MONTHLY STATS'!$C$78*2</f>
        <v>572058</v>
      </c>
      <c r="G19" s="89">
        <f>'MONTHLY STATS'!$C$93*2</f>
        <v>275464</v>
      </c>
      <c r="H19" s="89">
        <f>'MONTHLY STATS'!$C$108*2</f>
        <v>315904</v>
      </c>
      <c r="I19" s="89">
        <f>'MONTHLY STATS'!$C$123*2</f>
        <v>776654</v>
      </c>
      <c r="J19" s="89">
        <f>'MONTHLY STATS'!$C$138*2</f>
        <v>747624</v>
      </c>
      <c r="K19" s="89">
        <f>'MONTHLY STATS'!$C$153*2</f>
        <v>847614</v>
      </c>
      <c r="L19" s="89">
        <f>'MONTHLY STATS'!$C$168*2</f>
        <v>120132</v>
      </c>
      <c r="M19" s="89">
        <f>'MONTHLY STATS'!$C$183*2</f>
        <v>930012</v>
      </c>
      <c r="N19" s="89">
        <f>'MONTHLY STATS'!$C$198*2</f>
        <v>176832</v>
      </c>
      <c r="O19" s="90">
        <f t="shared" si="1"/>
        <v>6558478</v>
      </c>
      <c r="P19" s="83"/>
    </row>
    <row r="20" spans="1:16" ht="15.75">
      <c r="A20" s="88">
        <f>DATE(2018,5,1)</f>
        <v>43221</v>
      </c>
      <c r="B20" s="89">
        <f>'MONTHLY STATS'!$C$19*2</f>
        <v>539168</v>
      </c>
      <c r="C20" s="89">
        <f>'MONTHLY STATS'!$C$34*2</f>
        <v>264186</v>
      </c>
      <c r="D20" s="89">
        <f>'MONTHLY STATS'!$C$49*2</f>
        <v>133118</v>
      </c>
      <c r="E20" s="89">
        <f>'MONTHLY STATS'!$C$64*2</f>
        <v>896738</v>
      </c>
      <c r="F20" s="89">
        <f>'MONTHLY STATS'!$C$79*2</f>
        <v>557544</v>
      </c>
      <c r="G20" s="89">
        <f>'MONTHLY STATS'!$C$94*2</f>
        <v>261550</v>
      </c>
      <c r="H20" s="89">
        <f>'MONTHLY STATS'!$C$109*2</f>
        <v>315634</v>
      </c>
      <c r="I20" s="89">
        <f>'MONTHLY STATS'!$C$124*2</f>
        <v>788758</v>
      </c>
      <c r="J20" s="89">
        <f>'MONTHLY STATS'!$C$139*2</f>
        <v>760268</v>
      </c>
      <c r="K20" s="89">
        <f>'MONTHLY STATS'!$C$154*2</f>
        <v>833106</v>
      </c>
      <c r="L20" s="89">
        <f>'MONTHLY STATS'!$C$169*2</f>
        <v>120056</v>
      </c>
      <c r="M20" s="89">
        <f>'MONTHLY STATS'!$C$184*2</f>
        <v>881094</v>
      </c>
      <c r="N20" s="89">
        <f>'MONTHLY STATS'!$C$199*2</f>
        <v>169772</v>
      </c>
      <c r="O20" s="90">
        <f t="shared" si="1"/>
        <v>6520992</v>
      </c>
      <c r="P20" s="83"/>
    </row>
    <row r="21" spans="1:16" ht="15.75">
      <c r="A21" s="88">
        <f>DATE(2018,6,1)</f>
        <v>43252</v>
      </c>
      <c r="B21" s="89">
        <f>'MONTHLY STATS'!$C$20*2</f>
        <v>532530</v>
      </c>
      <c r="C21" s="89">
        <f>'MONTHLY STATS'!$C$35*2</f>
        <v>248314</v>
      </c>
      <c r="D21" s="89">
        <f>'MONTHLY STATS'!$C$50*2</f>
        <v>133632</v>
      </c>
      <c r="E21" s="89">
        <f>'MONTHLY STATS'!$C$65*2</f>
        <v>885340</v>
      </c>
      <c r="F21" s="89">
        <f>'MONTHLY STATS'!$C$80*2</f>
        <v>556600</v>
      </c>
      <c r="G21" s="89">
        <f>'MONTHLY STATS'!$C$95*2</f>
        <v>262468</v>
      </c>
      <c r="H21" s="89">
        <f>'MONTHLY STATS'!$C$110*2</f>
        <v>323618</v>
      </c>
      <c r="I21" s="89">
        <f>'MONTHLY STATS'!$C$125*2</f>
        <v>797322</v>
      </c>
      <c r="J21" s="89">
        <f>'MONTHLY STATS'!$C$140*2</f>
        <v>758942</v>
      </c>
      <c r="K21" s="89">
        <f>'MONTHLY STATS'!$C$155*2</f>
        <v>844630</v>
      </c>
      <c r="L21" s="89">
        <f>'MONTHLY STATS'!$C$170*2</f>
        <v>124392</v>
      </c>
      <c r="M21" s="89">
        <f>'MONTHLY STATS'!$C$185*2</f>
        <v>908762</v>
      </c>
      <c r="N21" s="89">
        <f>'MONTHLY STATS'!$C$200*2</f>
        <v>168692</v>
      </c>
      <c r="O21" s="90">
        <f t="shared" si="1"/>
        <v>6545242</v>
      </c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2" ref="B23:O23">SUM(B10:B21)</f>
        <v>6558512</v>
      </c>
      <c r="C23" s="90">
        <f t="shared" si="2"/>
        <v>3298258</v>
      </c>
      <c r="D23" s="90">
        <f t="shared" si="2"/>
        <v>1617242</v>
      </c>
      <c r="E23" s="90">
        <f t="shared" si="2"/>
        <v>10585740</v>
      </c>
      <c r="F23" s="90">
        <f t="shared" si="2"/>
        <v>7122472</v>
      </c>
      <c r="G23" s="90">
        <f>SUM(G10:G21)</f>
        <v>3456718</v>
      </c>
      <c r="H23" s="90">
        <f t="shared" si="2"/>
        <v>3940864</v>
      </c>
      <c r="I23" s="90">
        <f>SUM(I10:I21)</f>
        <v>8763592</v>
      </c>
      <c r="J23" s="90">
        <f t="shared" si="2"/>
        <v>9060890</v>
      </c>
      <c r="K23" s="90">
        <f>SUM(K10:K21)</f>
        <v>10613762</v>
      </c>
      <c r="L23" s="90">
        <f t="shared" si="2"/>
        <v>1409802</v>
      </c>
      <c r="M23" s="90">
        <f t="shared" si="2"/>
        <v>11065926</v>
      </c>
      <c r="N23" s="90">
        <f t="shared" si="2"/>
        <v>2026626</v>
      </c>
      <c r="O23" s="90">
        <f t="shared" si="2"/>
        <v>79520404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2970174.1923</v>
      </c>
      <c r="C31" s="89">
        <f>'MONTHLY STATS'!$K$24*0.21</f>
        <v>1565148.7866</v>
      </c>
      <c r="D31" s="89">
        <f>'MONTHLY STATS'!$K$39*0.21</f>
        <v>689184.5604000001</v>
      </c>
      <c r="E31" s="89">
        <f>'MONTHLY STATS'!$K$54*0.21</f>
        <v>4460611.005899999</v>
      </c>
      <c r="F31" s="89">
        <f>'MONTHLY STATS'!$K$69*0.21</f>
        <v>3565286.9028</v>
      </c>
      <c r="G31" s="89">
        <f>'MONTHLY STATS'!$K$84*0.21</f>
        <v>1196058.7758</v>
      </c>
      <c r="H31" s="89">
        <f>'MONTHLY STATS'!$K$99*0.21</f>
        <v>1298802.3132</v>
      </c>
      <c r="I31" s="89">
        <f>'MONTHLY STATS'!$K$114*0.21</f>
        <v>2631559.1526</v>
      </c>
      <c r="J31" s="89">
        <f>'MONTHLY STATS'!$K$129*0.21</f>
        <v>3431655.6056999997</v>
      </c>
      <c r="K31" s="89">
        <f>'MONTHLY STATS'!$K$144*0.21</f>
        <v>4158981.4727999996</v>
      </c>
      <c r="L31" s="89">
        <f>'MONTHLY STATS'!$K$159*0.21</f>
        <v>615218.2322999999</v>
      </c>
      <c r="M31" s="89">
        <f>'MONTHLY STATS'!$K$174*0.21</f>
        <v>4984400.1732</v>
      </c>
      <c r="N31" s="89">
        <f>'MONTHLY STATS'!$K$189*0.21</f>
        <v>696109.2914999999</v>
      </c>
      <c r="O31" s="90">
        <f aca="true" t="shared" si="3" ref="O31:O36">SUM(B31:N31)</f>
        <v>32263190.465099998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STATS'!$K$25*0.21</f>
        <v>1446273.2151</v>
      </c>
      <c r="D32" s="89">
        <f>'MONTHLY STATS'!$K$40*0.21</f>
        <v>611950.0989</v>
      </c>
      <c r="E32" s="89">
        <f>'MONTHLY STATS'!$K$55*0.21</f>
        <v>4148072.1324</v>
      </c>
      <c r="F32" s="89">
        <f>'MONTHLY STATS'!$K$70*0.21</f>
        <v>3271380.7266</v>
      </c>
      <c r="G32" s="89">
        <f>'MONTHLY STATS'!$K$85*0.21</f>
        <v>1080196.9437</v>
      </c>
      <c r="H32" s="89">
        <f>'MONTHLY STATS'!$K$100*0.21</f>
        <v>1241597.3493</v>
      </c>
      <c r="I32" s="89">
        <f>'MONTHLY STATS'!$K$115*0.21</f>
        <v>2607558.1791000003</v>
      </c>
      <c r="J32" s="89">
        <f>'MONTHLY STATS'!$K$130*0.21</f>
        <v>3216207.9705</v>
      </c>
      <c r="K32" s="89">
        <f>'MONTHLY STATS'!$K$145*0.21</f>
        <v>3904257.0357000004</v>
      </c>
      <c r="L32" s="89">
        <f>'MONTHLY STATS'!$K$160*0.21</f>
        <v>561287.9495999999</v>
      </c>
      <c r="M32" s="89">
        <f>'MONTHLY STATS'!$K$175*0.21</f>
        <v>4495265.4348</v>
      </c>
      <c r="N32" s="89">
        <f>'MONTHLY STATS'!$K$190*0.21</f>
        <v>679291.1853</v>
      </c>
      <c r="O32" s="90">
        <f t="shared" si="3"/>
        <v>29993344.0044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STATS'!$K$26*0.21</f>
        <v>1403454.1689</v>
      </c>
      <c r="D33" s="89">
        <f>'MONTHLY STATS'!$K$41*0.21</f>
        <v>681119.3676</v>
      </c>
      <c r="E33" s="89">
        <f>'MONTHLY STATS'!$K$56*0.21</f>
        <v>4198608.9096</v>
      </c>
      <c r="F33" s="89">
        <f>'MONTHLY STATS'!$K$71*0.21</f>
        <v>3271438.7937</v>
      </c>
      <c r="G33" s="89">
        <f>'MONTHLY STATS'!$K$86*0.21</f>
        <v>1236637.0274999999</v>
      </c>
      <c r="H33" s="89">
        <f>'MONTHLY STATS'!$K$101*0.21</f>
        <v>1239769.8054</v>
      </c>
      <c r="I33" s="89">
        <f>'MONTHLY STATS'!$K$116*0.21</f>
        <v>2483460.4368</v>
      </c>
      <c r="J33" s="89">
        <f>'MONTHLY STATS'!$K$131*0.21</f>
        <v>3366565.5848999997</v>
      </c>
      <c r="K33" s="89">
        <f>'MONTHLY STATS'!$K$146*0.21</f>
        <v>3930696.8672999996</v>
      </c>
      <c r="L33" s="89">
        <f>'MONTHLY STATS'!$K$161*0.21</f>
        <v>580527.9207</v>
      </c>
      <c r="M33" s="89">
        <f>'MONTHLY STATS'!$K$176*0.21</f>
        <v>4621118.1156</v>
      </c>
      <c r="N33" s="89">
        <f>'MONTHLY STATS'!$K$191*0.21</f>
        <v>728363.58</v>
      </c>
      <c r="O33" s="90">
        <f t="shared" si="3"/>
        <v>30592965.666899998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STATS'!$K$27*0.21</f>
        <v>1312497.4506</v>
      </c>
      <c r="D34" s="89">
        <f>'MONTHLY STATS'!$K$42*0.21</f>
        <v>607619.3045999999</v>
      </c>
      <c r="E34" s="89">
        <f>'MONTHLY STATS'!$K$57*0.21</f>
        <v>3811625.0528999995</v>
      </c>
      <c r="F34" s="89">
        <f>'MONTHLY STATS'!$K$72*0.21</f>
        <v>3015099.1857</v>
      </c>
      <c r="G34" s="89">
        <f>'MONTHLY STATS'!$K$87*0.21</f>
        <v>1084988.0999999999</v>
      </c>
      <c r="H34" s="89">
        <f>'MONTHLY STATS'!$K$102*0.21</f>
        <v>1213878.2375999999</v>
      </c>
      <c r="I34" s="89">
        <f>'MONTHLY STATS'!$K$117*0.21</f>
        <v>2351178.4694999997</v>
      </c>
      <c r="J34" s="89">
        <f>'MONTHLY STATS'!$K$132*0.21</f>
        <v>3205611.7926</v>
      </c>
      <c r="K34" s="89">
        <f>'MONTHLY STATS'!$K$147*0.21</f>
        <v>3730711.8156</v>
      </c>
      <c r="L34" s="89">
        <f>'MONTHLY STATS'!$K$162*0.21</f>
        <v>538448.7065999999</v>
      </c>
      <c r="M34" s="89">
        <f>'MONTHLY STATS'!$K$177*0.21</f>
        <v>4421145.813</v>
      </c>
      <c r="N34" s="89">
        <f>'MONTHLY STATS'!$K$192*0.21</f>
        <v>707761.2779999999</v>
      </c>
      <c r="O34" s="90">
        <f t="shared" si="3"/>
        <v>28774685.8266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STATS'!$K$28*0.21</f>
        <v>1301471.0835</v>
      </c>
      <c r="D35" s="89">
        <f>'MONTHLY STATS'!$K$43*0.21</f>
        <v>596961.8928</v>
      </c>
      <c r="E35" s="89">
        <f>'MONTHLY STATS'!$K$58*0.21</f>
        <v>3878434.3877999997</v>
      </c>
      <c r="F35" s="89">
        <f>'MONTHLY STATS'!$K$73*0.21</f>
        <v>2960921.2878</v>
      </c>
      <c r="G35" s="89">
        <f>'MONTHLY STATS'!$K$88*0.21</f>
        <v>1062825.2691</v>
      </c>
      <c r="H35" s="89">
        <f>'MONTHLY STATS'!$K$103*0.21</f>
        <v>1202665.674</v>
      </c>
      <c r="I35" s="89">
        <f>'MONTHLY STATS'!$K$118*0.21</f>
        <v>2525974.9347</v>
      </c>
      <c r="J35" s="89">
        <f>'MONTHLY STATS'!$K$133*0.21</f>
        <v>3104131.7097</v>
      </c>
      <c r="K35" s="89">
        <f>'MONTHLY STATS'!$K$148*0.21</f>
        <v>3703205.8328999993</v>
      </c>
      <c r="L35" s="89">
        <f>'MONTHLY STATS'!$K$163*0.21</f>
        <v>523067.26290000003</v>
      </c>
      <c r="M35" s="89">
        <f>'MONTHLY STATS'!$K$178*0.21</f>
        <v>4390885.6173</v>
      </c>
      <c r="N35" s="89">
        <f>'MONTHLY STATS'!$K$193*0.21</f>
        <v>719152.7847</v>
      </c>
      <c r="O35" s="90">
        <f t="shared" si="3"/>
        <v>28941999.972899992</v>
      </c>
      <c r="P35" s="83"/>
    </row>
    <row r="36" spans="1:16" ht="15.75">
      <c r="A36" s="88">
        <f>DATE(2017,12,1)</f>
        <v>43070</v>
      </c>
      <c r="B36" s="89">
        <f>'MONTHLY STATS'!$K$14*0.21</f>
        <v>3028701.0936</v>
      </c>
      <c r="C36" s="89">
        <f>'MONTHLY STATS'!$K$29*0.21</f>
        <v>1377743.5266</v>
      </c>
      <c r="D36" s="89">
        <f>'MONTHLY STATS'!$K$44*0.21</f>
        <v>648417.3674999999</v>
      </c>
      <c r="E36" s="89">
        <f>'MONTHLY STATS'!$K$59*0.21</f>
        <v>4231507.2933</v>
      </c>
      <c r="F36" s="89">
        <f>'MONTHLY STATS'!$K$74*0.21</f>
        <v>3116219.2005000003</v>
      </c>
      <c r="G36" s="89">
        <f>'MONTHLY STATS'!$K$89*0.21</f>
        <v>1182315.7962</v>
      </c>
      <c r="H36" s="89">
        <f>'MONTHLY STATS'!$K$104*0.21</f>
        <v>1239685.6878</v>
      </c>
      <c r="I36" s="89">
        <f>'MONTHLY STATS'!$K$119*0.21</f>
        <v>2754469.7103</v>
      </c>
      <c r="J36" s="89">
        <f>'MONTHLY STATS'!$K$134*0.21</f>
        <v>3453791.9661</v>
      </c>
      <c r="K36" s="89">
        <f>'MONTHLY STATS'!$K$149*0.21</f>
        <v>4044778.416</v>
      </c>
      <c r="L36" s="89">
        <f>'MONTHLY STATS'!$K$164*0.21</f>
        <v>557348.1753</v>
      </c>
      <c r="M36" s="89">
        <f>'MONTHLY STATS'!$K$179*0.21</f>
        <v>4710434.4503999995</v>
      </c>
      <c r="N36" s="89">
        <f>'MONTHLY STATS'!$K$194*0.21</f>
        <v>791061.0014999999</v>
      </c>
      <c r="O36" s="90">
        <f t="shared" si="3"/>
        <v>31136473.685099997</v>
      </c>
      <c r="P36" s="83"/>
    </row>
    <row r="37" spans="1:16" ht="15.75">
      <c r="A37" s="88">
        <f>DATE(2018,1,1)</f>
        <v>43101</v>
      </c>
      <c r="B37" s="89">
        <f>'MONTHLY STATS'!$K$15*0.21</f>
        <v>2643654.9026999995</v>
      </c>
      <c r="C37" s="89">
        <f>'MONTHLY STATS'!$K$30*0.21</f>
        <v>1267652.6750999999</v>
      </c>
      <c r="D37" s="89">
        <f>'MONTHLY STATS'!$K$45*0.21</f>
        <v>522153.5445</v>
      </c>
      <c r="E37" s="89">
        <f>'MONTHLY STATS'!$K$60*0.21</f>
        <v>3724982.3477999996</v>
      </c>
      <c r="F37" s="89">
        <f>'MONTHLY STATS'!$K$75*0.21</f>
        <v>2618147.4732</v>
      </c>
      <c r="G37" s="89">
        <f>'MONTHLY STATS'!$K$90*0.21</f>
        <v>957672.0236999999</v>
      </c>
      <c r="H37" s="89">
        <f>'MONTHLY STATS'!$K$105*0.21</f>
        <v>1110737.5377</v>
      </c>
      <c r="I37" s="89">
        <f>'MONTHLY STATS'!$K$120*0.21</f>
        <v>2574418.56</v>
      </c>
      <c r="J37" s="89">
        <f>'MONTHLY STATS'!$K$135*0.21</f>
        <v>3161896.9137</v>
      </c>
      <c r="K37" s="89">
        <f>'MONTHLY STATS'!$K$150*0.21</f>
        <v>3475380.0186</v>
      </c>
      <c r="L37" s="89">
        <f>'MONTHLY STATS'!$K$165*0.21</f>
        <v>536358.8957999999</v>
      </c>
      <c r="M37" s="89">
        <f>'MONTHLY STATS'!$K$180*0.21</f>
        <v>4211140.3761</v>
      </c>
      <c r="N37" s="89">
        <f>'MONTHLY STATS'!$K$195*0.21</f>
        <v>682030.8054000001</v>
      </c>
      <c r="O37" s="90">
        <f>SUM(B37:N37)</f>
        <v>27486226.0743</v>
      </c>
      <c r="P37" s="83"/>
    </row>
    <row r="38" spans="1:16" ht="15.75">
      <c r="A38" s="88">
        <f>DATE(2018,2,1)</f>
        <v>43132</v>
      </c>
      <c r="B38" s="89">
        <f>'MONTHLY STATS'!$K$16*0.21</f>
        <v>2897250.4554</v>
      </c>
      <c r="C38" s="89">
        <f>'MONTHLY STATS'!$K$31*0.21</f>
        <v>1349829.285</v>
      </c>
      <c r="D38" s="89">
        <f>'MONTHLY STATS'!$K$46*0.21</f>
        <v>642356.9628</v>
      </c>
      <c r="E38" s="89">
        <f>'MONTHLY STATS'!$K$61*0.21</f>
        <v>3946381.1121</v>
      </c>
      <c r="F38" s="89">
        <f>'MONTHLY STATS'!$K$76*0.21</f>
        <v>2704255.0206</v>
      </c>
      <c r="G38" s="89">
        <f>'MONTHLY STATS'!$K$91*0.21</f>
        <v>1125641.6199</v>
      </c>
      <c r="H38" s="89">
        <f>'MONTHLY STATS'!$K$106*0.21</f>
        <v>1150812.6105</v>
      </c>
      <c r="I38" s="89">
        <f>'MONTHLY STATS'!$K$121*0.21</f>
        <v>2923300.8651</v>
      </c>
      <c r="J38" s="89">
        <f>'MONTHLY STATS'!$K$136*0.21</f>
        <v>3209565.8826</v>
      </c>
      <c r="K38" s="89">
        <f>'MONTHLY STATS'!$K$151*0.21</f>
        <v>3768696.9347999995</v>
      </c>
      <c r="L38" s="89">
        <f>'MONTHLY STATS'!$K$166*0.21</f>
        <v>551846.7465</v>
      </c>
      <c r="M38" s="89">
        <f>'MONTHLY STATS'!$K$181*0.21</f>
        <v>4311513.5553</v>
      </c>
      <c r="N38" s="89">
        <f>'MONTHLY STATS'!$K$196*0.21</f>
        <v>747455.0349</v>
      </c>
      <c r="O38" s="90">
        <f>SUM(B38:N38)</f>
        <v>29328906.0855</v>
      </c>
      <c r="P38" s="83"/>
    </row>
    <row r="39" spans="1:16" ht="15.75">
      <c r="A39" s="88">
        <f>DATE(2018,3,1)</f>
        <v>43160</v>
      </c>
      <c r="B39" s="89">
        <f>'MONTHLY STATS'!$K$17*0.21</f>
        <v>3246912.9609</v>
      </c>
      <c r="C39" s="89">
        <f>'MONTHLY STATS'!$K$32*0.21</f>
        <v>1598211.1446</v>
      </c>
      <c r="D39" s="89">
        <f>'MONTHLY STATS'!$K$47*0.21</f>
        <v>813576.2690999999</v>
      </c>
      <c r="E39" s="89">
        <f>'MONTHLY STATS'!$K$62*0.21</f>
        <v>4643391.341399999</v>
      </c>
      <c r="F39" s="89">
        <f>'MONTHLY STATS'!$K$77*0.21</f>
        <v>3274640.7939</v>
      </c>
      <c r="G39" s="89">
        <f>'MONTHLY STATS'!$K$92*0.21</f>
        <v>1382777.4050999999</v>
      </c>
      <c r="H39" s="89">
        <f>'MONTHLY STATS'!$K$107*0.21</f>
        <v>1430483.5776</v>
      </c>
      <c r="I39" s="89">
        <f>'MONTHLY STATS'!$K$122*0.21</f>
        <v>3454705.6194</v>
      </c>
      <c r="J39" s="89">
        <f>'MONTHLY STATS'!$K$137*0.21</f>
        <v>3820486.5194999995</v>
      </c>
      <c r="K39" s="89">
        <f>'MONTHLY STATS'!$K$152*0.21</f>
        <v>4640734.2513</v>
      </c>
      <c r="L39" s="89">
        <f>'MONTHLY STATS'!$K$167*0.21</f>
        <v>758967.9173999999</v>
      </c>
      <c r="M39" s="89">
        <f>'MONTHLY STATS'!$K$182*0.21</f>
        <v>5369949.1167</v>
      </c>
      <c r="N39" s="89">
        <f>'MONTHLY STATS'!$K$197*0.21</f>
        <v>922356.6806999999</v>
      </c>
      <c r="O39" s="90">
        <f>SUM(B39:N39)</f>
        <v>35357193.59759999</v>
      </c>
      <c r="P39" s="83"/>
    </row>
    <row r="40" spans="1:16" ht="15.75">
      <c r="A40" s="88">
        <f>DATE(2018,4,1)</f>
        <v>43191</v>
      </c>
      <c r="B40" s="89">
        <f>'MONTHLY STATS'!$K$18*0.21</f>
        <v>2899776.2912999997</v>
      </c>
      <c r="C40" s="89">
        <f>'MONTHLY STATS'!$K$33*0.21</f>
        <v>1442271.8205</v>
      </c>
      <c r="D40" s="89">
        <f>'MONTHLY STATS'!$K$48*0.21</f>
        <v>666183.6762</v>
      </c>
      <c r="E40" s="89">
        <f>'MONTHLY STATS'!$K$63*0.21</f>
        <v>4338736.7688</v>
      </c>
      <c r="F40" s="89">
        <f>'MONTHLY STATS'!$K$78*0.21</f>
        <v>2916951.3765</v>
      </c>
      <c r="G40" s="89">
        <f>'MONTHLY STATS'!$K$93*0.21</f>
        <v>1118845.5411</v>
      </c>
      <c r="H40" s="89">
        <f>'MONTHLY STATS'!$K$108*0.21</f>
        <v>1232605.332</v>
      </c>
      <c r="I40" s="89">
        <f>'MONTHLY STATS'!$K$123*0.21</f>
        <v>3065649.6822</v>
      </c>
      <c r="J40" s="89">
        <f>'MONTHLY STATS'!$K$138*0.21</f>
        <v>3445280.7858</v>
      </c>
      <c r="K40" s="89">
        <f>'MONTHLY STATS'!$K$153*0.21</f>
        <v>3917982.4236</v>
      </c>
      <c r="L40" s="89">
        <f>'MONTHLY STATS'!$K$168*0.21</f>
        <v>611019.6771</v>
      </c>
      <c r="M40" s="89">
        <f>'MONTHLY STATS'!$K$183*0.21</f>
        <v>4712528.1483</v>
      </c>
      <c r="N40" s="89">
        <f>'MONTHLY STATS'!$K$198*0.21</f>
        <v>804839.5362</v>
      </c>
      <c r="O40" s="90">
        <f>SUM(B40:N40)</f>
        <v>31172671.059599996</v>
      </c>
      <c r="P40" s="83"/>
    </row>
    <row r="41" spans="1:16" ht="15.75">
      <c r="A41" s="88">
        <f>DATE(2018,5,1)</f>
        <v>43221</v>
      </c>
      <c r="B41" s="89">
        <f>'MONTHLY STATS'!$K$19*0.21</f>
        <v>2853403.1757</v>
      </c>
      <c r="C41" s="89">
        <f>'MONTHLY STATS'!$K$34*0.21</f>
        <v>1397193.3654</v>
      </c>
      <c r="D41" s="89">
        <f>'MONTHLY STATS'!$K$49*0.21</f>
        <v>676278.4770000001</v>
      </c>
      <c r="E41" s="89">
        <f>'MONTHLY STATS'!$K$64*0.21</f>
        <v>4137325.2921</v>
      </c>
      <c r="F41" s="89">
        <f>'MONTHLY STATS'!$K$79*0.21</f>
        <v>2799135.843</v>
      </c>
      <c r="G41" s="89">
        <f>'MONTHLY STATS'!$K$94*0.21</f>
        <v>1099369.7274</v>
      </c>
      <c r="H41" s="89">
        <f>'MONTHLY STATS'!$K$109*0.21</f>
        <v>1154094.4611</v>
      </c>
      <c r="I41" s="89">
        <f>'MONTHLY STATS'!$K$124*0.21</f>
        <v>3082635.3998999996</v>
      </c>
      <c r="J41" s="89">
        <f>'MONTHLY STATS'!$K$139*0.21</f>
        <v>3439502.4468</v>
      </c>
      <c r="K41" s="89">
        <f>'MONTHLY STATS'!$K$154*0.21</f>
        <v>3789299.6106</v>
      </c>
      <c r="L41" s="89">
        <f>'MONTHLY STATS'!$K$169*0.21</f>
        <v>614444.9703</v>
      </c>
      <c r="M41" s="89">
        <f>'MONTHLY STATS'!$K$184*0.21</f>
        <v>4677548.3811</v>
      </c>
      <c r="N41" s="89">
        <f>'MONTHLY STATS'!$K$199*0.21</f>
        <v>766476.8831999999</v>
      </c>
      <c r="O41" s="90">
        <f>SUM(B41:N41)</f>
        <v>30486708.0336</v>
      </c>
      <c r="P41" s="83"/>
    </row>
    <row r="42" spans="1:16" ht="15.75">
      <c r="A42" s="88">
        <f>DATE(2018,6,1)</f>
        <v>43252</v>
      </c>
      <c r="B42" s="89">
        <f>'MONTHLY STATS'!$K$20*0.21</f>
        <v>2912909.8236</v>
      </c>
      <c r="C42" s="89">
        <f>'MONTHLY STATS'!$K$35*0.21</f>
        <v>1378158.0834</v>
      </c>
      <c r="D42" s="89">
        <f>'MONTHLY STATS'!$K$50*0.21</f>
        <v>673750.2239999999</v>
      </c>
      <c r="E42" s="89">
        <f>'MONTHLY STATS'!$K$65*0.21</f>
        <v>4064410.1336999997</v>
      </c>
      <c r="F42" s="89">
        <f>'MONTHLY STATS'!$K$80*0.21</f>
        <v>3064323.6876</v>
      </c>
      <c r="G42" s="89">
        <f>'MONTHLY STATS'!$K$95*0.21</f>
        <v>1131171.4743</v>
      </c>
      <c r="H42" s="89">
        <f>'MONTHLY STATS'!$K$110*0.21</f>
        <v>1223155.9704</v>
      </c>
      <c r="I42" s="89">
        <f>'MONTHLY STATS'!$K$125*0.21</f>
        <v>3131029.2909</v>
      </c>
      <c r="J42" s="89">
        <f>'MONTHLY STATS'!$K$140*0.21</f>
        <v>3366467.7375</v>
      </c>
      <c r="K42" s="89">
        <f>'MONTHLY STATS'!$K$155*0.21</f>
        <v>4055034.3392999996</v>
      </c>
      <c r="L42" s="89">
        <f>'MONTHLY STATS'!$K$170*0.21</f>
        <v>605124.4059</v>
      </c>
      <c r="M42" s="89">
        <f>'MONTHLY STATS'!$K$185*0.21</f>
        <v>4669224.5627999995</v>
      </c>
      <c r="N42" s="89">
        <f>'MONTHLY STATS'!$K$200*0.21</f>
        <v>775687.0967999999</v>
      </c>
      <c r="O42" s="90">
        <f>SUM(B42:N42)</f>
        <v>31050446.8302</v>
      </c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4" ref="B44:O44">SUM(B31:B42)</f>
        <v>34780416.6234</v>
      </c>
      <c r="C44" s="90">
        <f t="shared" si="4"/>
        <v>16839904.6053</v>
      </c>
      <c r="D44" s="90">
        <f t="shared" si="4"/>
        <v>7829551.7453999985</v>
      </c>
      <c r="E44" s="90">
        <f t="shared" si="4"/>
        <v>49584085.777799994</v>
      </c>
      <c r="F44" s="90">
        <f t="shared" si="4"/>
        <v>36577800.2919</v>
      </c>
      <c r="G44" s="90">
        <f t="shared" si="4"/>
        <v>13658499.703799997</v>
      </c>
      <c r="H44" s="90">
        <f t="shared" si="4"/>
        <v>14738288.556599999</v>
      </c>
      <c r="I44" s="90">
        <f>SUM(I31:I42)</f>
        <v>33585940.300500005</v>
      </c>
      <c r="J44" s="90">
        <f t="shared" si="4"/>
        <v>40221164.91539999</v>
      </c>
      <c r="K44" s="90">
        <f>SUM(K31:K42)</f>
        <v>47119759.01850001</v>
      </c>
      <c r="L44" s="90">
        <f t="shared" si="4"/>
        <v>7053660.8604</v>
      </c>
      <c r="M44" s="90">
        <f t="shared" si="4"/>
        <v>55575153.7446</v>
      </c>
      <c r="N44" s="90">
        <f t="shared" si="4"/>
        <v>9020585.158200001</v>
      </c>
      <c r="O44" s="90">
        <f t="shared" si="4"/>
        <v>366584811.30179995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 aca="true" t="shared" si="0" ref="F9:F20">(+D9-E9)/E9</f>
        <v>0.4576837941177144</v>
      </c>
      <c r="G9" s="215">
        <f aca="true" t="shared" si="1" ref="G9:G20"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 t="shared" si="0"/>
        <v>0.20029963355039537</v>
      </c>
      <c r="G10" s="215">
        <f t="shared" si="1"/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 t="shared" si="0"/>
        <v>0.3045725498742386</v>
      </c>
      <c r="G11" s="215">
        <f t="shared" si="1"/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 t="shared" si="0"/>
        <v>0.12241225498422673</v>
      </c>
      <c r="G12" s="215">
        <f t="shared" si="1"/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 t="shared" si="0"/>
        <v>0.54171194436495</v>
      </c>
      <c r="G13" s="215">
        <f t="shared" si="1"/>
        <v>0.2470671427830259</v>
      </c>
      <c r="H13" s="123"/>
    </row>
    <row r="14" spans="1:8" ht="15.75">
      <c r="A14" s="130"/>
      <c r="B14" s="131">
        <f>DATE(2017,12,1)</f>
        <v>43070</v>
      </c>
      <c r="C14" s="204">
        <v>9438423</v>
      </c>
      <c r="D14" s="204">
        <v>1815083.5</v>
      </c>
      <c r="E14" s="204">
        <v>1199212.58</v>
      </c>
      <c r="F14" s="132">
        <f t="shared" si="0"/>
        <v>0.5135627579890797</v>
      </c>
      <c r="G14" s="215">
        <f t="shared" si="1"/>
        <v>0.19230792050748308</v>
      </c>
      <c r="H14" s="123"/>
    </row>
    <row r="15" spans="1:8" ht="15.75">
      <c r="A15" s="130"/>
      <c r="B15" s="131">
        <f>DATE(2018,1,1)</f>
        <v>43101</v>
      </c>
      <c r="C15" s="289">
        <v>8132859</v>
      </c>
      <c r="D15" s="204">
        <v>1650734.5</v>
      </c>
      <c r="E15" s="204">
        <v>1849187</v>
      </c>
      <c r="F15" s="132">
        <f t="shared" si="0"/>
        <v>-0.10731878387637378</v>
      </c>
      <c r="G15" s="215">
        <f t="shared" si="1"/>
        <v>0.20297099703806495</v>
      </c>
      <c r="H15" s="123"/>
    </row>
    <row r="16" spans="1:8" ht="15.75">
      <c r="A16" s="130"/>
      <c r="B16" s="131">
        <f>DATE(2018,2,1)</f>
        <v>43132</v>
      </c>
      <c r="C16" s="289">
        <v>8021208</v>
      </c>
      <c r="D16" s="204">
        <v>2102175.5</v>
      </c>
      <c r="E16" s="204">
        <v>1425537.45</v>
      </c>
      <c r="F16" s="132">
        <f t="shared" si="0"/>
        <v>0.4746546995310436</v>
      </c>
      <c r="G16" s="215">
        <f t="shared" si="1"/>
        <v>0.26207717091989136</v>
      </c>
      <c r="H16" s="123"/>
    </row>
    <row r="17" spans="1:8" ht="15.75">
      <c r="A17" s="130"/>
      <c r="B17" s="131">
        <f>DATE(2018,3,1)</f>
        <v>43160</v>
      </c>
      <c r="C17" s="289">
        <v>10076636</v>
      </c>
      <c r="D17" s="204">
        <v>2003810.5</v>
      </c>
      <c r="E17" s="204">
        <v>1884560.5</v>
      </c>
      <c r="F17" s="132">
        <f t="shared" si="0"/>
        <v>0.0632773529955658</v>
      </c>
      <c r="G17" s="215">
        <f t="shared" si="1"/>
        <v>0.19885708881416378</v>
      </c>
      <c r="H17" s="123"/>
    </row>
    <row r="18" spans="1:8" ht="15.75">
      <c r="A18" s="130"/>
      <c r="B18" s="131">
        <f>DATE(2018,4,1)</f>
        <v>43191</v>
      </c>
      <c r="C18" s="289">
        <v>9990752</v>
      </c>
      <c r="D18" s="204">
        <v>1851064.5</v>
      </c>
      <c r="E18" s="204">
        <v>1489811.34</v>
      </c>
      <c r="F18" s="132">
        <f t="shared" si="0"/>
        <v>0.24248248774908635</v>
      </c>
      <c r="G18" s="215">
        <f t="shared" si="1"/>
        <v>0.1852777949047279</v>
      </c>
      <c r="H18" s="123"/>
    </row>
    <row r="19" spans="1:8" ht="15.75">
      <c r="A19" s="130"/>
      <c r="B19" s="131">
        <f>DATE(2018,5,1)</f>
        <v>43221</v>
      </c>
      <c r="C19" s="289">
        <v>10029184</v>
      </c>
      <c r="D19" s="204">
        <v>1594398</v>
      </c>
      <c r="E19" s="204">
        <v>1508880.5</v>
      </c>
      <c r="F19" s="132">
        <f t="shared" si="0"/>
        <v>0.05667612511395038</v>
      </c>
      <c r="G19" s="215">
        <f t="shared" si="1"/>
        <v>0.1589758448942606</v>
      </c>
      <c r="H19" s="123"/>
    </row>
    <row r="20" spans="1:8" ht="15.75">
      <c r="A20" s="130"/>
      <c r="B20" s="131">
        <f>DATE(2018,6,1)</f>
        <v>43252</v>
      </c>
      <c r="C20" s="289">
        <v>10160669</v>
      </c>
      <c r="D20" s="204">
        <v>1712322</v>
      </c>
      <c r="E20" s="204">
        <v>999707.5</v>
      </c>
      <c r="F20" s="132">
        <f t="shared" si="0"/>
        <v>0.7128230007277129</v>
      </c>
      <c r="G20" s="215">
        <f t="shared" si="1"/>
        <v>0.16852453317788424</v>
      </c>
      <c r="H20" s="123"/>
    </row>
    <row r="21" spans="1:8" ht="15.75" thickBot="1">
      <c r="A21" s="133"/>
      <c r="B21" s="134"/>
      <c r="C21" s="204"/>
      <c r="D21" s="204"/>
      <c r="E21" s="204"/>
      <c r="F21" s="132"/>
      <c r="G21" s="215"/>
      <c r="H21" s="123"/>
    </row>
    <row r="22" spans="1:8" ht="17.25" thickBot="1" thickTop="1">
      <c r="A22" s="135" t="s">
        <v>14</v>
      </c>
      <c r="B22" s="136"/>
      <c r="C22" s="201">
        <f>SUM(C9:C21)</f>
        <v>109181121</v>
      </c>
      <c r="D22" s="201">
        <f>SUM(D9:D21)</f>
        <v>21705333.98</v>
      </c>
      <c r="E22" s="201">
        <f>SUM(E9:E21)</f>
        <v>17139818.46</v>
      </c>
      <c r="F22" s="137">
        <f>(+D22-E22)/E22</f>
        <v>0.2663689542952137</v>
      </c>
      <c r="G22" s="212">
        <f>D22/C22</f>
        <v>0.19880116435148162</v>
      </c>
      <c r="H22" s="123"/>
    </row>
    <row r="23" spans="1:8" ht="15.75" customHeight="1" thickTop="1">
      <c r="A23" s="138"/>
      <c r="B23" s="139"/>
      <c r="C23" s="205"/>
      <c r="D23" s="205"/>
      <c r="E23" s="205"/>
      <c r="F23" s="140"/>
      <c r="G23" s="216"/>
      <c r="H23" s="123"/>
    </row>
    <row r="24" spans="1:8" ht="15.75">
      <c r="A24" s="19" t="s">
        <v>15</v>
      </c>
      <c r="B24" s="131">
        <f>DATE(2017,7,1)</f>
        <v>42917</v>
      </c>
      <c r="C24" s="204">
        <v>2522382</v>
      </c>
      <c r="D24" s="204">
        <v>642088</v>
      </c>
      <c r="E24" s="204">
        <v>472086</v>
      </c>
      <c r="F24" s="132">
        <f aca="true" t="shared" si="2" ref="F24:F35">(+D24-E24)/E24</f>
        <v>0.36010811589413794</v>
      </c>
      <c r="G24" s="215">
        <f aca="true" t="shared" si="3" ref="G24:G35">D24/C24</f>
        <v>0.254556209170538</v>
      </c>
      <c r="H24" s="123"/>
    </row>
    <row r="25" spans="1:8" ht="15.75">
      <c r="A25" s="19"/>
      <c r="B25" s="131">
        <f>DATE(2017,8,1)</f>
        <v>42948</v>
      </c>
      <c r="C25" s="204">
        <v>2406702</v>
      </c>
      <c r="D25" s="204">
        <v>490413</v>
      </c>
      <c r="E25" s="204">
        <v>589363</v>
      </c>
      <c r="F25" s="132">
        <f t="shared" si="2"/>
        <v>-0.16789313207649614</v>
      </c>
      <c r="G25" s="215">
        <f t="shared" si="3"/>
        <v>0.2037697230483874</v>
      </c>
      <c r="H25" s="123"/>
    </row>
    <row r="26" spans="1:8" ht="15.75">
      <c r="A26" s="19"/>
      <c r="B26" s="131">
        <f>DATE(2017,9,1)</f>
        <v>42979</v>
      </c>
      <c r="C26" s="204">
        <v>2522640</v>
      </c>
      <c r="D26" s="204">
        <v>534707</v>
      </c>
      <c r="E26" s="204">
        <v>511288.5</v>
      </c>
      <c r="F26" s="132">
        <f t="shared" si="2"/>
        <v>0.045802907751690096</v>
      </c>
      <c r="G26" s="215">
        <f t="shared" si="3"/>
        <v>0.21196326071100116</v>
      </c>
      <c r="H26" s="123"/>
    </row>
    <row r="27" spans="1:8" ht="15.75">
      <c r="A27" s="19"/>
      <c r="B27" s="131">
        <f>DATE(2017,10,1)</f>
        <v>43009</v>
      </c>
      <c r="C27" s="204">
        <v>2455957</v>
      </c>
      <c r="D27" s="204">
        <v>515461.5</v>
      </c>
      <c r="E27" s="204">
        <v>462287</v>
      </c>
      <c r="F27" s="132">
        <f t="shared" si="2"/>
        <v>0.11502486550562746</v>
      </c>
      <c r="G27" s="215">
        <f t="shared" si="3"/>
        <v>0.2098821355585623</v>
      </c>
      <c r="H27" s="123"/>
    </row>
    <row r="28" spans="1:8" ht="15.75">
      <c r="A28" s="19"/>
      <c r="B28" s="131">
        <f>DATE(2017,11,1)</f>
        <v>43040</v>
      </c>
      <c r="C28" s="204">
        <v>2375566</v>
      </c>
      <c r="D28" s="204">
        <v>483129.5</v>
      </c>
      <c r="E28" s="204">
        <v>524259.5</v>
      </c>
      <c r="F28" s="132">
        <f t="shared" si="2"/>
        <v>-0.07845351395635176</v>
      </c>
      <c r="G28" s="215">
        <f t="shared" si="3"/>
        <v>0.2033744800186566</v>
      </c>
      <c r="H28" s="123"/>
    </row>
    <row r="29" spans="1:8" ht="15.75">
      <c r="A29" s="19"/>
      <c r="B29" s="131">
        <f>DATE(2017,12,1)</f>
        <v>43070</v>
      </c>
      <c r="C29" s="204">
        <v>2486449</v>
      </c>
      <c r="D29" s="204">
        <v>648728</v>
      </c>
      <c r="E29" s="204">
        <v>432721.5</v>
      </c>
      <c r="F29" s="132">
        <f t="shared" si="2"/>
        <v>0.49918134412087223</v>
      </c>
      <c r="G29" s="215">
        <f t="shared" si="3"/>
        <v>0.2609054116935437</v>
      </c>
      <c r="H29" s="123"/>
    </row>
    <row r="30" spans="1:8" ht="15.75">
      <c r="A30" s="19"/>
      <c r="B30" s="131">
        <f>DATE(2018,1,1)</f>
        <v>43101</v>
      </c>
      <c r="C30" s="204">
        <v>2176208</v>
      </c>
      <c r="D30" s="204">
        <v>641885</v>
      </c>
      <c r="E30" s="204">
        <v>489993</v>
      </c>
      <c r="F30" s="132">
        <f t="shared" si="2"/>
        <v>0.3099881018708431</v>
      </c>
      <c r="G30" s="215">
        <f t="shared" si="3"/>
        <v>0.2949557211443024</v>
      </c>
      <c r="H30" s="123"/>
    </row>
    <row r="31" spans="1:8" ht="15.75">
      <c r="A31" s="19"/>
      <c r="B31" s="131">
        <f>DATE(2018,2,1)</f>
        <v>43132</v>
      </c>
      <c r="C31" s="204">
        <v>2238897</v>
      </c>
      <c r="D31" s="204">
        <v>529004</v>
      </c>
      <c r="E31" s="204">
        <v>620150</v>
      </c>
      <c r="F31" s="132">
        <f t="shared" si="2"/>
        <v>-0.14697411916471823</v>
      </c>
      <c r="G31" s="215">
        <f t="shared" si="3"/>
        <v>0.2362788462354454</v>
      </c>
      <c r="H31" s="123"/>
    </row>
    <row r="32" spans="1:8" ht="15.75">
      <c r="A32" s="19"/>
      <c r="B32" s="131">
        <f>DATE(2018,3,1)</f>
        <v>43160</v>
      </c>
      <c r="C32" s="204">
        <v>2786500</v>
      </c>
      <c r="D32" s="204">
        <v>585525</v>
      </c>
      <c r="E32" s="204">
        <v>612292.5</v>
      </c>
      <c r="F32" s="132">
        <f t="shared" si="2"/>
        <v>-0.043716851014833594</v>
      </c>
      <c r="G32" s="215">
        <f t="shared" si="3"/>
        <v>0.21012919432980443</v>
      </c>
      <c r="H32" s="123"/>
    </row>
    <row r="33" spans="1:8" ht="15.75">
      <c r="A33" s="19"/>
      <c r="B33" s="131">
        <f>DATE(2018,4,1)</f>
        <v>43191</v>
      </c>
      <c r="C33" s="204">
        <v>2538741</v>
      </c>
      <c r="D33" s="204">
        <v>580383.5</v>
      </c>
      <c r="E33" s="204">
        <v>530620.5</v>
      </c>
      <c r="F33" s="132">
        <f t="shared" si="2"/>
        <v>0.0937826563429042</v>
      </c>
      <c r="G33" s="215">
        <f t="shared" si="3"/>
        <v>0.22861075627643782</v>
      </c>
      <c r="H33" s="123"/>
    </row>
    <row r="34" spans="1:8" ht="15.75">
      <c r="A34" s="19"/>
      <c r="B34" s="131">
        <f>DATE(2018,5,1)</f>
        <v>43221</v>
      </c>
      <c r="C34" s="204">
        <v>2592151</v>
      </c>
      <c r="D34" s="204">
        <v>612241.5</v>
      </c>
      <c r="E34" s="204">
        <v>354607.5</v>
      </c>
      <c r="F34" s="132">
        <f t="shared" si="2"/>
        <v>0.7265328567500687</v>
      </c>
      <c r="G34" s="215">
        <f t="shared" si="3"/>
        <v>0.23619052285148512</v>
      </c>
      <c r="H34" s="123"/>
    </row>
    <row r="35" spans="1:8" ht="15.75">
      <c r="A35" s="19"/>
      <c r="B35" s="131">
        <f>DATE(2018,6,1)</f>
        <v>43252</v>
      </c>
      <c r="C35" s="204">
        <v>2250189</v>
      </c>
      <c r="D35" s="204">
        <v>609143</v>
      </c>
      <c r="E35" s="204">
        <v>405587.5</v>
      </c>
      <c r="F35" s="132">
        <f t="shared" si="2"/>
        <v>0.5018781397355688</v>
      </c>
      <c r="G35" s="215">
        <f t="shared" si="3"/>
        <v>0.2707074827936676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35" t="s">
        <v>14</v>
      </c>
      <c r="B37" s="136"/>
      <c r="C37" s="201">
        <f>SUM(C24:C36)</f>
        <v>29352382</v>
      </c>
      <c r="D37" s="201">
        <f>SUM(D24:D36)</f>
        <v>6872709</v>
      </c>
      <c r="E37" s="201">
        <f>SUM(E24:E36)</f>
        <v>6005256.5</v>
      </c>
      <c r="F37" s="137">
        <f>(+D37-E37)/E37</f>
        <v>0.1444488674213999</v>
      </c>
      <c r="G37" s="212">
        <f>D37/C37</f>
        <v>0.23414484725634874</v>
      </c>
      <c r="H37" s="123"/>
    </row>
    <row r="38" spans="1:8" ht="15.75" customHeight="1" thickTop="1">
      <c r="A38" s="255"/>
      <c r="B38" s="139"/>
      <c r="C38" s="205"/>
      <c r="D38" s="205"/>
      <c r="E38" s="205"/>
      <c r="F38" s="140"/>
      <c r="G38" s="219"/>
      <c r="H38" s="123"/>
    </row>
    <row r="39" spans="1:8" ht="15.75">
      <c r="A39" s="19" t="s">
        <v>56</v>
      </c>
      <c r="B39" s="131">
        <f>DATE(2017,7,1)</f>
        <v>42917</v>
      </c>
      <c r="C39" s="204">
        <v>1479706</v>
      </c>
      <c r="D39" s="204">
        <v>330815.5</v>
      </c>
      <c r="E39" s="204">
        <v>360412.5</v>
      </c>
      <c r="F39" s="132">
        <f aca="true" t="shared" si="4" ref="F39:F50">(+D39-E39)/E39</f>
        <v>-0.08211979329240801</v>
      </c>
      <c r="G39" s="215">
        <f aca="true" t="shared" si="5" ref="G39:G50">D39/C39</f>
        <v>0.223568398046639</v>
      </c>
      <c r="H39" s="123"/>
    </row>
    <row r="40" spans="1:8" ht="15.75">
      <c r="A40" s="19"/>
      <c r="B40" s="131">
        <f>DATE(2017,8,1)</f>
        <v>42948</v>
      </c>
      <c r="C40" s="204">
        <v>1531572</v>
      </c>
      <c r="D40" s="204">
        <v>326287.5</v>
      </c>
      <c r="E40" s="204">
        <v>239413.5</v>
      </c>
      <c r="F40" s="132">
        <f t="shared" si="4"/>
        <v>0.36286174338539806</v>
      </c>
      <c r="G40" s="215">
        <f t="shared" si="5"/>
        <v>0.21304091482476828</v>
      </c>
      <c r="H40" s="123"/>
    </row>
    <row r="41" spans="1:8" ht="15.75">
      <c r="A41" s="19"/>
      <c r="B41" s="131">
        <f>DATE(2017,9,1)</f>
        <v>42979</v>
      </c>
      <c r="C41" s="204">
        <v>1408112</v>
      </c>
      <c r="D41" s="204">
        <v>453438</v>
      </c>
      <c r="E41" s="204">
        <v>301041.5</v>
      </c>
      <c r="F41" s="132">
        <f t="shared" si="4"/>
        <v>0.5062308685015189</v>
      </c>
      <c r="G41" s="215">
        <f t="shared" si="5"/>
        <v>0.3220184189893986</v>
      </c>
      <c r="H41" s="123"/>
    </row>
    <row r="42" spans="1:8" ht="15.75">
      <c r="A42" s="19"/>
      <c r="B42" s="131">
        <f>DATE(2017,10,1)</f>
        <v>43009</v>
      </c>
      <c r="C42" s="204">
        <v>1260391</v>
      </c>
      <c r="D42" s="204">
        <v>325504</v>
      </c>
      <c r="E42" s="204">
        <v>288579</v>
      </c>
      <c r="F42" s="132">
        <f t="shared" si="4"/>
        <v>0.1279545635683816</v>
      </c>
      <c r="G42" s="215">
        <f t="shared" si="5"/>
        <v>0.25825636647675204</v>
      </c>
      <c r="H42" s="123"/>
    </row>
    <row r="43" spans="1:8" ht="15.75">
      <c r="A43" s="19"/>
      <c r="B43" s="131">
        <f>DATE(2017,11,1)</f>
        <v>43040</v>
      </c>
      <c r="C43" s="204">
        <v>1296139</v>
      </c>
      <c r="D43" s="204">
        <v>300283</v>
      </c>
      <c r="E43" s="204">
        <v>327940.5</v>
      </c>
      <c r="F43" s="132">
        <f t="shared" si="4"/>
        <v>-0.08433694526903508</v>
      </c>
      <c r="G43" s="215">
        <f t="shared" si="5"/>
        <v>0.2316749978204498</v>
      </c>
      <c r="H43" s="123"/>
    </row>
    <row r="44" spans="1:8" ht="15.75">
      <c r="A44" s="19"/>
      <c r="B44" s="131">
        <f>DATE(2017,12,1)</f>
        <v>43070</v>
      </c>
      <c r="C44" s="204">
        <v>1478408</v>
      </c>
      <c r="D44" s="204">
        <v>366330</v>
      </c>
      <c r="E44" s="204">
        <v>333530</v>
      </c>
      <c r="F44" s="132">
        <f t="shared" si="4"/>
        <v>0.09834197823284262</v>
      </c>
      <c r="G44" s="215">
        <f t="shared" si="5"/>
        <v>0.24778680851294094</v>
      </c>
      <c r="H44" s="123"/>
    </row>
    <row r="45" spans="1:8" ht="15.75">
      <c r="A45" s="19"/>
      <c r="B45" s="131">
        <f>DATE(2018,1,1)</f>
        <v>43101</v>
      </c>
      <c r="C45" s="204">
        <v>1342464</v>
      </c>
      <c r="D45" s="204">
        <v>337127.5</v>
      </c>
      <c r="E45" s="204">
        <v>283836</v>
      </c>
      <c r="F45" s="132">
        <f t="shared" si="4"/>
        <v>0.1877545484011894</v>
      </c>
      <c r="G45" s="215">
        <f t="shared" si="5"/>
        <v>0.25112591473588863</v>
      </c>
      <c r="H45" s="123"/>
    </row>
    <row r="46" spans="1:8" ht="15.75">
      <c r="A46" s="19"/>
      <c r="B46" s="131">
        <f>DATE(2018,2,1)</f>
        <v>43132</v>
      </c>
      <c r="C46" s="204">
        <v>1397331</v>
      </c>
      <c r="D46" s="204">
        <v>389142.5</v>
      </c>
      <c r="E46" s="204">
        <v>329434.5</v>
      </c>
      <c r="F46" s="132">
        <f t="shared" si="4"/>
        <v>0.1812439195044842</v>
      </c>
      <c r="G46" s="215">
        <f t="shared" si="5"/>
        <v>0.278489849577516</v>
      </c>
      <c r="H46" s="123"/>
    </row>
    <row r="47" spans="1:8" ht="15.75">
      <c r="A47" s="19"/>
      <c r="B47" s="131">
        <f>DATE(2018,3,1)</f>
        <v>43160</v>
      </c>
      <c r="C47" s="204">
        <v>1787070</v>
      </c>
      <c r="D47" s="204">
        <v>428782</v>
      </c>
      <c r="E47" s="204">
        <v>488182</v>
      </c>
      <c r="F47" s="132">
        <f t="shared" si="4"/>
        <v>-0.1216759323367105</v>
      </c>
      <c r="G47" s="215">
        <f t="shared" si="5"/>
        <v>0.23993576077042308</v>
      </c>
      <c r="H47" s="123"/>
    </row>
    <row r="48" spans="1:8" ht="15.75">
      <c r="A48" s="19"/>
      <c r="B48" s="131">
        <f>DATE(2018,4,1)</f>
        <v>43191</v>
      </c>
      <c r="C48" s="204">
        <v>1392637</v>
      </c>
      <c r="D48" s="204">
        <v>388710.5</v>
      </c>
      <c r="E48" s="204">
        <v>263398</v>
      </c>
      <c r="F48" s="132">
        <f t="shared" si="4"/>
        <v>0.4757534225772405</v>
      </c>
      <c r="G48" s="215">
        <f t="shared" si="5"/>
        <v>0.2791183201365467</v>
      </c>
      <c r="H48" s="123"/>
    </row>
    <row r="49" spans="1:8" ht="15.75">
      <c r="A49" s="19"/>
      <c r="B49" s="131">
        <f>DATE(2018,5,1)</f>
        <v>43221</v>
      </c>
      <c r="C49" s="204">
        <v>1323742</v>
      </c>
      <c r="D49" s="204">
        <v>417938</v>
      </c>
      <c r="E49" s="204">
        <v>272655</v>
      </c>
      <c r="F49" s="132">
        <f t="shared" si="4"/>
        <v>0.5328455374007446</v>
      </c>
      <c r="G49" s="215">
        <f t="shared" si="5"/>
        <v>0.315724665380414</v>
      </c>
      <c r="H49" s="123"/>
    </row>
    <row r="50" spans="1:8" ht="15.75">
      <c r="A50" s="19"/>
      <c r="B50" s="131">
        <f>DATE(2018,6,1)</f>
        <v>43252</v>
      </c>
      <c r="C50" s="204">
        <v>1283841</v>
      </c>
      <c r="D50" s="204">
        <v>319395.5</v>
      </c>
      <c r="E50" s="204">
        <v>293164.5</v>
      </c>
      <c r="F50" s="132">
        <f t="shared" si="4"/>
        <v>0.0894753628082527</v>
      </c>
      <c r="G50" s="215">
        <f t="shared" si="5"/>
        <v>0.24878119642541405</v>
      </c>
      <c r="H50" s="123"/>
    </row>
    <row r="51" spans="1:8" ht="15.75" thickBot="1">
      <c r="A51" s="133"/>
      <c r="B51" s="131"/>
      <c r="C51" s="204"/>
      <c r="D51" s="204"/>
      <c r="E51" s="204"/>
      <c r="F51" s="132"/>
      <c r="G51" s="215"/>
      <c r="H51" s="123"/>
    </row>
    <row r="52" spans="1:8" ht="17.25" thickBot="1" thickTop="1">
      <c r="A52" s="141" t="s">
        <v>14</v>
      </c>
      <c r="B52" s="142"/>
      <c r="C52" s="206">
        <f>SUM(C39:C51)</f>
        <v>16981413</v>
      </c>
      <c r="D52" s="206">
        <f>SUM(D39:D51)</f>
        <v>4383754</v>
      </c>
      <c r="E52" s="206">
        <f>SUM(E39:E51)</f>
        <v>3781587</v>
      </c>
      <c r="F52" s="143">
        <f>(+D52-E52)/E52</f>
        <v>0.15923658506336097</v>
      </c>
      <c r="G52" s="217">
        <f>D52/C52</f>
        <v>0.2581501315585458</v>
      </c>
      <c r="H52" s="123"/>
    </row>
    <row r="53" spans="1:8" ht="15.75" thickTop="1">
      <c r="A53" s="133"/>
      <c r="B53" s="134"/>
      <c r="C53" s="204"/>
      <c r="D53" s="204"/>
      <c r="E53" s="204"/>
      <c r="F53" s="132"/>
      <c r="G53" s="218"/>
      <c r="H53" s="123"/>
    </row>
    <row r="54" spans="1:8" ht="15.75">
      <c r="A54" s="177" t="s">
        <v>65</v>
      </c>
      <c r="B54" s="131">
        <f>DATE(2017,7,1)</f>
        <v>42917</v>
      </c>
      <c r="C54" s="204">
        <v>15842458</v>
      </c>
      <c r="D54" s="204">
        <v>3444933.46</v>
      </c>
      <c r="E54" s="204">
        <v>3130542.12</v>
      </c>
      <c r="F54" s="132">
        <f aca="true" t="shared" si="6" ref="F54:F65">(+D54-E54)/E54</f>
        <v>0.10042712346575929</v>
      </c>
      <c r="G54" s="215">
        <f aca="true" t="shared" si="7" ref="G54:G65">D54/C54</f>
        <v>0.21744942988013602</v>
      </c>
      <c r="H54" s="123"/>
    </row>
    <row r="55" spans="1:8" ht="15.75">
      <c r="A55" s="177"/>
      <c r="B55" s="131">
        <f>DATE(2017,8,1)</f>
        <v>42948</v>
      </c>
      <c r="C55" s="204">
        <v>13052978</v>
      </c>
      <c r="D55" s="204">
        <v>2738890.99</v>
      </c>
      <c r="E55" s="204">
        <v>3206208.5</v>
      </c>
      <c r="F55" s="132">
        <f t="shared" si="6"/>
        <v>-0.14575393646420678</v>
      </c>
      <c r="G55" s="215">
        <f t="shared" si="7"/>
        <v>0.20982882143829557</v>
      </c>
      <c r="H55" s="123"/>
    </row>
    <row r="56" spans="1:8" ht="15.75">
      <c r="A56" s="177"/>
      <c r="B56" s="131">
        <f>DATE(2017,9,1)</f>
        <v>42979</v>
      </c>
      <c r="C56" s="204">
        <v>13344756</v>
      </c>
      <c r="D56" s="204">
        <v>3077099.69</v>
      </c>
      <c r="E56" s="204">
        <v>2415045.66</v>
      </c>
      <c r="F56" s="132">
        <f t="shared" si="6"/>
        <v>0.27413727241910607</v>
      </c>
      <c r="G56" s="215">
        <f t="shared" si="7"/>
        <v>0.2305849346364969</v>
      </c>
      <c r="H56" s="123"/>
    </row>
    <row r="57" spans="1:8" ht="15.75">
      <c r="A57" s="177"/>
      <c r="B57" s="131">
        <f>DATE(2017,10,1)</f>
        <v>43009</v>
      </c>
      <c r="C57" s="204">
        <v>13971709.25</v>
      </c>
      <c r="D57" s="204">
        <v>2596719.93</v>
      </c>
      <c r="E57" s="204">
        <v>3125907.93</v>
      </c>
      <c r="F57" s="132">
        <f t="shared" si="6"/>
        <v>-0.16929097460653614</v>
      </c>
      <c r="G57" s="215">
        <f t="shared" si="7"/>
        <v>0.18585556595375044</v>
      </c>
      <c r="H57" s="123"/>
    </row>
    <row r="58" spans="1:8" ht="15.75">
      <c r="A58" s="177"/>
      <c r="B58" s="131">
        <f>DATE(2017,11,1)</f>
        <v>43040</v>
      </c>
      <c r="C58" s="204">
        <v>14387146.5</v>
      </c>
      <c r="D58" s="204">
        <v>2954256.04</v>
      </c>
      <c r="E58" s="204">
        <v>2966258.88</v>
      </c>
      <c r="F58" s="132">
        <f t="shared" si="6"/>
        <v>-0.004046457334162233</v>
      </c>
      <c r="G58" s="215">
        <f t="shared" si="7"/>
        <v>0.20533995674541855</v>
      </c>
      <c r="H58" s="123"/>
    </row>
    <row r="59" spans="1:8" ht="15.75">
      <c r="A59" s="177"/>
      <c r="B59" s="131">
        <f>DATE(2017,12,1)</f>
        <v>43070</v>
      </c>
      <c r="C59" s="204">
        <v>15084785</v>
      </c>
      <c r="D59" s="204">
        <v>3254600.78</v>
      </c>
      <c r="E59" s="204">
        <v>2610049.5</v>
      </c>
      <c r="F59" s="132">
        <f t="shared" si="6"/>
        <v>0.24694982987870528</v>
      </c>
      <c r="G59" s="215">
        <f t="shared" si="7"/>
        <v>0.21575387252784842</v>
      </c>
      <c r="H59" s="123"/>
    </row>
    <row r="60" spans="1:8" ht="15.75">
      <c r="A60" s="177"/>
      <c r="B60" s="131">
        <f>DATE(2018,1,1)</f>
        <v>43101</v>
      </c>
      <c r="C60" s="204">
        <v>14565484</v>
      </c>
      <c r="D60" s="204">
        <v>3015386.15</v>
      </c>
      <c r="E60" s="204">
        <v>2753749.09</v>
      </c>
      <c r="F60" s="132">
        <f t="shared" si="6"/>
        <v>0.09501121977674447</v>
      </c>
      <c r="G60" s="215">
        <f t="shared" si="7"/>
        <v>0.2070227223482584</v>
      </c>
      <c r="H60" s="123"/>
    </row>
    <row r="61" spans="1:8" ht="15.75">
      <c r="A61" s="177"/>
      <c r="B61" s="131">
        <f>DATE(2018,2,1)</f>
        <v>43132</v>
      </c>
      <c r="C61" s="204">
        <v>15128544.02</v>
      </c>
      <c r="D61" s="204">
        <v>2470968.89</v>
      </c>
      <c r="E61" s="204">
        <v>2722791.24</v>
      </c>
      <c r="F61" s="132">
        <f t="shared" si="6"/>
        <v>-0.0924868371473092</v>
      </c>
      <c r="G61" s="215">
        <f t="shared" si="7"/>
        <v>0.16333157286870228</v>
      </c>
      <c r="H61" s="123"/>
    </row>
    <row r="62" spans="1:8" ht="15.75">
      <c r="A62" s="177"/>
      <c r="B62" s="131">
        <f>DATE(2018,3,1)</f>
        <v>43160</v>
      </c>
      <c r="C62" s="204">
        <v>17292295.03</v>
      </c>
      <c r="D62" s="204">
        <v>3071035.69</v>
      </c>
      <c r="E62" s="204">
        <v>3530371.28</v>
      </c>
      <c r="F62" s="132">
        <f t="shared" si="6"/>
        <v>-0.13010971186010778</v>
      </c>
      <c r="G62" s="215">
        <f t="shared" si="7"/>
        <v>0.17759561033813798</v>
      </c>
      <c r="H62" s="123"/>
    </row>
    <row r="63" spans="1:8" ht="15.75">
      <c r="A63" s="177"/>
      <c r="B63" s="131">
        <f>DATE(2018,4,1)</f>
        <v>43191</v>
      </c>
      <c r="C63" s="204">
        <v>14679452</v>
      </c>
      <c r="D63" s="204">
        <v>3305837.5</v>
      </c>
      <c r="E63" s="204">
        <v>2695177.46</v>
      </c>
      <c r="F63" s="132">
        <f t="shared" si="6"/>
        <v>0.22657507680403355</v>
      </c>
      <c r="G63" s="215">
        <f t="shared" si="7"/>
        <v>0.22520169690258193</v>
      </c>
      <c r="H63" s="123"/>
    </row>
    <row r="64" spans="1:8" ht="15.75">
      <c r="A64" s="177"/>
      <c r="B64" s="131">
        <f>DATE(2018,5,1)</f>
        <v>43221</v>
      </c>
      <c r="C64" s="204">
        <v>14493195</v>
      </c>
      <c r="D64" s="204">
        <v>2696146.85</v>
      </c>
      <c r="E64" s="204">
        <v>3183098.08</v>
      </c>
      <c r="F64" s="132">
        <f t="shared" si="6"/>
        <v>-0.1529802782577155</v>
      </c>
      <c r="G64" s="215">
        <f t="shared" si="7"/>
        <v>0.18602846715303287</v>
      </c>
      <c r="H64" s="123"/>
    </row>
    <row r="65" spans="1:8" ht="15.75">
      <c r="A65" s="177"/>
      <c r="B65" s="131">
        <f>DATE(2018,6,1)</f>
        <v>43252</v>
      </c>
      <c r="C65" s="204">
        <v>15314825</v>
      </c>
      <c r="D65" s="204">
        <v>2564161.6</v>
      </c>
      <c r="E65" s="204">
        <v>2569603.05</v>
      </c>
      <c r="F65" s="132">
        <f t="shared" si="6"/>
        <v>-0.0021176227978090705</v>
      </c>
      <c r="G65" s="215">
        <f t="shared" si="7"/>
        <v>0.1674300293996177</v>
      </c>
      <c r="H65" s="123"/>
    </row>
    <row r="66" spans="1:8" ht="15.75" customHeight="1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6">
        <f>SUM(C54:C66)</f>
        <v>177157627.8</v>
      </c>
      <c r="D67" s="206">
        <f>SUM(D54:D66)</f>
        <v>35190037.57</v>
      </c>
      <c r="E67" s="206">
        <f>SUM(E54:E66)</f>
        <v>34908802.79</v>
      </c>
      <c r="F67" s="143">
        <f>(+D67-E67)/E67</f>
        <v>0.008056271127137133</v>
      </c>
      <c r="G67" s="217">
        <f>D67/C67</f>
        <v>0.19863687500787364</v>
      </c>
      <c r="H67" s="123"/>
    </row>
    <row r="68" spans="1:8" ht="15.75" customHeight="1" thickTop="1">
      <c r="A68" s="133"/>
      <c r="B68" s="134"/>
      <c r="C68" s="204"/>
      <c r="D68" s="204"/>
      <c r="E68" s="204"/>
      <c r="F68" s="132"/>
      <c r="G68" s="218"/>
      <c r="H68" s="123"/>
    </row>
    <row r="69" spans="1:8" ht="15" customHeight="1">
      <c r="A69" s="130" t="s">
        <v>39</v>
      </c>
      <c r="B69" s="131">
        <f>DATE(2017,7,1)</f>
        <v>42917</v>
      </c>
      <c r="C69" s="204">
        <v>17878666</v>
      </c>
      <c r="D69" s="204">
        <v>4591352</v>
      </c>
      <c r="E69" s="204">
        <v>2718467</v>
      </c>
      <c r="F69" s="132">
        <f aca="true" t="shared" si="8" ref="F69:F80">(+D69-E69)/E69</f>
        <v>0.6889489554223024</v>
      </c>
      <c r="G69" s="215">
        <f aca="true" t="shared" si="9" ref="G69:G80">D69/C69</f>
        <v>0.25680618453300713</v>
      </c>
      <c r="H69" s="123"/>
    </row>
    <row r="70" spans="1:8" ht="15" customHeight="1">
      <c r="A70" s="130"/>
      <c r="B70" s="131">
        <f>DATE(2017,8,1)</f>
        <v>42948</v>
      </c>
      <c r="C70" s="204">
        <v>16620305</v>
      </c>
      <c r="D70" s="204">
        <v>3842200.5</v>
      </c>
      <c r="E70" s="204">
        <v>3097592</v>
      </c>
      <c r="F70" s="132">
        <f t="shared" si="8"/>
        <v>0.2403830136441468</v>
      </c>
      <c r="G70" s="215">
        <f t="shared" si="9"/>
        <v>0.23117508974714965</v>
      </c>
      <c r="H70" s="123"/>
    </row>
    <row r="71" spans="1:8" ht="15" customHeight="1">
      <c r="A71" s="130"/>
      <c r="B71" s="131">
        <f>DATE(2017,9,1)</f>
        <v>42979</v>
      </c>
      <c r="C71" s="204">
        <v>17068391</v>
      </c>
      <c r="D71" s="204">
        <v>3686124</v>
      </c>
      <c r="E71" s="204">
        <v>3708385.5</v>
      </c>
      <c r="F71" s="132">
        <f t="shared" si="8"/>
        <v>-0.006003016676664279</v>
      </c>
      <c r="G71" s="215">
        <f t="shared" si="9"/>
        <v>0.2159620083697403</v>
      </c>
      <c r="H71" s="123"/>
    </row>
    <row r="72" spans="1:8" ht="15" customHeight="1">
      <c r="A72" s="130"/>
      <c r="B72" s="131">
        <f>DATE(2017,10,1)</f>
        <v>43009</v>
      </c>
      <c r="C72" s="204">
        <v>18396365</v>
      </c>
      <c r="D72" s="204">
        <v>2992221.5</v>
      </c>
      <c r="E72" s="204">
        <v>3396436</v>
      </c>
      <c r="F72" s="132">
        <f t="shared" si="8"/>
        <v>-0.11901136956503817</v>
      </c>
      <c r="G72" s="215">
        <f t="shared" si="9"/>
        <v>0.162652866476611</v>
      </c>
      <c r="H72" s="123"/>
    </row>
    <row r="73" spans="1:8" ht="15" customHeight="1">
      <c r="A73" s="130"/>
      <c r="B73" s="131">
        <f>DATE(2017,11,1)</f>
        <v>43040</v>
      </c>
      <c r="C73" s="204">
        <v>16278178</v>
      </c>
      <c r="D73" s="204">
        <v>3676452</v>
      </c>
      <c r="E73" s="204">
        <v>3220250.5</v>
      </c>
      <c r="F73" s="132">
        <f t="shared" si="8"/>
        <v>0.14166646352512016</v>
      </c>
      <c r="G73" s="215">
        <f t="shared" si="9"/>
        <v>0.22585156643452356</v>
      </c>
      <c r="H73" s="123"/>
    </row>
    <row r="74" spans="1:8" ht="15" customHeight="1">
      <c r="A74" s="130"/>
      <c r="B74" s="131">
        <f>DATE(2017,12,1)</f>
        <v>43070</v>
      </c>
      <c r="C74" s="204">
        <v>16423739</v>
      </c>
      <c r="D74" s="204">
        <v>3464937</v>
      </c>
      <c r="E74" s="204">
        <v>3576057.01</v>
      </c>
      <c r="F74" s="132">
        <f t="shared" si="8"/>
        <v>-0.03107333291646818</v>
      </c>
      <c r="G74" s="215">
        <f t="shared" si="9"/>
        <v>0.21097126543474662</v>
      </c>
      <c r="H74" s="123"/>
    </row>
    <row r="75" spans="1:8" ht="15" customHeight="1">
      <c r="A75" s="130"/>
      <c r="B75" s="131">
        <f>DATE(2018,1,1)</f>
        <v>43101</v>
      </c>
      <c r="C75" s="204">
        <v>15307865</v>
      </c>
      <c r="D75" s="204">
        <v>2865998</v>
      </c>
      <c r="E75" s="204">
        <v>2690525.5</v>
      </c>
      <c r="F75" s="132">
        <f t="shared" si="8"/>
        <v>0.06521867196575538</v>
      </c>
      <c r="G75" s="215">
        <f t="shared" si="9"/>
        <v>0.18722388785111443</v>
      </c>
      <c r="H75" s="123"/>
    </row>
    <row r="76" spans="1:8" ht="15" customHeight="1">
      <c r="A76" s="130"/>
      <c r="B76" s="131">
        <f>DATE(2018,2,1)</f>
        <v>43132</v>
      </c>
      <c r="C76" s="204">
        <v>13583101</v>
      </c>
      <c r="D76" s="204">
        <v>2919393.5</v>
      </c>
      <c r="E76" s="204">
        <v>3822740</v>
      </c>
      <c r="F76" s="132">
        <f t="shared" si="8"/>
        <v>-0.2363086424920345</v>
      </c>
      <c r="G76" s="215">
        <f t="shared" si="9"/>
        <v>0.2149283510444338</v>
      </c>
      <c r="H76" s="123"/>
    </row>
    <row r="77" spans="1:8" ht="15" customHeight="1">
      <c r="A77" s="130"/>
      <c r="B77" s="131">
        <f>DATE(2018,3,1)</f>
        <v>43160</v>
      </c>
      <c r="C77" s="204">
        <v>16628329</v>
      </c>
      <c r="D77" s="204">
        <v>3678003</v>
      </c>
      <c r="E77" s="204">
        <v>4053648.5</v>
      </c>
      <c r="F77" s="132">
        <f t="shared" si="8"/>
        <v>-0.09266849358053615</v>
      </c>
      <c r="G77" s="215">
        <f t="shared" si="9"/>
        <v>0.22118897214506641</v>
      </c>
      <c r="H77" s="123"/>
    </row>
    <row r="78" spans="1:8" ht="15" customHeight="1">
      <c r="A78" s="130"/>
      <c r="B78" s="131">
        <f>DATE(2018,4,1)</f>
        <v>43191</v>
      </c>
      <c r="C78" s="204">
        <v>15800241</v>
      </c>
      <c r="D78" s="204">
        <v>2764338</v>
      </c>
      <c r="E78" s="204">
        <v>3411948.5</v>
      </c>
      <c r="F78" s="132">
        <f t="shared" si="8"/>
        <v>-0.18980664567475153</v>
      </c>
      <c r="G78" s="215">
        <f t="shared" si="9"/>
        <v>0.17495543264181856</v>
      </c>
      <c r="H78" s="123"/>
    </row>
    <row r="79" spans="1:8" ht="15" customHeight="1">
      <c r="A79" s="130"/>
      <c r="B79" s="131">
        <f>DATE(2018,5,1)</f>
        <v>43221</v>
      </c>
      <c r="C79" s="204">
        <v>16335354</v>
      </c>
      <c r="D79" s="204">
        <v>2888640</v>
      </c>
      <c r="E79" s="204">
        <v>2470270</v>
      </c>
      <c r="F79" s="132">
        <f t="shared" si="8"/>
        <v>0.16936205354070608</v>
      </c>
      <c r="G79" s="215">
        <f t="shared" si="9"/>
        <v>0.17683363335744057</v>
      </c>
      <c r="H79" s="123"/>
    </row>
    <row r="80" spans="1:8" ht="15" customHeight="1">
      <c r="A80" s="130"/>
      <c r="B80" s="131">
        <f>DATE(2018,6,1)</f>
        <v>43252</v>
      </c>
      <c r="C80" s="204">
        <v>15236687</v>
      </c>
      <c r="D80" s="204">
        <v>3588687</v>
      </c>
      <c r="E80" s="204">
        <v>3615691</v>
      </c>
      <c r="F80" s="132">
        <f t="shared" si="8"/>
        <v>-0.007468558568749376</v>
      </c>
      <c r="G80" s="215">
        <f t="shared" si="9"/>
        <v>0.23552935096717548</v>
      </c>
      <c r="H80" s="123"/>
    </row>
    <row r="81" spans="1:8" ht="15.75" thickBot="1">
      <c r="A81" s="133"/>
      <c r="B81" s="131"/>
      <c r="C81" s="204"/>
      <c r="D81" s="204"/>
      <c r="E81" s="204"/>
      <c r="F81" s="132"/>
      <c r="G81" s="215"/>
      <c r="H81" s="123"/>
    </row>
    <row r="82" spans="1:8" ht="17.25" customHeight="1" thickBot="1" thickTop="1">
      <c r="A82" s="141" t="s">
        <v>14</v>
      </c>
      <c r="B82" s="142"/>
      <c r="C82" s="207">
        <f>SUM(C69:C81)</f>
        <v>195557221</v>
      </c>
      <c r="D82" s="261">
        <f>SUM(D69:D81)</f>
        <v>40958346.5</v>
      </c>
      <c r="E82" s="206">
        <f>SUM(E69:E81)</f>
        <v>39782011.51</v>
      </c>
      <c r="F82" s="268">
        <f>(+D82-E82)/E82</f>
        <v>0.029569520126057652</v>
      </c>
      <c r="G82" s="267">
        <f>D82/C82</f>
        <v>0.20944430632914343</v>
      </c>
      <c r="H82" s="123"/>
    </row>
    <row r="83" spans="1:8" ht="15.75" customHeight="1" thickTop="1">
      <c r="A83" s="130"/>
      <c r="B83" s="134"/>
      <c r="C83" s="204"/>
      <c r="D83" s="204"/>
      <c r="E83" s="204"/>
      <c r="F83" s="132"/>
      <c r="G83" s="218"/>
      <c r="H83" s="123"/>
    </row>
    <row r="84" spans="1:8" ht="15.75">
      <c r="A84" s="130" t="s">
        <v>66</v>
      </c>
      <c r="B84" s="131">
        <f>DATE(2017,7,1)</f>
        <v>42917</v>
      </c>
      <c r="C84" s="204">
        <v>2593382</v>
      </c>
      <c r="D84" s="204">
        <v>703792.5</v>
      </c>
      <c r="E84" s="204">
        <v>754116</v>
      </c>
      <c r="F84" s="132">
        <f aca="true" t="shared" si="10" ref="F84:F95">(+D84-E84)/E84</f>
        <v>-0.06673177601323935</v>
      </c>
      <c r="G84" s="215">
        <f aca="true" t="shared" si="11" ref="G84:G95">D84/C84</f>
        <v>0.27138019003756486</v>
      </c>
      <c r="H84" s="123"/>
    </row>
    <row r="85" spans="1:8" ht="15.75">
      <c r="A85" s="130"/>
      <c r="B85" s="131">
        <f>DATE(2017,8,1)</f>
        <v>42948</v>
      </c>
      <c r="C85" s="204">
        <v>2465059</v>
      </c>
      <c r="D85" s="204">
        <v>551376.5</v>
      </c>
      <c r="E85" s="204">
        <v>722738.5</v>
      </c>
      <c r="F85" s="132">
        <f t="shared" si="10"/>
        <v>-0.23710097082139667</v>
      </c>
      <c r="G85" s="215">
        <f t="shared" si="11"/>
        <v>0.22367679637688184</v>
      </c>
      <c r="H85" s="123"/>
    </row>
    <row r="86" spans="1:8" ht="15.75">
      <c r="A86" s="130"/>
      <c r="B86" s="131">
        <f>DATE(2017,9,1)</f>
        <v>42979</v>
      </c>
      <c r="C86" s="204">
        <v>2623530</v>
      </c>
      <c r="D86" s="204">
        <v>737458.5</v>
      </c>
      <c r="E86" s="204">
        <v>677597</v>
      </c>
      <c r="F86" s="132">
        <f t="shared" si="10"/>
        <v>0.08834380907825742</v>
      </c>
      <c r="G86" s="215">
        <f t="shared" si="11"/>
        <v>0.2810939840596448</v>
      </c>
      <c r="H86" s="123"/>
    </row>
    <row r="87" spans="1:8" ht="15.75">
      <c r="A87" s="130"/>
      <c r="B87" s="131">
        <f>DATE(2017,10,1)</f>
        <v>43009</v>
      </c>
      <c r="C87" s="204">
        <v>2440666</v>
      </c>
      <c r="D87" s="204">
        <v>599085</v>
      </c>
      <c r="E87" s="204">
        <v>567558.5</v>
      </c>
      <c r="F87" s="132">
        <f t="shared" si="10"/>
        <v>0.05554757791487574</v>
      </c>
      <c r="G87" s="215">
        <f t="shared" si="11"/>
        <v>0.2454596409340729</v>
      </c>
      <c r="H87" s="123"/>
    </row>
    <row r="88" spans="1:8" ht="15.75">
      <c r="A88" s="130"/>
      <c r="B88" s="131">
        <f>DATE(2017,11,1)</f>
        <v>43040</v>
      </c>
      <c r="C88" s="204">
        <v>2540148</v>
      </c>
      <c r="D88" s="204">
        <v>713068.5</v>
      </c>
      <c r="E88" s="204">
        <v>629102</v>
      </c>
      <c r="F88" s="132">
        <f t="shared" si="10"/>
        <v>0.13347040702461604</v>
      </c>
      <c r="G88" s="215">
        <f t="shared" si="11"/>
        <v>0.2807192730502317</v>
      </c>
      <c r="H88" s="123"/>
    </row>
    <row r="89" spans="1:8" ht="15.75">
      <c r="A89" s="130"/>
      <c r="B89" s="131">
        <f>DATE(2017,12,1)</f>
        <v>43070</v>
      </c>
      <c r="C89" s="204">
        <v>2896793</v>
      </c>
      <c r="D89" s="204">
        <v>726564.5</v>
      </c>
      <c r="E89" s="204">
        <v>629349.5</v>
      </c>
      <c r="F89" s="132">
        <f t="shared" si="10"/>
        <v>0.1544690192015724</v>
      </c>
      <c r="G89" s="215">
        <f t="shared" si="11"/>
        <v>0.25081685160106365</v>
      </c>
      <c r="H89" s="123"/>
    </row>
    <row r="90" spans="1:8" ht="15.75">
      <c r="A90" s="130"/>
      <c r="B90" s="131">
        <f>DATE(2018,1,1)</f>
        <v>43101</v>
      </c>
      <c r="C90" s="204">
        <v>2551275</v>
      </c>
      <c r="D90" s="204">
        <v>498012.5</v>
      </c>
      <c r="E90" s="204">
        <v>710461.5</v>
      </c>
      <c r="F90" s="132">
        <f t="shared" si="10"/>
        <v>-0.29902957443858674</v>
      </c>
      <c r="G90" s="215">
        <f t="shared" si="11"/>
        <v>0.19520141889839393</v>
      </c>
      <c r="H90" s="123"/>
    </row>
    <row r="91" spans="1:8" ht="15.75">
      <c r="A91" s="130"/>
      <c r="B91" s="131">
        <f>DATE(2018,2,1)</f>
        <v>43132</v>
      </c>
      <c r="C91" s="204">
        <v>2698155</v>
      </c>
      <c r="D91" s="204">
        <v>615710.5</v>
      </c>
      <c r="E91" s="204">
        <v>760458.5</v>
      </c>
      <c r="F91" s="132">
        <f t="shared" si="10"/>
        <v>-0.19034306277068375</v>
      </c>
      <c r="G91" s="215">
        <f t="shared" si="11"/>
        <v>0.22819686044723153</v>
      </c>
      <c r="H91" s="123"/>
    </row>
    <row r="92" spans="1:8" ht="15.75">
      <c r="A92" s="130"/>
      <c r="B92" s="131">
        <f>DATE(2018,3,1)</f>
        <v>43160</v>
      </c>
      <c r="C92" s="204">
        <v>3209538</v>
      </c>
      <c r="D92" s="204">
        <v>707304</v>
      </c>
      <c r="E92" s="204">
        <v>716633</v>
      </c>
      <c r="F92" s="132">
        <f t="shared" si="10"/>
        <v>-0.013017820837164908</v>
      </c>
      <c r="G92" s="215">
        <f t="shared" si="11"/>
        <v>0.22037564284953162</v>
      </c>
      <c r="H92" s="123"/>
    </row>
    <row r="93" spans="1:8" ht="15.75">
      <c r="A93" s="130"/>
      <c r="B93" s="131">
        <f>DATE(2018,4,1)</f>
        <v>43191</v>
      </c>
      <c r="C93" s="204">
        <v>2670255</v>
      </c>
      <c r="D93" s="204">
        <v>580306.5</v>
      </c>
      <c r="E93" s="204">
        <v>721904.91</v>
      </c>
      <c r="F93" s="132">
        <f t="shared" si="10"/>
        <v>-0.19614551451104553</v>
      </c>
      <c r="G93" s="215">
        <f t="shared" si="11"/>
        <v>0.21732250290702573</v>
      </c>
      <c r="H93" s="123"/>
    </row>
    <row r="94" spans="1:8" ht="15.75">
      <c r="A94" s="130"/>
      <c r="B94" s="131">
        <f>DATE(2018,5,1)</f>
        <v>43221</v>
      </c>
      <c r="C94" s="204">
        <v>2503025</v>
      </c>
      <c r="D94" s="204">
        <v>600638</v>
      </c>
      <c r="E94" s="204">
        <v>685811.5</v>
      </c>
      <c r="F94" s="132">
        <f t="shared" si="10"/>
        <v>-0.1241937471156433</v>
      </c>
      <c r="G94" s="215">
        <f t="shared" si="11"/>
        <v>0.23996484254052597</v>
      </c>
      <c r="H94" s="123"/>
    </row>
    <row r="95" spans="1:8" ht="15.75">
      <c r="A95" s="130"/>
      <c r="B95" s="131">
        <f>DATE(2018,6,1)</f>
        <v>43252</v>
      </c>
      <c r="C95" s="204">
        <v>2529126</v>
      </c>
      <c r="D95" s="204">
        <v>621169</v>
      </c>
      <c r="E95" s="204">
        <v>722290.5</v>
      </c>
      <c r="F95" s="132">
        <f t="shared" si="10"/>
        <v>-0.140001149122133</v>
      </c>
      <c r="G95" s="215">
        <f t="shared" si="11"/>
        <v>0.2456061896481235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7.25" thickBot="1" thickTop="1">
      <c r="A97" s="141" t="s">
        <v>14</v>
      </c>
      <c r="B97" s="142"/>
      <c r="C97" s="207">
        <f>SUM(C84:C96)</f>
        <v>31720952</v>
      </c>
      <c r="D97" s="261">
        <f>SUM(D84:D96)</f>
        <v>7654486</v>
      </c>
      <c r="E97" s="207">
        <f>SUM(E84:E96)</f>
        <v>8298021.41</v>
      </c>
      <c r="F97" s="268">
        <f>(+D97-E97)/E97</f>
        <v>-0.07755287413749878</v>
      </c>
      <c r="G97" s="267">
        <f>D97/C97</f>
        <v>0.2413069443817449</v>
      </c>
      <c r="H97" s="123"/>
    </row>
    <row r="98" spans="1:8" ht="15.75" customHeight="1" thickTop="1">
      <c r="A98" s="130"/>
      <c r="B98" s="134"/>
      <c r="C98" s="204"/>
      <c r="D98" s="204"/>
      <c r="E98" s="204"/>
      <c r="F98" s="132"/>
      <c r="G98" s="218"/>
      <c r="H98" s="123"/>
    </row>
    <row r="99" spans="1:8" ht="15.75">
      <c r="A99" s="130" t="s">
        <v>17</v>
      </c>
      <c r="B99" s="131">
        <f>DATE(2017,7,1)</f>
        <v>42917</v>
      </c>
      <c r="C99" s="204">
        <v>1774615.5</v>
      </c>
      <c r="D99" s="204">
        <v>362602</v>
      </c>
      <c r="E99" s="204">
        <v>441103</v>
      </c>
      <c r="F99" s="132">
        <f aca="true" t="shared" si="12" ref="F99:F110">(+D99-E99)/E99</f>
        <v>-0.17796523714415907</v>
      </c>
      <c r="G99" s="215">
        <f aca="true" t="shared" si="13" ref="G99:G110">D99/C99</f>
        <v>0.20432707817552592</v>
      </c>
      <c r="H99" s="123"/>
    </row>
    <row r="100" spans="1:8" ht="15.75">
      <c r="A100" s="130"/>
      <c r="B100" s="131">
        <f>DATE(2017,8,1)</f>
        <v>42948</v>
      </c>
      <c r="C100" s="204">
        <v>1671518</v>
      </c>
      <c r="D100" s="204">
        <v>327445</v>
      </c>
      <c r="E100" s="204">
        <v>347007.5</v>
      </c>
      <c r="F100" s="132">
        <f t="shared" si="12"/>
        <v>-0.056374862214793625</v>
      </c>
      <c r="G100" s="215">
        <f t="shared" si="13"/>
        <v>0.19589678364217436</v>
      </c>
      <c r="H100" s="123"/>
    </row>
    <row r="101" spans="1:8" ht="15.75">
      <c r="A101" s="130"/>
      <c r="B101" s="131">
        <f>DATE(2017,9,1)</f>
        <v>42979</v>
      </c>
      <c r="C101" s="204">
        <v>1667123.5</v>
      </c>
      <c r="D101" s="204">
        <v>332251.5</v>
      </c>
      <c r="E101" s="204">
        <v>308553.5</v>
      </c>
      <c r="F101" s="132">
        <f t="shared" si="12"/>
        <v>0.0768035365017736</v>
      </c>
      <c r="G101" s="215">
        <f t="shared" si="13"/>
        <v>0.1992962728916004</v>
      </c>
      <c r="H101" s="123"/>
    </row>
    <row r="102" spans="1:8" ht="15.75">
      <c r="A102" s="130"/>
      <c r="B102" s="131">
        <f>DATE(2017,10,1)</f>
        <v>43009</v>
      </c>
      <c r="C102" s="204">
        <v>1774605</v>
      </c>
      <c r="D102" s="204">
        <v>339253.5</v>
      </c>
      <c r="E102" s="204">
        <v>366717</v>
      </c>
      <c r="F102" s="132">
        <f t="shared" si="12"/>
        <v>-0.07489017416700071</v>
      </c>
      <c r="G102" s="215">
        <f t="shared" si="13"/>
        <v>0.1911712747343775</v>
      </c>
      <c r="H102" s="123"/>
    </row>
    <row r="103" spans="1:8" ht="15.75">
      <c r="A103" s="130"/>
      <c r="B103" s="131">
        <f>DATE(2017,11,1)</f>
        <v>43040</v>
      </c>
      <c r="C103" s="204">
        <v>1532678.5</v>
      </c>
      <c r="D103" s="204">
        <v>333725</v>
      </c>
      <c r="E103" s="204">
        <v>388040.5</v>
      </c>
      <c r="F103" s="132">
        <f t="shared" si="12"/>
        <v>-0.13997379139548577</v>
      </c>
      <c r="G103" s="215">
        <f t="shared" si="13"/>
        <v>0.217739728194791</v>
      </c>
      <c r="H103" s="123"/>
    </row>
    <row r="104" spans="1:8" ht="15.75">
      <c r="A104" s="130"/>
      <c r="B104" s="131">
        <f>DATE(2017,12,1)</f>
        <v>43070</v>
      </c>
      <c r="C104" s="204">
        <v>1545186.75</v>
      </c>
      <c r="D104" s="204">
        <v>307903.75</v>
      </c>
      <c r="E104" s="204">
        <v>332824</v>
      </c>
      <c r="F104" s="132">
        <f t="shared" si="12"/>
        <v>-0.0748751592433238</v>
      </c>
      <c r="G104" s="215">
        <f t="shared" si="13"/>
        <v>0.19926636699415134</v>
      </c>
      <c r="H104" s="123"/>
    </row>
    <row r="105" spans="1:8" ht="15.75">
      <c r="A105" s="130"/>
      <c r="B105" s="131">
        <f>DATE(2018,1,1)</f>
        <v>43101</v>
      </c>
      <c r="C105" s="204">
        <v>1245691</v>
      </c>
      <c r="D105" s="204">
        <v>242105.5</v>
      </c>
      <c r="E105" s="204">
        <v>315666.5</v>
      </c>
      <c r="F105" s="132">
        <f t="shared" si="12"/>
        <v>-0.23303391395665995</v>
      </c>
      <c r="G105" s="215">
        <f t="shared" si="13"/>
        <v>0.19435437841326622</v>
      </c>
      <c r="H105" s="123"/>
    </row>
    <row r="106" spans="1:8" ht="15.75">
      <c r="A106" s="130"/>
      <c r="B106" s="131">
        <f>DATE(2018,2,1)</f>
        <v>43132</v>
      </c>
      <c r="C106" s="204">
        <v>1262905</v>
      </c>
      <c r="D106" s="204">
        <v>272009.5</v>
      </c>
      <c r="E106" s="204">
        <v>475478</v>
      </c>
      <c r="F106" s="132">
        <f t="shared" si="12"/>
        <v>-0.427924110053462</v>
      </c>
      <c r="G106" s="215">
        <f t="shared" si="13"/>
        <v>0.215383975833495</v>
      </c>
      <c r="H106" s="123"/>
    </row>
    <row r="107" spans="1:8" ht="15.75">
      <c r="A107" s="130"/>
      <c r="B107" s="131">
        <f>DATE(2018,3,1)</f>
        <v>43160</v>
      </c>
      <c r="C107" s="204">
        <v>1602860.5</v>
      </c>
      <c r="D107" s="204">
        <v>265483</v>
      </c>
      <c r="E107" s="204">
        <v>516561</v>
      </c>
      <c r="F107" s="132">
        <f t="shared" si="12"/>
        <v>-0.48605682581534415</v>
      </c>
      <c r="G107" s="215">
        <f t="shared" si="13"/>
        <v>0.1656307582599983</v>
      </c>
      <c r="H107" s="123"/>
    </row>
    <row r="108" spans="1:8" ht="15.75">
      <c r="A108" s="130"/>
      <c r="B108" s="131">
        <f>DATE(2018,4,1)</f>
        <v>43191</v>
      </c>
      <c r="C108" s="204">
        <v>1400292</v>
      </c>
      <c r="D108" s="204">
        <v>271676</v>
      </c>
      <c r="E108" s="204">
        <v>309404.5</v>
      </c>
      <c r="F108" s="132">
        <f t="shared" si="12"/>
        <v>-0.12193907974835531</v>
      </c>
      <c r="G108" s="215">
        <f t="shared" si="13"/>
        <v>0.194013819974691</v>
      </c>
      <c r="H108" s="123"/>
    </row>
    <row r="109" spans="1:8" ht="15.75">
      <c r="A109" s="130"/>
      <c r="B109" s="131">
        <f>DATE(2018,5,1)</f>
        <v>43221</v>
      </c>
      <c r="C109" s="204">
        <v>1392561</v>
      </c>
      <c r="D109" s="204">
        <v>267747</v>
      </c>
      <c r="E109" s="204">
        <v>367495</v>
      </c>
      <c r="F109" s="132">
        <f t="shared" si="12"/>
        <v>-0.27142682213363445</v>
      </c>
      <c r="G109" s="215">
        <f t="shared" si="13"/>
        <v>0.19226949483721</v>
      </c>
      <c r="H109" s="123"/>
    </row>
    <row r="110" spans="1:8" ht="15.75">
      <c r="A110" s="130"/>
      <c r="B110" s="131">
        <f>DATE(2018,6,1)</f>
        <v>43252</v>
      </c>
      <c r="C110" s="204">
        <v>1502091</v>
      </c>
      <c r="D110" s="204">
        <v>277397</v>
      </c>
      <c r="E110" s="204">
        <v>365948</v>
      </c>
      <c r="F110" s="132">
        <f t="shared" si="12"/>
        <v>-0.24197700219703347</v>
      </c>
      <c r="G110" s="215">
        <f t="shared" si="13"/>
        <v>0.18467389791963337</v>
      </c>
      <c r="H110" s="123"/>
    </row>
    <row r="111" spans="1:8" ht="15.75" customHeight="1" thickBot="1">
      <c r="A111" s="130"/>
      <c r="B111" s="131"/>
      <c r="C111" s="204"/>
      <c r="D111" s="204"/>
      <c r="E111" s="204"/>
      <c r="F111" s="132"/>
      <c r="G111" s="215"/>
      <c r="H111" s="123"/>
    </row>
    <row r="112" spans="1:8" ht="17.25" thickBot="1" thickTop="1">
      <c r="A112" s="141" t="s">
        <v>14</v>
      </c>
      <c r="B112" s="142"/>
      <c r="C112" s="207">
        <f>SUM(C99:C111)</f>
        <v>18372127.75</v>
      </c>
      <c r="D112" s="261">
        <f>SUM(D99:D111)</f>
        <v>3599598.75</v>
      </c>
      <c r="E112" s="207">
        <f>SUM(E99:E111)</f>
        <v>4534798.5</v>
      </c>
      <c r="F112" s="269">
        <f>(+D112-E112)/E112</f>
        <v>-0.20622741010432988</v>
      </c>
      <c r="G112" s="267">
        <f>D112/C112</f>
        <v>0.19592715655920692</v>
      </c>
      <c r="H112" s="123"/>
    </row>
    <row r="113" spans="1:8" ht="15.75" customHeight="1" thickTop="1">
      <c r="A113" s="130"/>
      <c r="B113" s="139"/>
      <c r="C113" s="205"/>
      <c r="D113" s="205"/>
      <c r="E113" s="205"/>
      <c r="F113" s="140"/>
      <c r="G113" s="216"/>
      <c r="H113" s="123"/>
    </row>
    <row r="114" spans="1:8" ht="15.75">
      <c r="A114" s="130" t="s">
        <v>55</v>
      </c>
      <c r="B114" s="131">
        <f>DATE(2017,7,1)</f>
        <v>42917</v>
      </c>
      <c r="C114" s="204">
        <v>11293642</v>
      </c>
      <c r="D114" s="204">
        <v>2413267.38</v>
      </c>
      <c r="E114" s="204">
        <v>2520439.82</v>
      </c>
      <c r="F114" s="132">
        <f aca="true" t="shared" si="14" ref="F114:F125">(+D114-E114)/E114</f>
        <v>-0.04252132471070067</v>
      </c>
      <c r="G114" s="215">
        <f aca="true" t="shared" si="15" ref="G114:G125">D114/C114</f>
        <v>0.21368371513812814</v>
      </c>
      <c r="H114" s="123"/>
    </row>
    <row r="115" spans="1:8" ht="15.75">
      <c r="A115" s="130"/>
      <c r="B115" s="131">
        <f>DATE(2017,8,1)</f>
        <v>42948</v>
      </c>
      <c r="C115" s="204">
        <v>10516670</v>
      </c>
      <c r="D115" s="204">
        <v>2335423.3</v>
      </c>
      <c r="E115" s="204">
        <v>3004073.54</v>
      </c>
      <c r="F115" s="132">
        <f t="shared" si="14"/>
        <v>-0.22258118221699733</v>
      </c>
      <c r="G115" s="215">
        <f t="shared" si="15"/>
        <v>0.22206870615888868</v>
      </c>
      <c r="H115" s="123"/>
    </row>
    <row r="116" spans="1:8" ht="15.75">
      <c r="A116" s="130"/>
      <c r="B116" s="131">
        <f>DATE(2017,9,1)</f>
        <v>42979</v>
      </c>
      <c r="C116" s="204">
        <v>10643966</v>
      </c>
      <c r="D116" s="204">
        <v>2183188.72</v>
      </c>
      <c r="E116" s="204">
        <v>2555946.89</v>
      </c>
      <c r="F116" s="132">
        <f t="shared" si="14"/>
        <v>-0.1458395600700451</v>
      </c>
      <c r="G116" s="215">
        <f t="shared" si="15"/>
        <v>0.20511045600859681</v>
      </c>
      <c r="H116" s="123"/>
    </row>
    <row r="117" spans="1:8" ht="15.75">
      <c r="A117" s="130"/>
      <c r="B117" s="131">
        <f>DATE(2017,10,1)</f>
        <v>43009</v>
      </c>
      <c r="C117" s="204">
        <v>10167841</v>
      </c>
      <c r="D117" s="204">
        <v>1755251.41</v>
      </c>
      <c r="E117" s="204">
        <v>2421847.85</v>
      </c>
      <c r="F117" s="132">
        <f t="shared" si="14"/>
        <v>-0.2752429059488606</v>
      </c>
      <c r="G117" s="215">
        <f t="shared" si="15"/>
        <v>0.17262773975320816</v>
      </c>
      <c r="H117" s="123"/>
    </row>
    <row r="118" spans="1:8" ht="15.75">
      <c r="A118" s="130"/>
      <c r="B118" s="131">
        <f>DATE(2017,11,1)</f>
        <v>43040</v>
      </c>
      <c r="C118" s="204">
        <v>10221944</v>
      </c>
      <c r="D118" s="204">
        <v>2279764</v>
      </c>
      <c r="E118" s="204">
        <v>2285644.93</v>
      </c>
      <c r="F118" s="132">
        <f t="shared" si="14"/>
        <v>-0.002572984947403955</v>
      </c>
      <c r="G118" s="215">
        <f t="shared" si="15"/>
        <v>0.22302646150282177</v>
      </c>
      <c r="H118" s="123"/>
    </row>
    <row r="119" spans="1:8" ht="15.75">
      <c r="A119" s="130"/>
      <c r="B119" s="131">
        <f>DATE(2017,12,1)</f>
        <v>43070</v>
      </c>
      <c r="C119" s="204">
        <v>11931336</v>
      </c>
      <c r="D119" s="204">
        <v>2519457.53</v>
      </c>
      <c r="E119" s="204">
        <v>2341724.27</v>
      </c>
      <c r="F119" s="132">
        <f t="shared" si="14"/>
        <v>0.07589845750712562</v>
      </c>
      <c r="G119" s="215">
        <f t="shared" si="15"/>
        <v>0.2111630692489089</v>
      </c>
      <c r="H119" s="123"/>
    </row>
    <row r="120" spans="1:8" ht="15.75">
      <c r="A120" s="130"/>
      <c r="B120" s="131">
        <f>DATE(2018,1,1)</f>
        <v>43101</v>
      </c>
      <c r="C120" s="204">
        <v>11128870</v>
      </c>
      <c r="D120" s="204">
        <v>2138515.99</v>
      </c>
      <c r="E120" s="204">
        <v>2074338.56</v>
      </c>
      <c r="F120" s="132">
        <f t="shared" si="14"/>
        <v>0.030938744155631068</v>
      </c>
      <c r="G120" s="215">
        <f t="shared" si="15"/>
        <v>0.19215931087343102</v>
      </c>
      <c r="H120" s="123"/>
    </row>
    <row r="121" spans="1:8" ht="15.75">
      <c r="A121" s="130"/>
      <c r="B121" s="131">
        <f>DATE(2018,2,1)</f>
        <v>43132</v>
      </c>
      <c r="C121" s="204">
        <v>12301005</v>
      </c>
      <c r="D121" s="204">
        <v>2359809.15</v>
      </c>
      <c r="E121" s="204">
        <v>2577455.58</v>
      </c>
      <c r="F121" s="132">
        <f t="shared" si="14"/>
        <v>-0.0844423592355373</v>
      </c>
      <c r="G121" s="215">
        <f t="shared" si="15"/>
        <v>0.19183872781126418</v>
      </c>
      <c r="H121" s="123"/>
    </row>
    <row r="122" spans="1:8" ht="15.75">
      <c r="A122" s="130"/>
      <c r="B122" s="131">
        <f>DATE(2018,3,1)</f>
        <v>43160</v>
      </c>
      <c r="C122" s="204">
        <v>15353479</v>
      </c>
      <c r="D122" s="204">
        <v>2616619.2</v>
      </c>
      <c r="E122" s="204">
        <v>2876855.5</v>
      </c>
      <c r="F122" s="132">
        <f t="shared" si="14"/>
        <v>-0.09045859272389586</v>
      </c>
      <c r="G122" s="215">
        <f t="shared" si="15"/>
        <v>0.1704251655276306</v>
      </c>
      <c r="H122" s="123"/>
    </row>
    <row r="123" spans="1:8" ht="15.75">
      <c r="A123" s="130"/>
      <c r="B123" s="131">
        <f>DATE(2018,4,1)</f>
        <v>43191</v>
      </c>
      <c r="C123" s="204">
        <v>13733940.25</v>
      </c>
      <c r="D123" s="204">
        <v>2580078.79</v>
      </c>
      <c r="E123" s="204">
        <v>3264774.26</v>
      </c>
      <c r="F123" s="132">
        <f t="shared" si="14"/>
        <v>-0.2097221478338903</v>
      </c>
      <c r="G123" s="215">
        <f t="shared" si="15"/>
        <v>0.18786151264929232</v>
      </c>
      <c r="H123" s="123"/>
    </row>
    <row r="124" spans="1:8" ht="15.75">
      <c r="A124" s="130"/>
      <c r="B124" s="131">
        <f>DATE(2018,5,1)</f>
        <v>43221</v>
      </c>
      <c r="C124" s="204">
        <v>13916191</v>
      </c>
      <c r="D124" s="204">
        <v>2779429.23</v>
      </c>
      <c r="E124" s="204">
        <v>2756446.58</v>
      </c>
      <c r="F124" s="132">
        <f t="shared" si="14"/>
        <v>0.008337781753782404</v>
      </c>
      <c r="G124" s="215">
        <f t="shared" si="15"/>
        <v>0.19972629220165203</v>
      </c>
      <c r="H124" s="123"/>
    </row>
    <row r="125" spans="1:8" ht="15.75">
      <c r="A125" s="130"/>
      <c r="B125" s="131">
        <f>DATE(2018,6,1)</f>
        <v>43252</v>
      </c>
      <c r="C125" s="204">
        <v>13203057</v>
      </c>
      <c r="D125" s="204">
        <v>2616409.61</v>
      </c>
      <c r="E125" s="204">
        <v>2241420.5</v>
      </c>
      <c r="F125" s="132">
        <f t="shared" si="14"/>
        <v>0.16729975923750134</v>
      </c>
      <c r="G125" s="215">
        <f t="shared" si="15"/>
        <v>0.19816695557703037</v>
      </c>
      <c r="H125" s="123"/>
    </row>
    <row r="126" spans="1:8" ht="15.75" customHeight="1" thickBot="1">
      <c r="A126" s="130"/>
      <c r="B126" s="131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6">
        <f>SUM(C114:C126)</f>
        <v>144411941.25</v>
      </c>
      <c r="D127" s="206">
        <f>SUM(D114:D126)</f>
        <v>28577214.31</v>
      </c>
      <c r="E127" s="206">
        <f>SUM(E114:E126)</f>
        <v>30920968.279999994</v>
      </c>
      <c r="F127" s="143">
        <f>(+D127-E127)/E127</f>
        <v>-0.07579820750684446</v>
      </c>
      <c r="G127" s="217">
        <f>D127/C127</f>
        <v>0.19788678181763586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6"/>
      <c r="H128" s="123"/>
    </row>
    <row r="129" spans="1:8" ht="15.75">
      <c r="A129" s="130" t="s">
        <v>18</v>
      </c>
      <c r="B129" s="131">
        <f>DATE(2017,7,1)</f>
        <v>42917</v>
      </c>
      <c r="C129" s="204">
        <v>11171474.5</v>
      </c>
      <c r="D129" s="204">
        <v>2350317.5</v>
      </c>
      <c r="E129" s="204">
        <v>2118226.5</v>
      </c>
      <c r="F129" s="132">
        <f aca="true" t="shared" si="16" ref="F129:F140">(+D129-E129)/E129</f>
        <v>0.1095685470840819</v>
      </c>
      <c r="G129" s="215">
        <f aca="true" t="shared" si="17" ref="G129:G140">D129/C129</f>
        <v>0.2103856120335771</v>
      </c>
      <c r="H129" s="123"/>
    </row>
    <row r="130" spans="1:8" ht="15.75">
      <c r="A130" s="130"/>
      <c r="B130" s="131">
        <f>DATE(2017,8,1)</f>
        <v>42948</v>
      </c>
      <c r="C130" s="204">
        <v>11368179</v>
      </c>
      <c r="D130" s="204">
        <v>1942234.5</v>
      </c>
      <c r="E130" s="204">
        <v>2333266.5</v>
      </c>
      <c r="F130" s="132">
        <f t="shared" si="16"/>
        <v>-0.167589943111942</v>
      </c>
      <c r="G130" s="215">
        <f t="shared" si="17"/>
        <v>0.17084833903477417</v>
      </c>
      <c r="H130" s="123"/>
    </row>
    <row r="131" spans="1:8" ht="15.75">
      <c r="A131" s="130"/>
      <c r="B131" s="131">
        <f>DATE(2017,9,1)</f>
        <v>42979</v>
      </c>
      <c r="C131" s="204">
        <v>10900273.26</v>
      </c>
      <c r="D131" s="204">
        <v>2639234.26</v>
      </c>
      <c r="E131" s="204">
        <v>2224408.5</v>
      </c>
      <c r="F131" s="132">
        <f t="shared" si="16"/>
        <v>0.18648812032502113</v>
      </c>
      <c r="G131" s="215">
        <f t="shared" si="17"/>
        <v>0.24212551346625596</v>
      </c>
      <c r="H131" s="123"/>
    </row>
    <row r="132" spans="1:8" ht="15.75">
      <c r="A132" s="130"/>
      <c r="B132" s="131">
        <f>DATE(2017,10,1)</f>
        <v>43009</v>
      </c>
      <c r="C132" s="204">
        <v>11731634</v>
      </c>
      <c r="D132" s="204">
        <v>2495709.5</v>
      </c>
      <c r="E132" s="204">
        <v>2409509.55</v>
      </c>
      <c r="F132" s="132">
        <f t="shared" si="16"/>
        <v>0.03577489452158436</v>
      </c>
      <c r="G132" s="215">
        <f t="shared" si="17"/>
        <v>0.21273332427520328</v>
      </c>
      <c r="H132" s="123"/>
    </row>
    <row r="133" spans="1:8" ht="15.75">
      <c r="A133" s="130"/>
      <c r="B133" s="131">
        <f>DATE(2017,11,1)</f>
        <v>43040</v>
      </c>
      <c r="C133" s="204">
        <v>10822955.5</v>
      </c>
      <c r="D133" s="204">
        <v>2041604</v>
      </c>
      <c r="E133" s="204">
        <v>2793601.5</v>
      </c>
      <c r="F133" s="132">
        <f t="shared" si="16"/>
        <v>-0.26918567304606617</v>
      </c>
      <c r="G133" s="215">
        <f t="shared" si="17"/>
        <v>0.18863645886745076</v>
      </c>
      <c r="H133" s="123"/>
    </row>
    <row r="134" spans="1:8" ht="15.75">
      <c r="A134" s="130"/>
      <c r="B134" s="131">
        <f>DATE(2017,12,1)</f>
        <v>43070</v>
      </c>
      <c r="C134" s="204">
        <v>12526773</v>
      </c>
      <c r="D134" s="204">
        <v>2741297</v>
      </c>
      <c r="E134" s="204">
        <v>3032603.5</v>
      </c>
      <c r="F134" s="132">
        <f t="shared" si="16"/>
        <v>-0.09605822192053791</v>
      </c>
      <c r="G134" s="215">
        <f t="shared" si="17"/>
        <v>0.2188350503357888</v>
      </c>
      <c r="H134" s="123"/>
    </row>
    <row r="135" spans="1:8" ht="15.75">
      <c r="A135" s="130"/>
      <c r="B135" s="131">
        <f>DATE(2018,1,1)</f>
        <v>43101</v>
      </c>
      <c r="C135" s="204">
        <v>11541390</v>
      </c>
      <c r="D135" s="204">
        <v>2741722.5</v>
      </c>
      <c r="E135" s="204">
        <v>2469743</v>
      </c>
      <c r="F135" s="132">
        <f t="shared" si="16"/>
        <v>0.11012461620500595</v>
      </c>
      <c r="G135" s="215">
        <f t="shared" si="17"/>
        <v>0.23755565837390472</v>
      </c>
      <c r="H135" s="123"/>
    </row>
    <row r="136" spans="1:8" ht="15.75">
      <c r="A136" s="130"/>
      <c r="B136" s="131">
        <f>DATE(2018,2,1)</f>
        <v>43132</v>
      </c>
      <c r="C136" s="204">
        <v>11523769</v>
      </c>
      <c r="D136" s="204">
        <v>2377846.5</v>
      </c>
      <c r="E136" s="204">
        <v>2552376</v>
      </c>
      <c r="F136" s="132">
        <f t="shared" si="16"/>
        <v>-0.06837922782536743</v>
      </c>
      <c r="G136" s="215">
        <f t="shared" si="17"/>
        <v>0.2063427772632374</v>
      </c>
      <c r="H136" s="123"/>
    </row>
    <row r="137" spans="1:8" ht="15.75">
      <c r="A137" s="130"/>
      <c r="B137" s="131">
        <f>DATE(2018,3,1)</f>
        <v>43160</v>
      </c>
      <c r="C137" s="204">
        <v>13401185.2</v>
      </c>
      <c r="D137" s="204">
        <v>2485041.2</v>
      </c>
      <c r="E137" s="204">
        <v>2805949.5</v>
      </c>
      <c r="F137" s="132">
        <f t="shared" si="16"/>
        <v>-0.11436709748340083</v>
      </c>
      <c r="G137" s="215">
        <f t="shared" si="17"/>
        <v>0.18543443456031042</v>
      </c>
      <c r="H137" s="123"/>
    </row>
    <row r="138" spans="1:8" ht="15.75">
      <c r="A138" s="130"/>
      <c r="B138" s="131">
        <f>DATE(2018,4,1)</f>
        <v>43191</v>
      </c>
      <c r="C138" s="204">
        <v>12111878</v>
      </c>
      <c r="D138" s="204">
        <v>2474304</v>
      </c>
      <c r="E138" s="204">
        <v>2242080</v>
      </c>
      <c r="F138" s="132">
        <f t="shared" si="16"/>
        <v>0.10357525155213017</v>
      </c>
      <c r="G138" s="215">
        <f t="shared" si="17"/>
        <v>0.20428739457250147</v>
      </c>
      <c r="H138" s="123"/>
    </row>
    <row r="139" spans="1:8" ht="15.75">
      <c r="A139" s="130"/>
      <c r="B139" s="131">
        <f>DATE(2018,5,1)</f>
        <v>43221</v>
      </c>
      <c r="C139" s="204">
        <v>12376580</v>
      </c>
      <c r="D139" s="204">
        <v>2335108.5</v>
      </c>
      <c r="E139" s="204">
        <v>2140945</v>
      </c>
      <c r="F139" s="132">
        <f t="shared" si="16"/>
        <v>0.09069055954263187</v>
      </c>
      <c r="G139" s="215">
        <f t="shared" si="17"/>
        <v>0.188671547390313</v>
      </c>
      <c r="H139" s="123"/>
    </row>
    <row r="140" spans="1:8" ht="15.75">
      <c r="A140" s="130"/>
      <c r="B140" s="131">
        <f>DATE(2018,6,1)</f>
        <v>43252</v>
      </c>
      <c r="C140" s="204">
        <v>12574974.25</v>
      </c>
      <c r="D140" s="204">
        <v>2096539.75</v>
      </c>
      <c r="E140" s="204">
        <v>1608343.5</v>
      </c>
      <c r="F140" s="132">
        <f t="shared" si="16"/>
        <v>0.30353979109562107</v>
      </c>
      <c r="G140" s="215">
        <f t="shared" si="17"/>
        <v>0.16672318434369757</v>
      </c>
      <c r="H140" s="123"/>
    </row>
    <row r="141" spans="1:8" ht="15.75" customHeight="1" thickBot="1">
      <c r="A141" s="130"/>
      <c r="B141" s="131"/>
      <c r="C141" s="204"/>
      <c r="D141" s="204"/>
      <c r="E141" s="204"/>
      <c r="F141" s="132"/>
      <c r="G141" s="215"/>
      <c r="H141" s="123"/>
    </row>
    <row r="142" spans="1:8" ht="17.25" thickBot="1" thickTop="1">
      <c r="A142" s="141" t="s">
        <v>14</v>
      </c>
      <c r="B142" s="142"/>
      <c r="C142" s="206">
        <f>SUM(C129:C141)</f>
        <v>142051065.70999998</v>
      </c>
      <c r="D142" s="206">
        <f>SUM(D129:D141)</f>
        <v>28720959.209999997</v>
      </c>
      <c r="E142" s="206">
        <f>SUM(E129:E141)</f>
        <v>28731053.05</v>
      </c>
      <c r="F142" s="143">
        <f>(+D142-E142)/E142</f>
        <v>-0.0003513216164558081</v>
      </c>
      <c r="G142" s="217">
        <f>D142/C142</f>
        <v>0.20218756590418263</v>
      </c>
      <c r="H142" s="123"/>
    </row>
    <row r="143" spans="1:8" ht="15.75" customHeight="1" thickTop="1">
      <c r="A143" s="138"/>
      <c r="B143" s="139"/>
      <c r="C143" s="205"/>
      <c r="D143" s="205"/>
      <c r="E143" s="205"/>
      <c r="F143" s="140"/>
      <c r="G143" s="216"/>
      <c r="H143" s="123"/>
    </row>
    <row r="144" spans="1:8" ht="15.75">
      <c r="A144" s="130" t="s">
        <v>58</v>
      </c>
      <c r="B144" s="131">
        <f>DATE(2017,7,1)</f>
        <v>42917</v>
      </c>
      <c r="C144" s="204">
        <v>12458554</v>
      </c>
      <c r="D144" s="204">
        <v>2354816.66</v>
      </c>
      <c r="E144" s="204">
        <v>1971007.14</v>
      </c>
      <c r="F144" s="132">
        <f aca="true" t="shared" si="18" ref="F144:F155">(+D144-E144)/E144</f>
        <v>0.19472761524344365</v>
      </c>
      <c r="G144" s="215">
        <f aca="true" t="shared" si="19" ref="G144:G155">D144/C144</f>
        <v>0.1890120362282814</v>
      </c>
      <c r="H144" s="123"/>
    </row>
    <row r="145" spans="1:8" ht="15.75">
      <c r="A145" s="130"/>
      <c r="B145" s="131">
        <f>DATE(2017,8,1)</f>
        <v>42948</v>
      </c>
      <c r="C145" s="204">
        <v>11608228</v>
      </c>
      <c r="D145" s="204">
        <v>1981472</v>
      </c>
      <c r="E145" s="204">
        <v>1451474</v>
      </c>
      <c r="F145" s="132">
        <f t="shared" si="18"/>
        <v>0.3651446736214359</v>
      </c>
      <c r="G145" s="215">
        <f t="shared" si="19"/>
        <v>0.17069547565743884</v>
      </c>
      <c r="H145" s="123"/>
    </row>
    <row r="146" spans="1:8" ht="15.75">
      <c r="A146" s="130"/>
      <c r="B146" s="131">
        <f>DATE(2017,9,1)</f>
        <v>42979</v>
      </c>
      <c r="C146" s="204">
        <v>11938179</v>
      </c>
      <c r="D146" s="204">
        <v>2416134</v>
      </c>
      <c r="E146" s="204">
        <v>2289039.96</v>
      </c>
      <c r="F146" s="132">
        <f t="shared" si="18"/>
        <v>0.05552285771367663</v>
      </c>
      <c r="G146" s="215">
        <f t="shared" si="19"/>
        <v>0.2023871479896557</v>
      </c>
      <c r="H146" s="123"/>
    </row>
    <row r="147" spans="1:8" ht="15.75">
      <c r="A147" s="130"/>
      <c r="B147" s="131">
        <f>DATE(2017,10,1)</f>
        <v>43009</v>
      </c>
      <c r="C147" s="204">
        <v>11622187</v>
      </c>
      <c r="D147" s="204">
        <v>2118997.32</v>
      </c>
      <c r="E147" s="204">
        <v>2354728.74</v>
      </c>
      <c r="F147" s="132">
        <f t="shared" si="18"/>
        <v>-0.10010979863438553</v>
      </c>
      <c r="G147" s="215">
        <f t="shared" si="19"/>
        <v>0.1823234577106701</v>
      </c>
      <c r="H147" s="123"/>
    </row>
    <row r="148" spans="1:8" ht="15.75">
      <c r="A148" s="130"/>
      <c r="B148" s="131">
        <f>DATE(2017,11,1)</f>
        <v>43040</v>
      </c>
      <c r="C148" s="204">
        <v>12029157</v>
      </c>
      <c r="D148" s="204">
        <v>2312922.92</v>
      </c>
      <c r="E148" s="204">
        <v>1761255.13</v>
      </c>
      <c r="F148" s="132">
        <f t="shared" si="18"/>
        <v>0.3132242345832089</v>
      </c>
      <c r="G148" s="215">
        <f t="shared" si="19"/>
        <v>0.19227639310053066</v>
      </c>
      <c r="H148" s="123"/>
    </row>
    <row r="149" spans="1:8" ht="15.75">
      <c r="A149" s="130"/>
      <c r="B149" s="131">
        <f>DATE(2017,12,1)</f>
        <v>43070</v>
      </c>
      <c r="C149" s="204">
        <v>12735350</v>
      </c>
      <c r="D149" s="204">
        <v>2152431.25</v>
      </c>
      <c r="E149" s="204">
        <v>2578864.5</v>
      </c>
      <c r="F149" s="132">
        <f t="shared" si="18"/>
        <v>-0.165356981725872</v>
      </c>
      <c r="G149" s="215">
        <f t="shared" si="19"/>
        <v>0.16901233574263763</v>
      </c>
      <c r="H149" s="123"/>
    </row>
    <row r="150" spans="1:8" ht="15.75">
      <c r="A150" s="130"/>
      <c r="B150" s="131">
        <f>DATE(2018,1,1)</f>
        <v>43101</v>
      </c>
      <c r="C150" s="204">
        <v>11287886</v>
      </c>
      <c r="D150" s="204">
        <v>2163065</v>
      </c>
      <c r="E150" s="204">
        <v>2364002.4</v>
      </c>
      <c r="F150" s="132">
        <f t="shared" si="18"/>
        <v>-0.08499881387599265</v>
      </c>
      <c r="G150" s="215">
        <f t="shared" si="19"/>
        <v>0.19162711246375097</v>
      </c>
      <c r="H150" s="123"/>
    </row>
    <row r="151" spans="1:8" ht="15.75">
      <c r="A151" s="130"/>
      <c r="B151" s="131">
        <f>DATE(2018,2,1)</f>
        <v>43132</v>
      </c>
      <c r="C151" s="204">
        <v>11151697</v>
      </c>
      <c r="D151" s="204">
        <v>2130295.34</v>
      </c>
      <c r="E151" s="204">
        <v>2194225.21</v>
      </c>
      <c r="F151" s="132">
        <f t="shared" si="18"/>
        <v>-0.0291355097501592</v>
      </c>
      <c r="G151" s="215">
        <f t="shared" si="19"/>
        <v>0.19102880395692243</v>
      </c>
      <c r="H151" s="123"/>
    </row>
    <row r="152" spans="1:8" ht="15.75">
      <c r="A152" s="130"/>
      <c r="B152" s="131">
        <f>DATE(2018,3,1)</f>
        <v>43160</v>
      </c>
      <c r="C152" s="204">
        <v>13637400</v>
      </c>
      <c r="D152" s="204">
        <v>2819224.65</v>
      </c>
      <c r="E152" s="204">
        <v>2708171.36</v>
      </c>
      <c r="F152" s="132">
        <f t="shared" si="18"/>
        <v>0.04100674412272052</v>
      </c>
      <c r="G152" s="215">
        <f t="shared" si="19"/>
        <v>0.20672742971534164</v>
      </c>
      <c r="H152" s="123"/>
    </row>
    <row r="153" spans="1:8" ht="15.75">
      <c r="A153" s="130"/>
      <c r="B153" s="131">
        <f>DATE(2018,4,1)</f>
        <v>43191</v>
      </c>
      <c r="C153" s="204">
        <v>12528720</v>
      </c>
      <c r="D153" s="204">
        <v>1986224.5</v>
      </c>
      <c r="E153" s="204">
        <v>2391350.67</v>
      </c>
      <c r="F153" s="132">
        <f t="shared" si="18"/>
        <v>-0.16941311664675257</v>
      </c>
      <c r="G153" s="215">
        <f t="shared" si="19"/>
        <v>0.15853371294114643</v>
      </c>
      <c r="H153" s="123"/>
    </row>
    <row r="154" spans="1:8" ht="15.75">
      <c r="A154" s="130"/>
      <c r="B154" s="131">
        <f>DATE(2018,5,1)</f>
        <v>43221</v>
      </c>
      <c r="C154" s="204">
        <v>11858430</v>
      </c>
      <c r="D154" s="204">
        <v>2106755.14</v>
      </c>
      <c r="E154" s="204">
        <v>2186983.7</v>
      </c>
      <c r="F154" s="132">
        <f t="shared" si="18"/>
        <v>-0.03668457154024515</v>
      </c>
      <c r="G154" s="215">
        <f t="shared" si="19"/>
        <v>0.17765885871907158</v>
      </c>
      <c r="H154" s="123"/>
    </row>
    <row r="155" spans="1:8" ht="15.75">
      <c r="A155" s="130"/>
      <c r="B155" s="131">
        <f>DATE(2018,6,1)</f>
        <v>43252</v>
      </c>
      <c r="C155" s="204">
        <v>12715286</v>
      </c>
      <c r="D155" s="204">
        <v>2754452.5</v>
      </c>
      <c r="E155" s="204">
        <v>1834367.86</v>
      </c>
      <c r="F155" s="132">
        <f t="shared" si="18"/>
        <v>0.5015813131396665</v>
      </c>
      <c r="G155" s="215">
        <f t="shared" si="19"/>
        <v>0.2166252886486391</v>
      </c>
      <c r="H155" s="123"/>
    </row>
    <row r="156" spans="1:8" ht="15.75" thickBot="1">
      <c r="A156" s="133"/>
      <c r="B156" s="131"/>
      <c r="C156" s="204"/>
      <c r="D156" s="204"/>
      <c r="E156" s="204"/>
      <c r="F156" s="132"/>
      <c r="G156" s="215"/>
      <c r="H156" s="123"/>
    </row>
    <row r="157" spans="1:8" ht="17.25" thickBot="1" thickTop="1">
      <c r="A157" s="141" t="s">
        <v>14</v>
      </c>
      <c r="B157" s="142"/>
      <c r="C157" s="207">
        <f>SUM(C144:C156)</f>
        <v>145571074</v>
      </c>
      <c r="D157" s="207">
        <f>SUM(D144:D156)</f>
        <v>27296791.28</v>
      </c>
      <c r="E157" s="207">
        <f>SUM(E144:E156)</f>
        <v>26085470.669999998</v>
      </c>
      <c r="F157" s="143">
        <f>(+D157-E157)/E157</f>
        <v>0.046436601636369985</v>
      </c>
      <c r="G157" s="267">
        <f>D157/C157</f>
        <v>0.18751521528239876</v>
      </c>
      <c r="H157" s="123"/>
    </row>
    <row r="158" spans="1:8" ht="15.75" customHeight="1" thickTop="1">
      <c r="A158" s="138"/>
      <c r="B158" s="139"/>
      <c r="C158" s="205"/>
      <c r="D158" s="205"/>
      <c r="E158" s="205"/>
      <c r="F158" s="140"/>
      <c r="G158" s="219"/>
      <c r="H158" s="123"/>
    </row>
    <row r="159" spans="1:8" ht="15.75">
      <c r="A159" s="130" t="s">
        <v>59</v>
      </c>
      <c r="B159" s="131">
        <f>DATE(2017,7,1)</f>
        <v>42917</v>
      </c>
      <c r="C159" s="204">
        <v>808349</v>
      </c>
      <c r="D159" s="204">
        <v>185261.5</v>
      </c>
      <c r="E159" s="204">
        <v>206069.5</v>
      </c>
      <c r="F159" s="132">
        <f aca="true" t="shared" si="20" ref="F159:F170">(+D159-E159)/E159</f>
        <v>-0.10097564171311135</v>
      </c>
      <c r="G159" s="215">
        <f aca="true" t="shared" si="21" ref="G159:G170">D159/C159</f>
        <v>0.22918504259917435</v>
      </c>
      <c r="H159" s="123"/>
    </row>
    <row r="160" spans="1:8" ht="15.75">
      <c r="A160" s="130"/>
      <c r="B160" s="131">
        <f>DATE(2017,8,1)</f>
        <v>42948</v>
      </c>
      <c r="C160" s="204">
        <v>727832</v>
      </c>
      <c r="D160" s="204">
        <v>131840.5</v>
      </c>
      <c r="E160" s="204">
        <v>195328</v>
      </c>
      <c r="F160" s="132">
        <f t="shared" si="20"/>
        <v>-0.32503020560288337</v>
      </c>
      <c r="G160" s="215">
        <f t="shared" si="21"/>
        <v>0.1811413897712659</v>
      </c>
      <c r="H160" s="123"/>
    </row>
    <row r="161" spans="1:8" ht="15.75">
      <c r="A161" s="130"/>
      <c r="B161" s="131">
        <f>DATE(2017,9,1)</f>
        <v>42979</v>
      </c>
      <c r="C161" s="204">
        <v>793144</v>
      </c>
      <c r="D161" s="204">
        <v>130165.5</v>
      </c>
      <c r="E161" s="204">
        <v>178936.5</v>
      </c>
      <c r="F161" s="132">
        <f t="shared" si="20"/>
        <v>-0.27256037756410795</v>
      </c>
      <c r="G161" s="215">
        <f t="shared" si="21"/>
        <v>0.16411332620558183</v>
      </c>
      <c r="H161" s="123"/>
    </row>
    <row r="162" spans="1:8" ht="15.75">
      <c r="A162" s="130"/>
      <c r="B162" s="131">
        <f>DATE(2017,10,1)</f>
        <v>43009</v>
      </c>
      <c r="C162" s="204">
        <v>734138</v>
      </c>
      <c r="D162" s="204">
        <v>213032.5</v>
      </c>
      <c r="E162" s="204">
        <v>164860</v>
      </c>
      <c r="F162" s="132">
        <f t="shared" si="20"/>
        <v>0.292202474827126</v>
      </c>
      <c r="G162" s="215">
        <f t="shared" si="21"/>
        <v>0.2901804565354198</v>
      </c>
      <c r="H162" s="123"/>
    </row>
    <row r="163" spans="1:8" ht="15.75">
      <c r="A163" s="130"/>
      <c r="B163" s="131">
        <f>DATE(2017,11,1)</f>
        <v>43040</v>
      </c>
      <c r="C163" s="204">
        <v>620250</v>
      </c>
      <c r="D163" s="204">
        <v>120661.5</v>
      </c>
      <c r="E163" s="204">
        <v>89576</v>
      </c>
      <c r="F163" s="132">
        <f t="shared" si="20"/>
        <v>0.34702933821559345</v>
      </c>
      <c r="G163" s="215">
        <f t="shared" si="21"/>
        <v>0.19453688029020555</v>
      </c>
      <c r="H163" s="123"/>
    </row>
    <row r="164" spans="1:8" ht="15.75">
      <c r="A164" s="130"/>
      <c r="B164" s="131">
        <f>DATE(2017,12,1)</f>
        <v>43070</v>
      </c>
      <c r="C164" s="204">
        <v>677843</v>
      </c>
      <c r="D164" s="204">
        <v>179648.5</v>
      </c>
      <c r="E164" s="204">
        <v>212853</v>
      </c>
      <c r="F164" s="132">
        <f t="shared" si="20"/>
        <v>-0.15599733149168676</v>
      </c>
      <c r="G164" s="215">
        <f t="shared" si="21"/>
        <v>0.2650296602605618</v>
      </c>
      <c r="H164" s="123"/>
    </row>
    <row r="165" spans="1:8" ht="15.75">
      <c r="A165" s="130"/>
      <c r="B165" s="131">
        <f>DATE(2018,1,1)</f>
        <v>43101</v>
      </c>
      <c r="C165" s="204">
        <v>607267</v>
      </c>
      <c r="D165" s="204">
        <v>161078</v>
      </c>
      <c r="E165" s="204">
        <v>204097</v>
      </c>
      <c r="F165" s="132">
        <f t="shared" si="20"/>
        <v>-0.21077722847469585</v>
      </c>
      <c r="G165" s="215">
        <f t="shared" si="21"/>
        <v>0.2652507052087467</v>
      </c>
      <c r="H165" s="123"/>
    </row>
    <row r="166" spans="1:8" ht="15.75">
      <c r="A166" s="130"/>
      <c r="B166" s="131">
        <f>DATE(2018,2,1)</f>
        <v>43132</v>
      </c>
      <c r="C166" s="204">
        <v>663220</v>
      </c>
      <c r="D166" s="204">
        <v>179952.5</v>
      </c>
      <c r="E166" s="204">
        <v>169150</v>
      </c>
      <c r="F166" s="132">
        <f t="shared" si="20"/>
        <v>0.06386343482116465</v>
      </c>
      <c r="G166" s="215">
        <f t="shared" si="21"/>
        <v>0.27133153403093996</v>
      </c>
      <c r="H166" s="123"/>
    </row>
    <row r="167" spans="1:8" ht="15.75">
      <c r="A167" s="130"/>
      <c r="B167" s="131">
        <f>DATE(2018,3,1)</f>
        <v>43160</v>
      </c>
      <c r="C167" s="204">
        <v>801272</v>
      </c>
      <c r="D167" s="204">
        <v>201152</v>
      </c>
      <c r="E167" s="204">
        <v>213859</v>
      </c>
      <c r="F167" s="132">
        <f t="shared" si="20"/>
        <v>-0.059417653687710126</v>
      </c>
      <c r="G167" s="215">
        <f t="shared" si="21"/>
        <v>0.2510408450563604</v>
      </c>
      <c r="H167" s="123"/>
    </row>
    <row r="168" spans="1:8" ht="15.75">
      <c r="A168" s="130"/>
      <c r="B168" s="131">
        <f>DATE(2018,4,1)</f>
        <v>43191</v>
      </c>
      <c r="C168" s="204">
        <v>649353</v>
      </c>
      <c r="D168" s="204">
        <v>173231</v>
      </c>
      <c r="E168" s="204">
        <v>213559</v>
      </c>
      <c r="F168" s="132">
        <f t="shared" si="20"/>
        <v>-0.1888377450727902</v>
      </c>
      <c r="G168" s="215">
        <f t="shared" si="21"/>
        <v>0.26677477427531715</v>
      </c>
      <c r="H168" s="123"/>
    </row>
    <row r="169" spans="1:8" ht="15.75">
      <c r="A169" s="130"/>
      <c r="B169" s="131">
        <f>DATE(2018,5,1)</f>
        <v>43221</v>
      </c>
      <c r="C169" s="204">
        <v>599147</v>
      </c>
      <c r="D169" s="204">
        <v>155438.5</v>
      </c>
      <c r="E169" s="204">
        <v>166808</v>
      </c>
      <c r="F169" s="132">
        <f t="shared" si="20"/>
        <v>-0.06815920099755407</v>
      </c>
      <c r="G169" s="215">
        <f t="shared" si="21"/>
        <v>0.25943299390633684</v>
      </c>
      <c r="H169" s="123"/>
    </row>
    <row r="170" spans="1:8" ht="15.75">
      <c r="A170" s="130"/>
      <c r="B170" s="131">
        <f>DATE(2018,6,1)</f>
        <v>43252</v>
      </c>
      <c r="C170" s="204">
        <v>616335</v>
      </c>
      <c r="D170" s="204">
        <v>150462</v>
      </c>
      <c r="E170" s="204">
        <v>143448.5</v>
      </c>
      <c r="F170" s="132">
        <f t="shared" si="20"/>
        <v>0.0488921111060764</v>
      </c>
      <c r="G170" s="215">
        <f t="shared" si="21"/>
        <v>0.24412373141230012</v>
      </c>
      <c r="H170" s="123"/>
    </row>
    <row r="171" spans="1:8" ht="15.75" thickBot="1">
      <c r="A171" s="133"/>
      <c r="B171" s="134"/>
      <c r="C171" s="204"/>
      <c r="D171" s="204"/>
      <c r="E171" s="204"/>
      <c r="F171" s="132"/>
      <c r="G171" s="215"/>
      <c r="H171" s="123"/>
    </row>
    <row r="172" spans="1:8" ht="17.25" thickBot="1" thickTop="1">
      <c r="A172" s="144" t="s">
        <v>14</v>
      </c>
      <c r="B172" s="145"/>
      <c r="C172" s="207">
        <f>SUM(C159:C171)</f>
        <v>8298150</v>
      </c>
      <c r="D172" s="207">
        <f>SUM(D159:D171)</f>
        <v>1981924</v>
      </c>
      <c r="E172" s="207">
        <f>SUM(E159:E171)</f>
        <v>2158544.5</v>
      </c>
      <c r="F172" s="143">
        <f>(+D172-E172)/E172</f>
        <v>-0.0818238864197611</v>
      </c>
      <c r="G172" s="217">
        <f>D172/C172</f>
        <v>0.2388392593529883</v>
      </c>
      <c r="H172" s="123"/>
    </row>
    <row r="173" spans="1:8" ht="15.75" customHeight="1" thickTop="1">
      <c r="A173" s="130"/>
      <c r="B173" s="134"/>
      <c r="C173" s="204"/>
      <c r="D173" s="204"/>
      <c r="E173" s="204"/>
      <c r="F173" s="132"/>
      <c r="G173" s="218"/>
      <c r="H173" s="123"/>
    </row>
    <row r="174" spans="1:8" ht="15.75">
      <c r="A174" s="130" t="s">
        <v>40</v>
      </c>
      <c r="B174" s="131">
        <f>DATE(2017,7,1)</f>
        <v>42917</v>
      </c>
      <c r="C174" s="204">
        <v>15476448</v>
      </c>
      <c r="D174" s="204">
        <v>3485005.33</v>
      </c>
      <c r="E174" s="204">
        <v>3555002.5</v>
      </c>
      <c r="F174" s="132">
        <f aca="true" t="shared" si="22" ref="F174:F185">(+D174-E174)/E174</f>
        <v>-0.019689766744186515</v>
      </c>
      <c r="G174" s="215">
        <f aca="true" t="shared" si="23" ref="G174:G185">D174/C174</f>
        <v>0.22518121276923492</v>
      </c>
      <c r="H174" s="123"/>
    </row>
    <row r="175" spans="1:8" ht="15.75">
      <c r="A175" s="130"/>
      <c r="B175" s="131">
        <f>DATE(2017,8,1)</f>
        <v>42948</v>
      </c>
      <c r="C175" s="204">
        <v>14484713</v>
      </c>
      <c r="D175" s="204">
        <v>2756152.9</v>
      </c>
      <c r="E175" s="204">
        <v>2648098.2</v>
      </c>
      <c r="F175" s="132">
        <f t="shared" si="22"/>
        <v>0.04080464236560401</v>
      </c>
      <c r="G175" s="215">
        <f t="shared" si="23"/>
        <v>0.19028011808035133</v>
      </c>
      <c r="H175" s="123"/>
    </row>
    <row r="176" spans="1:8" ht="15.75">
      <c r="A176" s="130"/>
      <c r="B176" s="131">
        <f>DATE(2017,9,1)</f>
        <v>42979</v>
      </c>
      <c r="C176" s="204">
        <v>16041731</v>
      </c>
      <c r="D176" s="204">
        <v>3555670.84</v>
      </c>
      <c r="E176" s="204">
        <v>2901818.1</v>
      </c>
      <c r="F176" s="132">
        <f t="shared" si="22"/>
        <v>0.22532519870904374</v>
      </c>
      <c r="G176" s="215">
        <f t="shared" si="23"/>
        <v>0.22165131929964416</v>
      </c>
      <c r="H176" s="123"/>
    </row>
    <row r="177" spans="1:8" ht="15.75">
      <c r="A177" s="130"/>
      <c r="B177" s="131">
        <f>DATE(2017,10,1)</f>
        <v>43009</v>
      </c>
      <c r="C177" s="204">
        <v>15374937</v>
      </c>
      <c r="D177" s="204">
        <v>3109647.95</v>
      </c>
      <c r="E177" s="204">
        <v>2903466</v>
      </c>
      <c r="F177" s="132">
        <f t="shared" si="22"/>
        <v>0.07101235213362243</v>
      </c>
      <c r="G177" s="215">
        <f t="shared" si="23"/>
        <v>0.20225435395279995</v>
      </c>
      <c r="H177" s="123"/>
    </row>
    <row r="178" spans="1:8" ht="15.75">
      <c r="A178" s="130"/>
      <c r="B178" s="131">
        <f>DATE(2017,11,1)</f>
        <v>43040</v>
      </c>
      <c r="C178" s="204">
        <v>16405899</v>
      </c>
      <c r="D178" s="204">
        <v>3185542.02</v>
      </c>
      <c r="E178" s="204">
        <v>2588813.5</v>
      </c>
      <c r="F178" s="132">
        <f t="shared" si="22"/>
        <v>0.23050270712818827</v>
      </c>
      <c r="G178" s="215">
        <f t="shared" si="23"/>
        <v>0.19417052488254377</v>
      </c>
      <c r="H178" s="123"/>
    </row>
    <row r="179" spans="1:8" ht="15.75">
      <c r="A179" s="130"/>
      <c r="B179" s="131">
        <f>DATE(2017,12,1)</f>
        <v>43070</v>
      </c>
      <c r="C179" s="204">
        <v>19127338.5</v>
      </c>
      <c r="D179" s="204">
        <v>3702278.99</v>
      </c>
      <c r="E179" s="204">
        <v>3285950.5</v>
      </c>
      <c r="F179" s="132">
        <f t="shared" si="22"/>
        <v>0.1266995622727732</v>
      </c>
      <c r="G179" s="215">
        <f t="shared" si="23"/>
        <v>0.19355954776457793</v>
      </c>
      <c r="H179" s="123"/>
    </row>
    <row r="180" spans="1:8" ht="15.75">
      <c r="A180" s="130"/>
      <c r="B180" s="131">
        <f>DATE(2018,1,1)</f>
        <v>43101</v>
      </c>
      <c r="C180" s="204">
        <v>14790104</v>
      </c>
      <c r="D180" s="204">
        <v>3099858.41</v>
      </c>
      <c r="E180" s="204">
        <v>2957103</v>
      </c>
      <c r="F180" s="132">
        <f t="shared" si="22"/>
        <v>0.04827542699730113</v>
      </c>
      <c r="G180" s="215">
        <f t="shared" si="23"/>
        <v>0.2095900346610139</v>
      </c>
      <c r="H180" s="123"/>
    </row>
    <row r="181" spans="1:8" ht="15.75">
      <c r="A181" s="130"/>
      <c r="B181" s="131">
        <f>DATE(2018,2,1)</f>
        <v>43132</v>
      </c>
      <c r="C181" s="204">
        <v>15666403</v>
      </c>
      <c r="D181" s="204">
        <v>2392361.25</v>
      </c>
      <c r="E181" s="204">
        <v>2697136.5</v>
      </c>
      <c r="F181" s="132">
        <f t="shared" si="22"/>
        <v>-0.11299956453816853</v>
      </c>
      <c r="G181" s="215">
        <f t="shared" si="23"/>
        <v>0.15270647959202888</v>
      </c>
      <c r="H181" s="123"/>
    </row>
    <row r="182" spans="1:8" ht="15.75">
      <c r="A182" s="130"/>
      <c r="B182" s="131">
        <f>DATE(2018,3,1)</f>
        <v>43160</v>
      </c>
      <c r="C182" s="204">
        <v>17915704</v>
      </c>
      <c r="D182" s="204">
        <v>3826628.2</v>
      </c>
      <c r="E182" s="204">
        <v>3818986.1</v>
      </c>
      <c r="F182" s="132">
        <f t="shared" si="22"/>
        <v>0.0020010808627976134</v>
      </c>
      <c r="G182" s="215">
        <f t="shared" si="23"/>
        <v>0.2135907246514008</v>
      </c>
      <c r="H182" s="123"/>
    </row>
    <row r="183" spans="1:8" ht="15.75">
      <c r="A183" s="130"/>
      <c r="B183" s="131">
        <f>DATE(2018,4,1)</f>
        <v>43191</v>
      </c>
      <c r="C183" s="204">
        <v>18468351</v>
      </c>
      <c r="D183" s="204">
        <v>3175407.88</v>
      </c>
      <c r="E183" s="204">
        <v>2576074</v>
      </c>
      <c r="F183" s="132">
        <f t="shared" si="22"/>
        <v>0.2326539843187734</v>
      </c>
      <c r="G183" s="215">
        <f t="shared" si="23"/>
        <v>0.17193781296446012</v>
      </c>
      <c r="H183" s="123"/>
    </row>
    <row r="184" spans="1:8" ht="15.75">
      <c r="A184" s="130"/>
      <c r="B184" s="131">
        <f>DATE(2018,5,1)</f>
        <v>43221</v>
      </c>
      <c r="C184" s="204">
        <v>16303114</v>
      </c>
      <c r="D184" s="204">
        <v>2999661.17</v>
      </c>
      <c r="E184" s="204">
        <v>2897788.5</v>
      </c>
      <c r="F184" s="132">
        <f t="shared" si="22"/>
        <v>0.03515531585552221</v>
      </c>
      <c r="G184" s="215">
        <f t="shared" si="23"/>
        <v>0.18399314204635997</v>
      </c>
      <c r="H184" s="123"/>
    </row>
    <row r="185" spans="1:8" ht="15.75">
      <c r="A185" s="130"/>
      <c r="B185" s="131">
        <f>DATE(2018,6,1)</f>
        <v>43252</v>
      </c>
      <c r="C185" s="204">
        <v>16516264</v>
      </c>
      <c r="D185" s="204">
        <v>2794491.32</v>
      </c>
      <c r="E185" s="204">
        <v>3046779.1</v>
      </c>
      <c r="F185" s="132">
        <f t="shared" si="22"/>
        <v>-0.08280474944836015</v>
      </c>
      <c r="G185" s="215">
        <f t="shared" si="23"/>
        <v>0.16919633398933318</v>
      </c>
      <c r="H185" s="123"/>
    </row>
    <row r="186" spans="1:8" ht="15.75" thickBot="1">
      <c r="A186" s="133"/>
      <c r="B186" s="134"/>
      <c r="C186" s="204"/>
      <c r="D186" s="204"/>
      <c r="E186" s="204"/>
      <c r="F186" s="132"/>
      <c r="G186" s="215"/>
      <c r="H186" s="123"/>
    </row>
    <row r="187" spans="1:8" ht="17.25" thickBot="1" thickTop="1">
      <c r="A187" s="141" t="s">
        <v>14</v>
      </c>
      <c r="B187" s="142"/>
      <c r="C187" s="206">
        <f>SUM(C174:C186)</f>
        <v>196571006.5</v>
      </c>
      <c r="D187" s="207">
        <f>SUM(D174:D186)</f>
        <v>38082706.26</v>
      </c>
      <c r="E187" s="206">
        <f>SUM(E174:E186)</f>
        <v>35877016</v>
      </c>
      <c r="F187" s="143">
        <f>(+D187-E187)/E187</f>
        <v>0.06147920049984084</v>
      </c>
      <c r="G187" s="217">
        <f>D187/C187</f>
        <v>0.19373511352499484</v>
      </c>
      <c r="H187" s="123"/>
    </row>
    <row r="188" spans="1:8" ht="15.75" customHeight="1" thickTop="1">
      <c r="A188" s="130"/>
      <c r="B188" s="134"/>
      <c r="C188" s="204"/>
      <c r="D188" s="204"/>
      <c r="E188" s="204"/>
      <c r="F188" s="132"/>
      <c r="G188" s="218"/>
      <c r="H188" s="123"/>
    </row>
    <row r="189" spans="1:8" ht="15.75">
      <c r="A189" s="130" t="s">
        <v>64</v>
      </c>
      <c r="B189" s="131">
        <f>DATE(2017,7,1)</f>
        <v>42917</v>
      </c>
      <c r="C189" s="204">
        <v>829717</v>
      </c>
      <c r="D189" s="204">
        <v>283672</v>
      </c>
      <c r="E189" s="204">
        <v>188854</v>
      </c>
      <c r="F189" s="132">
        <f aca="true" t="shared" si="24" ref="F189:F200">(+D189-E189)/E189</f>
        <v>0.5020703824118102</v>
      </c>
      <c r="G189" s="215">
        <f aca="true" t="shared" si="25" ref="G189:G200">D189/C189</f>
        <v>0.341890066130982</v>
      </c>
      <c r="H189" s="123"/>
    </row>
    <row r="190" spans="1:8" ht="15.75">
      <c r="A190" s="130"/>
      <c r="B190" s="131">
        <f>DATE(2017,8,1)</f>
        <v>42948</v>
      </c>
      <c r="C190" s="204">
        <v>771356</v>
      </c>
      <c r="D190" s="204">
        <v>213515</v>
      </c>
      <c r="E190" s="204">
        <v>216171</v>
      </c>
      <c r="F190" s="132">
        <f t="shared" si="24"/>
        <v>-0.012286569428831804</v>
      </c>
      <c r="G190" s="215">
        <f t="shared" si="25"/>
        <v>0.27680474385368103</v>
      </c>
      <c r="H190" s="123"/>
    </row>
    <row r="191" spans="1:8" ht="15.75">
      <c r="A191" s="130"/>
      <c r="B191" s="131">
        <f>DATE(2017,9,1)</f>
        <v>42979</v>
      </c>
      <c r="C191" s="204">
        <v>789203</v>
      </c>
      <c r="D191" s="204">
        <v>213772.5</v>
      </c>
      <c r="E191" s="204">
        <v>216945.5</v>
      </c>
      <c r="F191" s="132">
        <f t="shared" si="24"/>
        <v>-0.014625793113938754</v>
      </c>
      <c r="G191" s="215">
        <f t="shared" si="25"/>
        <v>0.27087137276467527</v>
      </c>
      <c r="H191" s="123"/>
    </row>
    <row r="192" spans="1:8" ht="15.75">
      <c r="A192" s="130"/>
      <c r="B192" s="131">
        <f>DATE(2017,10,1)</f>
        <v>43009</v>
      </c>
      <c r="C192" s="204">
        <v>704934</v>
      </c>
      <c r="D192" s="204">
        <v>244828.5</v>
      </c>
      <c r="E192" s="204">
        <v>242110</v>
      </c>
      <c r="F192" s="132">
        <f t="shared" si="24"/>
        <v>0.01122836727107513</v>
      </c>
      <c r="G192" s="215">
        <f t="shared" si="25"/>
        <v>0.34730698193022325</v>
      </c>
      <c r="H192" s="123"/>
    </row>
    <row r="193" spans="1:8" ht="15.75">
      <c r="A193" s="130"/>
      <c r="B193" s="131">
        <f>DATE(2017,11,1)</f>
        <v>43040</v>
      </c>
      <c r="C193" s="204">
        <v>788141</v>
      </c>
      <c r="D193" s="204">
        <v>214514.5</v>
      </c>
      <c r="E193" s="204">
        <v>207292.5</v>
      </c>
      <c r="F193" s="132">
        <f t="shared" si="24"/>
        <v>0.03483965893604448</v>
      </c>
      <c r="G193" s="215">
        <f t="shared" si="25"/>
        <v>0.2721778209736583</v>
      </c>
      <c r="H193" s="123"/>
    </row>
    <row r="194" spans="1:8" ht="15.75">
      <c r="A194" s="130"/>
      <c r="B194" s="131">
        <f>DATE(2017,12,1)</f>
        <v>43070</v>
      </c>
      <c r="C194" s="204">
        <v>804570</v>
      </c>
      <c r="D194" s="204">
        <v>251086</v>
      </c>
      <c r="E194" s="204">
        <v>269196.5</v>
      </c>
      <c r="F194" s="132">
        <f t="shared" si="24"/>
        <v>-0.06727613471943357</v>
      </c>
      <c r="G194" s="215">
        <f t="shared" si="25"/>
        <v>0.31207477286003704</v>
      </c>
      <c r="H194" s="123"/>
    </row>
    <row r="195" spans="1:8" ht="15.75">
      <c r="A195" s="130"/>
      <c r="B195" s="131">
        <f>DATE(2018,1,1)</f>
        <v>43101</v>
      </c>
      <c r="C195" s="204">
        <v>695465</v>
      </c>
      <c r="D195" s="204">
        <v>161802.5</v>
      </c>
      <c r="E195" s="204">
        <v>196525</v>
      </c>
      <c r="F195" s="132">
        <f t="shared" si="24"/>
        <v>-0.1766823559343595</v>
      </c>
      <c r="G195" s="215">
        <f t="shared" si="25"/>
        <v>0.2326536921340398</v>
      </c>
      <c r="H195" s="123"/>
    </row>
    <row r="196" spans="1:8" ht="15.75">
      <c r="A196" s="130"/>
      <c r="B196" s="131">
        <f>DATE(2018,2,1)</f>
        <v>43132</v>
      </c>
      <c r="C196" s="204">
        <v>679361</v>
      </c>
      <c r="D196" s="204">
        <v>227252.5</v>
      </c>
      <c r="E196" s="204">
        <v>215365.5</v>
      </c>
      <c r="F196" s="132">
        <f t="shared" si="24"/>
        <v>0.055194541372689684</v>
      </c>
      <c r="G196" s="215">
        <f t="shared" si="25"/>
        <v>0.3345091931977255</v>
      </c>
      <c r="H196" s="123"/>
    </row>
    <row r="197" spans="1:8" ht="15.75">
      <c r="A197" s="130"/>
      <c r="B197" s="131">
        <f>DATE(2018,3,1)</f>
        <v>43160</v>
      </c>
      <c r="C197" s="204">
        <v>873129</v>
      </c>
      <c r="D197" s="204">
        <v>241108.5</v>
      </c>
      <c r="E197" s="204">
        <v>293319.5</v>
      </c>
      <c r="F197" s="132">
        <f t="shared" si="24"/>
        <v>-0.17800043979346752</v>
      </c>
      <c r="G197" s="215">
        <f t="shared" si="25"/>
        <v>0.2761430441549874</v>
      </c>
      <c r="H197" s="123"/>
    </row>
    <row r="198" spans="1:8" ht="15.75">
      <c r="A198" s="130"/>
      <c r="B198" s="131">
        <f>DATE(2018,4,1)</f>
        <v>43191</v>
      </c>
      <c r="C198" s="204">
        <v>813612</v>
      </c>
      <c r="D198" s="204">
        <v>268633</v>
      </c>
      <c r="E198" s="204">
        <v>234373.5</v>
      </c>
      <c r="F198" s="132">
        <f t="shared" si="24"/>
        <v>0.14617480218540066</v>
      </c>
      <c r="G198" s="215">
        <f t="shared" si="25"/>
        <v>0.3301733504422255</v>
      </c>
      <c r="H198" s="123"/>
    </row>
    <row r="199" spans="1:8" ht="15.75">
      <c r="A199" s="130"/>
      <c r="B199" s="131">
        <f>DATE(2018,5,1)</f>
        <v>43221</v>
      </c>
      <c r="C199" s="204">
        <v>728819</v>
      </c>
      <c r="D199" s="204">
        <v>193846.5</v>
      </c>
      <c r="E199" s="204">
        <v>234143</v>
      </c>
      <c r="F199" s="132">
        <f t="shared" si="24"/>
        <v>-0.17210209145693017</v>
      </c>
      <c r="G199" s="215">
        <f t="shared" si="25"/>
        <v>0.2659734447098662</v>
      </c>
      <c r="H199" s="123"/>
    </row>
    <row r="200" spans="1:8" ht="15.75">
      <c r="A200" s="130"/>
      <c r="B200" s="131">
        <f>DATE(2018,6,1)</f>
        <v>43252</v>
      </c>
      <c r="C200" s="204">
        <v>794005</v>
      </c>
      <c r="D200" s="204">
        <v>232059</v>
      </c>
      <c r="E200" s="204">
        <v>194352</v>
      </c>
      <c r="F200" s="132">
        <f t="shared" si="24"/>
        <v>0.19401395406273153</v>
      </c>
      <c r="G200" s="215">
        <f t="shared" si="25"/>
        <v>0.2922639026202606</v>
      </c>
      <c r="H200" s="123"/>
    </row>
    <row r="201" spans="1:8" ht="15.75" thickBot="1">
      <c r="A201" s="133"/>
      <c r="B201" s="134"/>
      <c r="C201" s="204"/>
      <c r="D201" s="204"/>
      <c r="E201" s="204"/>
      <c r="F201" s="132"/>
      <c r="G201" s="215"/>
      <c r="H201" s="123"/>
    </row>
    <row r="202" spans="1:8" ht="17.25" thickBot="1" thickTop="1">
      <c r="A202" s="135" t="s">
        <v>14</v>
      </c>
      <c r="B202" s="136"/>
      <c r="C202" s="201">
        <f>SUM(C189:C201)</f>
        <v>9272312</v>
      </c>
      <c r="D202" s="207">
        <f>SUM(D189:D201)</f>
        <v>2746090.5</v>
      </c>
      <c r="E202" s="207">
        <f>SUM(E189:E201)</f>
        <v>2708648</v>
      </c>
      <c r="F202" s="143">
        <f>(+D202-E202)/E202</f>
        <v>0.013823317020151752</v>
      </c>
      <c r="G202" s="217">
        <f>D202/C202</f>
        <v>0.2961602780406872</v>
      </c>
      <c r="H202" s="123"/>
    </row>
    <row r="203" spans="1:8" ht="16.5" thickBot="1" thickTop="1">
      <c r="A203" s="146"/>
      <c r="B203" s="139"/>
      <c r="C203" s="205"/>
      <c r="D203" s="205"/>
      <c r="E203" s="205"/>
      <c r="F203" s="140"/>
      <c r="G203" s="216"/>
      <c r="H203" s="123"/>
    </row>
    <row r="204" spans="1:8" ht="17.25" thickBot="1" thickTop="1">
      <c r="A204" s="147" t="s">
        <v>41</v>
      </c>
      <c r="B204" s="121"/>
      <c r="C204" s="201">
        <f>C202+C187+C142+C112+C82+C52+C22+C67+C172+C37+C127+C157+C97</f>
        <v>1224498394.01</v>
      </c>
      <c r="D204" s="201">
        <f>D202+D187+D142+D112+D82+D52+D22+D67+D172+D37+D127+D157+D97</f>
        <v>247769951.35999998</v>
      </c>
      <c r="E204" s="201">
        <f>E202+E187+E142+E112+E82+E52+E22+E67+E172+E37+E127+E157+E97</f>
        <v>240931996.67</v>
      </c>
      <c r="F204" s="137">
        <f>(+D204-E204)/E204</f>
        <v>0.028381264358863116</v>
      </c>
      <c r="G204" s="212">
        <f>D204/C204</f>
        <v>0.20234403946304935</v>
      </c>
      <c r="H204" s="123"/>
    </row>
    <row r="205" spans="1:8" ht="17.25" thickBot="1" thickTop="1">
      <c r="A205" s="147"/>
      <c r="B205" s="121"/>
      <c r="C205" s="201"/>
      <c r="D205" s="201"/>
      <c r="E205" s="201"/>
      <c r="F205" s="137"/>
      <c r="G205" s="212"/>
      <c r="H205" s="123"/>
    </row>
    <row r="206" spans="1:8" ht="17.25" thickBot="1" thickTop="1">
      <c r="A206" s="265" t="s">
        <v>42</v>
      </c>
      <c r="B206" s="266"/>
      <c r="C206" s="206">
        <f>+C20+C35+C50+C65+C80+C95+C110+C125+C140+C155+C170+C185+C200</f>
        <v>104697349.25</v>
      </c>
      <c r="D206" s="206">
        <f>+D20+D35+D50+D65+D80+D95+D110+D125+D140+D155+D170+D185+D200</f>
        <v>20336689.28</v>
      </c>
      <c r="E206" s="206">
        <f>+E20+E35+E50+E65+E80+E95+E110+E125+E140+E155+E170+E185+E200</f>
        <v>18040703.51</v>
      </c>
      <c r="F206" s="143">
        <f>(+D206-E206)/E206</f>
        <v>0.12726697541076099</v>
      </c>
      <c r="G206" s="217">
        <f>D206/C206</f>
        <v>0.19424263771415398</v>
      </c>
      <c r="H206" s="123"/>
    </row>
    <row r="207" spans="1:8" ht="16.5" thickTop="1">
      <c r="A207" s="256"/>
      <c r="B207" s="258"/>
      <c r="C207" s="259"/>
      <c r="D207" s="259"/>
      <c r="E207" s="259"/>
      <c r="F207" s="260"/>
      <c r="G207" s="257"/>
      <c r="H207" s="257"/>
    </row>
    <row r="208" spans="1:7" ht="18.75">
      <c r="A208" s="263" t="s">
        <v>43</v>
      </c>
      <c r="B208" s="117"/>
      <c r="C208" s="208"/>
      <c r="D208" s="208"/>
      <c r="E208" s="208"/>
      <c r="F208" s="148"/>
      <c r="G208" s="220"/>
    </row>
    <row r="209" ht="15.75">
      <c r="A20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12399454.65</v>
      </c>
      <c r="E10" s="226">
        <v>12760668.01</v>
      </c>
      <c r="F10" s="166">
        <f aca="true" t="shared" si="0" ref="F10:F21">(+D10-E10)/E10</f>
        <v>-0.028306775140371308</v>
      </c>
      <c r="G10" s="241">
        <f aca="true" t="shared" si="1" ref="G10:G21">D10/C10</f>
        <v>0.09686836635977737</v>
      </c>
      <c r="H10" s="242">
        <f aca="true" t="shared" si="2" ref="H10:H21">1-G10</f>
        <v>0.9031316336402226</v>
      </c>
      <c r="I10" s="157"/>
    </row>
    <row r="11" spans="1:9" ht="15.75">
      <c r="A11" s="164"/>
      <c r="B11" s="165">
        <f>DATE(17,8,1)</f>
        <v>6423</v>
      </c>
      <c r="C11" s="226">
        <v>116499333.1</v>
      </c>
      <c r="D11" s="226">
        <v>11441719.54</v>
      </c>
      <c r="E11" s="226">
        <v>11027150.02</v>
      </c>
      <c r="F11" s="166">
        <f t="shared" si="0"/>
        <v>0.03759534596410611</v>
      </c>
      <c r="G11" s="241">
        <f t="shared" si="1"/>
        <v>0.09821274710799181</v>
      </c>
      <c r="H11" s="242">
        <f t="shared" si="2"/>
        <v>0.9017872528920082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 t="shared" si="0"/>
        <v>0.06125613160626111</v>
      </c>
      <c r="G12" s="241">
        <f t="shared" si="1"/>
        <v>0.09722830244420509</v>
      </c>
      <c r="H12" s="242">
        <f t="shared" si="2"/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 t="shared" si="0"/>
        <v>0.011547280909797099</v>
      </c>
      <c r="G13" s="241">
        <f t="shared" si="1"/>
        <v>0.10003816895578016</v>
      </c>
      <c r="H13" s="242">
        <f t="shared" si="2"/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 t="shared" si="0"/>
        <v>0.106709174755952</v>
      </c>
      <c r="G14" s="241">
        <f t="shared" si="1"/>
        <v>0.1010216788643244</v>
      </c>
      <c r="H14" s="242">
        <f t="shared" si="2"/>
        <v>0.8989783211356757</v>
      </c>
      <c r="I14" s="157"/>
    </row>
    <row r="15" spans="1:9" ht="15.75">
      <c r="A15" s="164"/>
      <c r="B15" s="165">
        <f>DATE(17,12,1)</f>
        <v>6545</v>
      </c>
      <c r="C15" s="226">
        <v>126025437.3</v>
      </c>
      <c r="D15" s="226">
        <v>12607302.66</v>
      </c>
      <c r="E15" s="226">
        <v>11313199.5</v>
      </c>
      <c r="F15" s="166">
        <f t="shared" si="0"/>
        <v>0.11438878630223043</v>
      </c>
      <c r="G15" s="241">
        <f t="shared" si="1"/>
        <v>0.10003776166226404</v>
      </c>
      <c r="H15" s="242">
        <f t="shared" si="2"/>
        <v>0.8999622383377359</v>
      </c>
      <c r="I15" s="157"/>
    </row>
    <row r="16" spans="1:9" ht="15.75">
      <c r="A16" s="164"/>
      <c r="B16" s="165">
        <f>DATE(18,1,1)</f>
        <v>6576</v>
      </c>
      <c r="C16" s="226">
        <v>108661277.61</v>
      </c>
      <c r="D16" s="226">
        <v>10938098.37</v>
      </c>
      <c r="E16" s="226">
        <v>10406173.64</v>
      </c>
      <c r="F16" s="166">
        <f t="shared" si="0"/>
        <v>0.051116265055903734</v>
      </c>
      <c r="G16" s="241">
        <f t="shared" si="1"/>
        <v>0.10066233906487196</v>
      </c>
      <c r="H16" s="242">
        <f t="shared" si="2"/>
        <v>0.899337660935128</v>
      </c>
      <c r="I16" s="157"/>
    </row>
    <row r="17" spans="1:9" ht="15.75">
      <c r="A17" s="164"/>
      <c r="B17" s="165">
        <f>DATE(18,2,1)</f>
        <v>6607</v>
      </c>
      <c r="C17" s="226">
        <v>114658636.42</v>
      </c>
      <c r="D17" s="226">
        <v>11694255.24</v>
      </c>
      <c r="E17" s="226">
        <v>11259350.59</v>
      </c>
      <c r="F17" s="166">
        <f t="shared" si="0"/>
        <v>0.03862608651570555</v>
      </c>
      <c r="G17" s="241">
        <f t="shared" si="1"/>
        <v>0.10199192668891849</v>
      </c>
      <c r="H17" s="242">
        <f t="shared" si="2"/>
        <v>0.8980080733110816</v>
      </c>
      <c r="I17" s="157"/>
    </row>
    <row r="18" spans="1:9" ht="15.75">
      <c r="A18" s="164"/>
      <c r="B18" s="165">
        <f>DATE(18,3,1)</f>
        <v>6635</v>
      </c>
      <c r="C18" s="226">
        <v>134119117.52</v>
      </c>
      <c r="D18" s="226">
        <v>13457679.79</v>
      </c>
      <c r="E18" s="226">
        <v>12688511.37</v>
      </c>
      <c r="F18" s="166">
        <f t="shared" si="0"/>
        <v>0.06061927972248804</v>
      </c>
      <c r="G18" s="241">
        <f t="shared" si="1"/>
        <v>0.10034124917346832</v>
      </c>
      <c r="H18" s="242">
        <f t="shared" si="2"/>
        <v>0.8996587508265317</v>
      </c>
      <c r="I18" s="157"/>
    </row>
    <row r="19" spans="1:9" ht="15.75">
      <c r="A19" s="164"/>
      <c r="B19" s="165">
        <f>DATE(18,4,1)</f>
        <v>6666</v>
      </c>
      <c r="C19" s="226">
        <v>119165427.06</v>
      </c>
      <c r="D19" s="226">
        <v>11957394.03</v>
      </c>
      <c r="E19" s="226">
        <v>12172351.1</v>
      </c>
      <c r="F19" s="166">
        <f t="shared" si="0"/>
        <v>-0.017659453644908445</v>
      </c>
      <c r="G19" s="241">
        <f t="shared" si="1"/>
        <v>0.10034281187931655</v>
      </c>
      <c r="H19" s="242">
        <f t="shared" si="2"/>
        <v>0.8996571881206834</v>
      </c>
      <c r="I19" s="157"/>
    </row>
    <row r="20" spans="1:9" ht="15.75">
      <c r="A20" s="164"/>
      <c r="B20" s="165">
        <f>DATE(18,5,1)</f>
        <v>6696</v>
      </c>
      <c r="C20" s="226">
        <v>120227637.89</v>
      </c>
      <c r="D20" s="226">
        <v>11993236.17</v>
      </c>
      <c r="E20" s="226">
        <v>12020508.98</v>
      </c>
      <c r="F20" s="166">
        <f t="shared" si="0"/>
        <v>-0.002268856505608677</v>
      </c>
      <c r="G20" s="241">
        <f t="shared" si="1"/>
        <v>0.09975440240265707</v>
      </c>
      <c r="H20" s="242">
        <f t="shared" si="2"/>
        <v>0.9002455975973429</v>
      </c>
      <c r="I20" s="157"/>
    </row>
    <row r="21" spans="1:9" ht="15.75">
      <c r="A21" s="164"/>
      <c r="B21" s="165">
        <f>DATE(18,6,1)</f>
        <v>6727</v>
      </c>
      <c r="C21" s="226">
        <v>117766873.2</v>
      </c>
      <c r="D21" s="226">
        <v>12158677.16</v>
      </c>
      <c r="E21" s="226">
        <v>11489099.36</v>
      </c>
      <c r="F21" s="166">
        <f t="shared" si="0"/>
        <v>0.058279398499344236</v>
      </c>
      <c r="G21" s="241">
        <f t="shared" si="1"/>
        <v>0.1032436102752875</v>
      </c>
      <c r="H21" s="242">
        <f t="shared" si="2"/>
        <v>0.8967563897247125</v>
      </c>
      <c r="I21" s="157"/>
    </row>
    <row r="22" spans="1:9" ht="15.75" thickBot="1">
      <c r="A22" s="167"/>
      <c r="B22" s="168"/>
      <c r="C22" s="226"/>
      <c r="D22" s="226"/>
      <c r="E22" s="226"/>
      <c r="F22" s="166"/>
      <c r="G22" s="241"/>
      <c r="H22" s="242"/>
      <c r="I22" s="157"/>
    </row>
    <row r="23" spans="1:9" ht="17.25" thickBot="1" thickTop="1">
      <c r="A23" s="169" t="s">
        <v>14</v>
      </c>
      <c r="B23" s="155"/>
      <c r="C23" s="223">
        <f>SUM(C10:C22)</f>
        <v>1439926010.22</v>
      </c>
      <c r="D23" s="223">
        <f>SUM(D10:D22)</f>
        <v>143915697.56</v>
      </c>
      <c r="E23" s="223">
        <f>SUM(E10:E22)</f>
        <v>138444019.43</v>
      </c>
      <c r="F23" s="170">
        <f>(+D23-E23)/E23</f>
        <v>0.03952267604283609</v>
      </c>
      <c r="G23" s="236">
        <f>D23/C23</f>
        <v>0.09994659207386063</v>
      </c>
      <c r="H23" s="237">
        <f>1-G23</f>
        <v>0.9000534079261394</v>
      </c>
      <c r="I23" s="157"/>
    </row>
    <row r="24" spans="1:9" ht="15.75" thickTop="1">
      <c r="A24" s="171"/>
      <c r="B24" s="172"/>
      <c r="C24" s="227"/>
      <c r="D24" s="227"/>
      <c r="E24" s="227"/>
      <c r="F24" s="173"/>
      <c r="G24" s="243"/>
      <c r="H24" s="244"/>
      <c r="I24" s="157"/>
    </row>
    <row r="25" spans="1:9" ht="15.75">
      <c r="A25" s="19" t="s">
        <v>51</v>
      </c>
      <c r="B25" s="165">
        <f>DATE(17,7,1)</f>
        <v>6392</v>
      </c>
      <c r="C25" s="226">
        <v>70369862.87</v>
      </c>
      <c r="D25" s="226">
        <v>6811001.46</v>
      </c>
      <c r="E25" s="226">
        <v>7099133.54</v>
      </c>
      <c r="F25" s="166">
        <f aca="true" t="shared" si="3" ref="F25:F36">(+D25-E25)/E25</f>
        <v>-0.040586936191089044</v>
      </c>
      <c r="G25" s="241">
        <f aca="true" t="shared" si="4" ref="G25:G36">D25/C25</f>
        <v>0.09678861350891815</v>
      </c>
      <c r="H25" s="242">
        <f aca="true" t="shared" si="5" ref="H25:H36">1-G25</f>
        <v>0.9032113864910818</v>
      </c>
      <c r="I25" s="157"/>
    </row>
    <row r="26" spans="1:9" ht="15.75">
      <c r="A26" s="19"/>
      <c r="B26" s="165">
        <f>DATE(17,8,1)</f>
        <v>6423</v>
      </c>
      <c r="C26" s="226">
        <v>64182696.16</v>
      </c>
      <c r="D26" s="226">
        <v>6396602.31</v>
      </c>
      <c r="E26" s="226">
        <v>6284127.36</v>
      </c>
      <c r="F26" s="166">
        <f t="shared" si="3"/>
        <v>0.017898260737987216</v>
      </c>
      <c r="G26" s="241">
        <f t="shared" si="4"/>
        <v>0.09966241203164812</v>
      </c>
      <c r="H26" s="242">
        <f t="shared" si="5"/>
        <v>0.9003375879683518</v>
      </c>
      <c r="I26" s="157"/>
    </row>
    <row r="27" spans="1:9" ht="15.75">
      <c r="A27" s="19"/>
      <c r="B27" s="165">
        <f>DATE(17,9,1)</f>
        <v>6454</v>
      </c>
      <c r="C27" s="226">
        <v>64033578.3</v>
      </c>
      <c r="D27" s="226">
        <v>6148408.09</v>
      </c>
      <c r="E27" s="226">
        <v>6426114.46</v>
      </c>
      <c r="F27" s="166">
        <f t="shared" si="3"/>
        <v>-0.04321528533744793</v>
      </c>
      <c r="G27" s="241">
        <f t="shared" si="4"/>
        <v>0.09601849925041593</v>
      </c>
      <c r="H27" s="242">
        <f t="shared" si="5"/>
        <v>0.903981500749584</v>
      </c>
      <c r="I27" s="157"/>
    </row>
    <row r="28" spans="1:9" ht="15.75">
      <c r="A28" s="19"/>
      <c r="B28" s="165">
        <f>DATE(17,10,1)</f>
        <v>6484</v>
      </c>
      <c r="C28" s="226">
        <v>61277642.92</v>
      </c>
      <c r="D28" s="226">
        <v>5734526.36</v>
      </c>
      <c r="E28" s="226">
        <v>6207514.07</v>
      </c>
      <c r="F28" s="166">
        <f t="shared" si="3"/>
        <v>-0.076195994832437</v>
      </c>
      <c r="G28" s="241">
        <f t="shared" si="4"/>
        <v>0.09358268508282237</v>
      </c>
      <c r="H28" s="242">
        <f t="shared" si="5"/>
        <v>0.9064173149171776</v>
      </c>
      <c r="I28" s="157"/>
    </row>
    <row r="29" spans="1:9" ht="15.75">
      <c r="A29" s="19"/>
      <c r="B29" s="165">
        <f>DATE(17,11,1)</f>
        <v>6515</v>
      </c>
      <c r="C29" s="226">
        <v>59095734.31</v>
      </c>
      <c r="D29" s="226">
        <v>5714351.85</v>
      </c>
      <c r="E29" s="226">
        <v>5938873.2</v>
      </c>
      <c r="F29" s="166">
        <f t="shared" si="3"/>
        <v>-0.03780537863647275</v>
      </c>
      <c r="G29" s="241">
        <f t="shared" si="4"/>
        <v>0.09669651992179466</v>
      </c>
      <c r="H29" s="242">
        <f t="shared" si="5"/>
        <v>0.9033034800782054</v>
      </c>
      <c r="I29" s="157"/>
    </row>
    <row r="30" spans="1:9" ht="15.75">
      <c r="A30" s="19"/>
      <c r="B30" s="165">
        <f>DATE(17,12,1)</f>
        <v>6545</v>
      </c>
      <c r="C30" s="226">
        <v>61263567.67</v>
      </c>
      <c r="D30" s="226">
        <v>5911955.46</v>
      </c>
      <c r="E30" s="226">
        <v>5697753.86</v>
      </c>
      <c r="F30" s="166">
        <f t="shared" si="3"/>
        <v>0.03759404236531896</v>
      </c>
      <c r="G30" s="241">
        <f t="shared" si="4"/>
        <v>0.09650034571680699</v>
      </c>
      <c r="H30" s="242">
        <f t="shared" si="5"/>
        <v>0.903499654283193</v>
      </c>
      <c r="I30" s="157"/>
    </row>
    <row r="31" spans="1:9" ht="15.75">
      <c r="A31" s="19"/>
      <c r="B31" s="165">
        <f>DATE(18,1,1)</f>
        <v>6576</v>
      </c>
      <c r="C31" s="226">
        <v>55782704.19</v>
      </c>
      <c r="D31" s="226">
        <v>5394556.31</v>
      </c>
      <c r="E31" s="226">
        <v>5520952.81</v>
      </c>
      <c r="F31" s="166">
        <f t="shared" si="3"/>
        <v>-0.022893964927767605</v>
      </c>
      <c r="G31" s="241">
        <f t="shared" si="4"/>
        <v>0.09670661163406033</v>
      </c>
      <c r="H31" s="242">
        <f t="shared" si="5"/>
        <v>0.9032933883659396</v>
      </c>
      <c r="I31" s="157"/>
    </row>
    <row r="32" spans="1:9" ht="15.75">
      <c r="A32" s="19"/>
      <c r="B32" s="165">
        <f>DATE(18,2,1)</f>
        <v>6607</v>
      </c>
      <c r="C32" s="226">
        <v>60594616.72</v>
      </c>
      <c r="D32" s="226">
        <v>5898754.5</v>
      </c>
      <c r="E32" s="226">
        <v>6183680.21</v>
      </c>
      <c r="F32" s="166">
        <f t="shared" si="3"/>
        <v>-0.046077044789481436</v>
      </c>
      <c r="G32" s="241">
        <f t="shared" si="4"/>
        <v>0.09734783086849766</v>
      </c>
      <c r="H32" s="242">
        <f t="shared" si="5"/>
        <v>0.9026521691315024</v>
      </c>
      <c r="I32" s="157"/>
    </row>
    <row r="33" spans="1:9" ht="15.75">
      <c r="A33" s="19"/>
      <c r="B33" s="165">
        <f>DATE(18,3,1)</f>
        <v>6635</v>
      </c>
      <c r="C33" s="226">
        <v>71608686.13</v>
      </c>
      <c r="D33" s="226">
        <v>7025004.26</v>
      </c>
      <c r="E33" s="226">
        <v>6935456.98</v>
      </c>
      <c r="F33" s="166">
        <f t="shared" si="3"/>
        <v>0.01291151834092976</v>
      </c>
      <c r="G33" s="241">
        <f t="shared" si="4"/>
        <v>0.09810268334272537</v>
      </c>
      <c r="H33" s="242">
        <f t="shared" si="5"/>
        <v>0.9018973166572746</v>
      </c>
      <c r="I33" s="157"/>
    </row>
    <row r="34" spans="1:9" ht="15.75">
      <c r="A34" s="19"/>
      <c r="B34" s="165">
        <f>DATE(18,4,1)</f>
        <v>6666</v>
      </c>
      <c r="C34" s="226">
        <v>63523366.77</v>
      </c>
      <c r="D34" s="226">
        <v>6287577.55</v>
      </c>
      <c r="E34" s="226">
        <v>6555458.69</v>
      </c>
      <c r="F34" s="166">
        <f t="shared" si="3"/>
        <v>-0.04086382855384916</v>
      </c>
      <c r="G34" s="241">
        <f t="shared" si="4"/>
        <v>0.0989805463675363</v>
      </c>
      <c r="H34" s="242">
        <f t="shared" si="5"/>
        <v>0.9010194536324637</v>
      </c>
      <c r="I34" s="157"/>
    </row>
    <row r="35" spans="1:9" ht="15.75">
      <c r="A35" s="19"/>
      <c r="B35" s="165">
        <f>DATE(18,5,1)</f>
        <v>6696</v>
      </c>
      <c r="C35" s="226">
        <v>60177094.62</v>
      </c>
      <c r="D35" s="226">
        <v>6041060.24</v>
      </c>
      <c r="E35" s="226">
        <v>6467054.83</v>
      </c>
      <c r="F35" s="166">
        <f t="shared" si="3"/>
        <v>-0.06587149810820452</v>
      </c>
      <c r="G35" s="241">
        <f t="shared" si="4"/>
        <v>0.10038803432015875</v>
      </c>
      <c r="H35" s="242">
        <f t="shared" si="5"/>
        <v>0.8996119656798413</v>
      </c>
      <c r="I35" s="157"/>
    </row>
    <row r="36" spans="1:9" ht="15.75">
      <c r="A36" s="19"/>
      <c r="B36" s="165">
        <f>DATE(18,6,1)</f>
        <v>6727</v>
      </c>
      <c r="C36" s="226">
        <v>58310021.48</v>
      </c>
      <c r="D36" s="226">
        <v>5953514.54</v>
      </c>
      <c r="E36" s="226">
        <v>6196687.13</v>
      </c>
      <c r="F36" s="166">
        <f t="shared" si="3"/>
        <v>-0.03924235400279114</v>
      </c>
      <c r="G36" s="241">
        <f t="shared" si="4"/>
        <v>0.1021010520814509</v>
      </c>
      <c r="H36" s="242">
        <f t="shared" si="5"/>
        <v>0.8978989479185491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69" t="s">
        <v>14</v>
      </c>
      <c r="B38" s="155"/>
      <c r="C38" s="223">
        <f>SUM(C25:C37)</f>
        <v>750219572.14</v>
      </c>
      <c r="D38" s="223">
        <f>SUM(D25:D37)</f>
        <v>73317312.93</v>
      </c>
      <c r="E38" s="223">
        <f>SUM(E25:E37)</f>
        <v>75512807.14</v>
      </c>
      <c r="F38" s="170">
        <f>(+D38-E38)/E38</f>
        <v>-0.029074461580133933</v>
      </c>
      <c r="G38" s="236">
        <f>D38/C38</f>
        <v>0.09772780616861608</v>
      </c>
      <c r="H38" s="237">
        <f>1-G38</f>
        <v>0.9022721938313839</v>
      </c>
      <c r="I38" s="157"/>
    </row>
    <row r="39" spans="1:9" ht="15.75" thickTop="1">
      <c r="A39" s="171"/>
      <c r="B39" s="172"/>
      <c r="C39" s="227"/>
      <c r="D39" s="227"/>
      <c r="E39" s="227"/>
      <c r="F39" s="173"/>
      <c r="G39" s="243"/>
      <c r="H39" s="244"/>
      <c r="I39" s="157"/>
    </row>
    <row r="40" spans="1:9" ht="15.75">
      <c r="A40" s="19" t="s">
        <v>60</v>
      </c>
      <c r="B40" s="165">
        <f>DATE(17,7,1)</f>
        <v>6392</v>
      </c>
      <c r="C40" s="226">
        <v>27686533.48</v>
      </c>
      <c r="D40" s="226">
        <v>2951015.74</v>
      </c>
      <c r="E40" s="226">
        <v>3021071.12</v>
      </c>
      <c r="F40" s="166">
        <f aca="true" t="shared" si="6" ref="F40:F51">(+D40-E40)/E40</f>
        <v>-0.0231889211532365</v>
      </c>
      <c r="G40" s="241">
        <f aca="true" t="shared" si="7" ref="G40:G51">D40/C40</f>
        <v>0.10658668201028973</v>
      </c>
      <c r="H40" s="242">
        <f aca="true" t="shared" si="8" ref="H40:H51">1-G40</f>
        <v>0.8934133179897102</v>
      </c>
      <c r="I40" s="157"/>
    </row>
    <row r="41" spans="1:9" ht="15.75">
      <c r="A41" s="19"/>
      <c r="B41" s="165">
        <f>DATE(17,8,1)</f>
        <v>6423</v>
      </c>
      <c r="C41" s="226">
        <v>24319135.61</v>
      </c>
      <c r="D41" s="226">
        <v>2587760.59</v>
      </c>
      <c r="E41" s="226">
        <v>2616739.9</v>
      </c>
      <c r="F41" s="166">
        <f t="shared" si="6"/>
        <v>-0.011074585594082184</v>
      </c>
      <c r="G41" s="241">
        <f t="shared" si="7"/>
        <v>0.1064084115282418</v>
      </c>
      <c r="H41" s="242">
        <f t="shared" si="8"/>
        <v>0.8935915884717582</v>
      </c>
      <c r="I41" s="157"/>
    </row>
    <row r="42" spans="1:9" ht="15.75">
      <c r="A42" s="19"/>
      <c r="B42" s="165">
        <f>DATE(17,9,1)</f>
        <v>6454</v>
      </c>
      <c r="C42" s="226">
        <v>25776531.98</v>
      </c>
      <c r="D42" s="226">
        <v>2789987.56</v>
      </c>
      <c r="E42" s="226">
        <v>2834248.99</v>
      </c>
      <c r="F42" s="166">
        <f t="shared" si="6"/>
        <v>-0.015616634302831722</v>
      </c>
      <c r="G42" s="241">
        <f t="shared" si="7"/>
        <v>0.10823750697590934</v>
      </c>
      <c r="H42" s="242">
        <f t="shared" si="8"/>
        <v>0.8917624930240906</v>
      </c>
      <c r="I42" s="157"/>
    </row>
    <row r="43" spans="1:9" ht="15.75">
      <c r="A43" s="19"/>
      <c r="B43" s="165">
        <f>DATE(17,10,1)</f>
        <v>6484</v>
      </c>
      <c r="C43" s="226">
        <v>23361674.53</v>
      </c>
      <c r="D43" s="226">
        <v>2567921.26</v>
      </c>
      <c r="E43" s="226">
        <v>2635379.35</v>
      </c>
      <c r="F43" s="166">
        <f t="shared" si="6"/>
        <v>-0.025597108059604516</v>
      </c>
      <c r="G43" s="241">
        <f t="shared" si="7"/>
        <v>0.10992025664523286</v>
      </c>
      <c r="H43" s="242">
        <f t="shared" si="8"/>
        <v>0.8900797433547671</v>
      </c>
      <c r="I43" s="157"/>
    </row>
    <row r="44" spans="1:9" ht="15.75">
      <c r="A44" s="19"/>
      <c r="B44" s="165">
        <f>DATE(17,11,1)</f>
        <v>6515</v>
      </c>
      <c r="C44" s="226">
        <v>23308642.88</v>
      </c>
      <c r="D44" s="226">
        <v>2542392.68</v>
      </c>
      <c r="E44" s="226">
        <v>2593526.94</v>
      </c>
      <c r="F44" s="166">
        <f t="shared" si="6"/>
        <v>-0.01971610906035153</v>
      </c>
      <c r="G44" s="241">
        <f t="shared" si="7"/>
        <v>0.10907510544861032</v>
      </c>
      <c r="H44" s="242">
        <f t="shared" si="8"/>
        <v>0.8909248945513897</v>
      </c>
      <c r="I44" s="157"/>
    </row>
    <row r="45" spans="1:9" ht="15.75">
      <c r="A45" s="19"/>
      <c r="B45" s="165">
        <f>DATE(17,12,1)</f>
        <v>6545</v>
      </c>
      <c r="C45" s="226">
        <v>25602184.28</v>
      </c>
      <c r="D45" s="226">
        <v>2721371.75</v>
      </c>
      <c r="E45" s="226">
        <v>2726550.79</v>
      </c>
      <c r="F45" s="166">
        <f t="shared" si="6"/>
        <v>-0.001899484146414906</v>
      </c>
      <c r="G45" s="241">
        <f t="shared" si="7"/>
        <v>0.1062945145710044</v>
      </c>
      <c r="H45" s="242">
        <f t="shared" si="8"/>
        <v>0.8937054854289956</v>
      </c>
      <c r="I45" s="157"/>
    </row>
    <row r="46" spans="1:9" ht="15.75">
      <c r="A46" s="19"/>
      <c r="B46" s="165">
        <f>DATE(18,1,1)</f>
        <v>6576</v>
      </c>
      <c r="C46" s="226">
        <v>20094044.67</v>
      </c>
      <c r="D46" s="226">
        <v>2149317.95</v>
      </c>
      <c r="E46" s="226">
        <v>2435471.7</v>
      </c>
      <c r="F46" s="166">
        <f t="shared" si="6"/>
        <v>-0.11749417987488829</v>
      </c>
      <c r="G46" s="241">
        <f t="shared" si="7"/>
        <v>0.10696293281406347</v>
      </c>
      <c r="H46" s="242">
        <f t="shared" si="8"/>
        <v>0.8930370671859366</v>
      </c>
      <c r="I46" s="157"/>
    </row>
    <row r="47" spans="1:9" ht="15.75">
      <c r="A47" s="19"/>
      <c r="B47" s="165">
        <f>DATE(18,2,1)</f>
        <v>6607</v>
      </c>
      <c r="C47" s="226">
        <v>24478713.75</v>
      </c>
      <c r="D47" s="226">
        <v>2669700.18</v>
      </c>
      <c r="E47" s="226">
        <v>2976785.59</v>
      </c>
      <c r="F47" s="166">
        <f t="shared" si="6"/>
        <v>-0.10316007005395364</v>
      </c>
      <c r="G47" s="241">
        <f t="shared" si="7"/>
        <v>0.10906211034066282</v>
      </c>
      <c r="H47" s="242">
        <f t="shared" si="8"/>
        <v>0.8909378896593372</v>
      </c>
      <c r="I47" s="157"/>
    </row>
    <row r="48" spans="1:9" ht="15.75">
      <c r="A48" s="19"/>
      <c r="B48" s="165">
        <f>DATE(18,3,1)</f>
        <v>6635</v>
      </c>
      <c r="C48" s="226">
        <v>32274083.73</v>
      </c>
      <c r="D48" s="226">
        <v>3445390.71</v>
      </c>
      <c r="E48" s="226">
        <v>3208524</v>
      </c>
      <c r="F48" s="166">
        <f t="shared" si="6"/>
        <v>0.07382419766846063</v>
      </c>
      <c r="G48" s="241">
        <f t="shared" si="7"/>
        <v>0.10675409839125431</v>
      </c>
      <c r="H48" s="242">
        <f t="shared" si="8"/>
        <v>0.8932459016087457</v>
      </c>
      <c r="I48" s="157"/>
    </row>
    <row r="49" spans="1:9" ht="15.75">
      <c r="A49" s="19"/>
      <c r="B49" s="165">
        <f>DATE(18,4,1)</f>
        <v>6666</v>
      </c>
      <c r="C49" s="226">
        <v>26615681.67</v>
      </c>
      <c r="D49" s="226">
        <v>2783592.72</v>
      </c>
      <c r="E49" s="226">
        <v>2807922.43</v>
      </c>
      <c r="F49" s="166">
        <f t="shared" si="6"/>
        <v>-0.00866466599648907</v>
      </c>
      <c r="G49" s="241">
        <f t="shared" si="7"/>
        <v>0.10458468637072484</v>
      </c>
      <c r="H49" s="242">
        <f t="shared" si="8"/>
        <v>0.8954153136292752</v>
      </c>
      <c r="I49" s="157"/>
    </row>
    <row r="50" spans="1:9" ht="15.75">
      <c r="A50" s="19"/>
      <c r="B50" s="165">
        <f>DATE(18,5,1)</f>
        <v>6696</v>
      </c>
      <c r="C50" s="226">
        <v>26261820.21</v>
      </c>
      <c r="D50" s="226">
        <v>2802435.7</v>
      </c>
      <c r="E50" s="226">
        <v>2568004.43</v>
      </c>
      <c r="F50" s="166">
        <f t="shared" si="6"/>
        <v>0.09128927787714136</v>
      </c>
      <c r="G50" s="241">
        <f t="shared" si="7"/>
        <v>0.10671140376373782</v>
      </c>
      <c r="H50" s="242">
        <f t="shared" si="8"/>
        <v>0.8932885962362622</v>
      </c>
      <c r="I50" s="157"/>
    </row>
    <row r="51" spans="1:9" ht="15.75">
      <c r="A51" s="19"/>
      <c r="B51" s="165">
        <f>DATE(18,6,1)</f>
        <v>6727</v>
      </c>
      <c r="C51" s="226">
        <v>26237224.49</v>
      </c>
      <c r="D51" s="226">
        <v>2888938.9</v>
      </c>
      <c r="E51" s="226">
        <v>2724534.46</v>
      </c>
      <c r="F51" s="166">
        <f t="shared" si="6"/>
        <v>0.06034221347304961</v>
      </c>
      <c r="G51" s="241">
        <f t="shared" si="7"/>
        <v>0.11010840346703152</v>
      </c>
      <c r="H51" s="242">
        <f t="shared" si="8"/>
        <v>0.8898915965329685</v>
      </c>
      <c r="I51" s="157"/>
    </row>
    <row r="52" spans="1:9" ht="15.75" thickBot="1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Bot="1" thickTop="1">
      <c r="A53" s="174" t="s">
        <v>14</v>
      </c>
      <c r="B53" s="175"/>
      <c r="C53" s="228">
        <f>SUM(C40:C52)</f>
        <v>306016271.28</v>
      </c>
      <c r="D53" s="228">
        <f>SUM(D40:D52)</f>
        <v>32899825.74</v>
      </c>
      <c r="E53" s="228">
        <f>SUM(E40:E52)</f>
        <v>33148759.7</v>
      </c>
      <c r="F53" s="176">
        <f>(+D53-E53)/E53</f>
        <v>-0.007509601030412033</v>
      </c>
      <c r="G53" s="245">
        <f>D53/C53</f>
        <v>0.10751005363991638</v>
      </c>
      <c r="H53" s="246">
        <f>1-G53</f>
        <v>0.8924899463600836</v>
      </c>
      <c r="I53" s="157"/>
    </row>
    <row r="54" spans="1:9" ht="15.75" thickTop="1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>
      <c r="A55" s="177" t="s">
        <v>65</v>
      </c>
      <c r="B55" s="165">
        <f>DATE(17,7,1)</f>
        <v>6392</v>
      </c>
      <c r="C55" s="226">
        <v>199002675.73</v>
      </c>
      <c r="D55" s="226">
        <v>17796071.33</v>
      </c>
      <c r="E55" s="226">
        <v>18141371.29</v>
      </c>
      <c r="F55" s="166">
        <f aca="true" t="shared" si="9" ref="F55:F66">(+D55-E55)/E55</f>
        <v>-0.019033840081887268</v>
      </c>
      <c r="G55" s="241">
        <f aca="true" t="shared" si="10" ref="G55:G66">D55/C55</f>
        <v>0.08942629170546983</v>
      </c>
      <c r="H55" s="242">
        <f aca="true" t="shared" si="11" ref="H55:H66">1-G55</f>
        <v>0.9105737082945302</v>
      </c>
      <c r="I55" s="157"/>
    </row>
    <row r="56" spans="1:9" ht="15.75">
      <c r="A56" s="177"/>
      <c r="B56" s="165">
        <f>DATE(17,8,1)</f>
        <v>6423</v>
      </c>
      <c r="C56" s="226">
        <v>185850095.92</v>
      </c>
      <c r="D56" s="226">
        <v>17013833.45</v>
      </c>
      <c r="E56" s="226">
        <v>17116248.3</v>
      </c>
      <c r="F56" s="166">
        <f t="shared" si="9"/>
        <v>-0.005983487047217087</v>
      </c>
      <c r="G56" s="241">
        <f t="shared" si="10"/>
        <v>0.0915460030611105</v>
      </c>
      <c r="H56" s="242">
        <f t="shared" si="11"/>
        <v>0.9084539969388895</v>
      </c>
      <c r="I56" s="157"/>
    </row>
    <row r="57" spans="1:9" ht="15.75">
      <c r="A57" s="177"/>
      <c r="B57" s="165">
        <f>DATE(17,9,1)</f>
        <v>6454</v>
      </c>
      <c r="C57" s="226">
        <v>179235333.71</v>
      </c>
      <c r="D57" s="226">
        <v>16916276.07</v>
      </c>
      <c r="E57" s="226">
        <v>17027821.25</v>
      </c>
      <c r="F57" s="166">
        <f t="shared" si="9"/>
        <v>-0.006550760567797228</v>
      </c>
      <c r="G57" s="241">
        <f t="shared" si="10"/>
        <v>0.09438025259779566</v>
      </c>
      <c r="H57" s="242">
        <f t="shared" si="11"/>
        <v>0.9056197474022043</v>
      </c>
      <c r="I57" s="157"/>
    </row>
    <row r="58" spans="1:9" ht="15.75">
      <c r="A58" s="177"/>
      <c r="B58" s="165">
        <f>DATE(17,10,1)</f>
        <v>6484</v>
      </c>
      <c r="C58" s="226">
        <v>168909872.18</v>
      </c>
      <c r="D58" s="226">
        <v>15553875.56</v>
      </c>
      <c r="E58" s="226">
        <v>16676556.04</v>
      </c>
      <c r="F58" s="166">
        <f t="shared" si="9"/>
        <v>-0.06732088311922217</v>
      </c>
      <c r="G58" s="241">
        <f t="shared" si="10"/>
        <v>0.09208387502315378</v>
      </c>
      <c r="H58" s="242">
        <f t="shared" si="11"/>
        <v>0.9079161249768463</v>
      </c>
      <c r="I58" s="157"/>
    </row>
    <row r="59" spans="1:9" ht="15.75">
      <c r="A59" s="177"/>
      <c r="B59" s="165">
        <f>DATE(17,11,1)</f>
        <v>6515</v>
      </c>
      <c r="C59" s="226">
        <v>169590449.53</v>
      </c>
      <c r="D59" s="226">
        <v>15514479.14</v>
      </c>
      <c r="E59" s="226">
        <v>15819308.66</v>
      </c>
      <c r="F59" s="166">
        <f t="shared" si="9"/>
        <v>-0.019269459023249096</v>
      </c>
      <c r="G59" s="241">
        <f t="shared" si="10"/>
        <v>0.09148203323357273</v>
      </c>
      <c r="H59" s="242">
        <f t="shared" si="11"/>
        <v>0.9085179667664273</v>
      </c>
      <c r="I59" s="157"/>
    </row>
    <row r="60" spans="1:9" ht="15.75">
      <c r="A60" s="177"/>
      <c r="B60" s="165">
        <f>DATE(17,12,1)</f>
        <v>6545</v>
      </c>
      <c r="C60" s="226">
        <v>184665329.47</v>
      </c>
      <c r="D60" s="226">
        <v>16895433.95</v>
      </c>
      <c r="E60" s="226">
        <v>16781327.96</v>
      </c>
      <c r="F60" s="166">
        <f t="shared" si="9"/>
        <v>0.006799580478492618</v>
      </c>
      <c r="G60" s="241">
        <f t="shared" si="10"/>
        <v>0.09149218209227934</v>
      </c>
      <c r="H60" s="242">
        <f t="shared" si="11"/>
        <v>0.9085078179077206</v>
      </c>
      <c r="I60" s="157"/>
    </row>
    <row r="61" spans="1:9" ht="15.75">
      <c r="A61" s="177"/>
      <c r="B61" s="165">
        <f>DATE(18,1,1)</f>
        <v>6576</v>
      </c>
      <c r="C61" s="226">
        <v>161174620.31</v>
      </c>
      <c r="D61" s="226">
        <v>14722625.03</v>
      </c>
      <c r="E61" s="226">
        <v>15501259.71</v>
      </c>
      <c r="F61" s="166">
        <f t="shared" si="9"/>
        <v>-0.05023041317717536</v>
      </c>
      <c r="G61" s="241">
        <f t="shared" si="10"/>
        <v>0.09134580246990996</v>
      </c>
      <c r="H61" s="242">
        <f t="shared" si="11"/>
        <v>0.90865419753009</v>
      </c>
      <c r="I61" s="157"/>
    </row>
    <row r="62" spans="1:9" ht="15.75">
      <c r="A62" s="177"/>
      <c r="B62" s="165">
        <f>DATE(18,2,1)</f>
        <v>6607</v>
      </c>
      <c r="C62" s="226">
        <v>170786992.94</v>
      </c>
      <c r="D62" s="226">
        <v>16321322.12</v>
      </c>
      <c r="E62" s="226">
        <v>16759542.91</v>
      </c>
      <c r="F62" s="166">
        <f t="shared" si="9"/>
        <v>-0.026147538292260082</v>
      </c>
      <c r="G62" s="241">
        <f t="shared" si="10"/>
        <v>0.09556536969846365</v>
      </c>
      <c r="H62" s="242">
        <f t="shared" si="11"/>
        <v>0.9044346303015364</v>
      </c>
      <c r="I62" s="157"/>
    </row>
    <row r="63" spans="1:9" ht="15.75">
      <c r="A63" s="177"/>
      <c r="B63" s="165">
        <f>DATE(18,3,1)</f>
        <v>6635</v>
      </c>
      <c r="C63" s="226">
        <v>205223366.66</v>
      </c>
      <c r="D63" s="226">
        <v>19040351.65</v>
      </c>
      <c r="E63" s="226">
        <v>19420673.92</v>
      </c>
      <c r="F63" s="166">
        <f t="shared" si="9"/>
        <v>-0.019583371388998804</v>
      </c>
      <c r="G63" s="241">
        <f t="shared" si="10"/>
        <v>0.09277867311057589</v>
      </c>
      <c r="H63" s="242">
        <f t="shared" si="11"/>
        <v>0.9072213268894241</v>
      </c>
      <c r="I63" s="157"/>
    </row>
    <row r="64" spans="1:9" ht="15.75">
      <c r="A64" s="177"/>
      <c r="B64" s="165">
        <f>DATE(18,4,1)</f>
        <v>6666</v>
      </c>
      <c r="C64" s="226">
        <v>182800499.61</v>
      </c>
      <c r="D64" s="226">
        <v>17354813.78</v>
      </c>
      <c r="E64" s="226">
        <v>17516617.74</v>
      </c>
      <c r="F64" s="166">
        <f t="shared" si="9"/>
        <v>-0.009237169092895738</v>
      </c>
      <c r="G64" s="241">
        <f t="shared" si="10"/>
        <v>0.09493854676013486</v>
      </c>
      <c r="H64" s="242">
        <f t="shared" si="11"/>
        <v>0.9050614532398651</v>
      </c>
      <c r="I64" s="157"/>
    </row>
    <row r="65" spans="1:9" ht="15.75">
      <c r="A65" s="177"/>
      <c r="B65" s="165">
        <f>DATE(18,5,1)</f>
        <v>6696</v>
      </c>
      <c r="C65" s="226">
        <v>179685980.59</v>
      </c>
      <c r="D65" s="226">
        <v>17005402.16</v>
      </c>
      <c r="E65" s="226">
        <v>17140703.99</v>
      </c>
      <c r="F65" s="166">
        <f t="shared" si="9"/>
        <v>-0.007893598190537227</v>
      </c>
      <c r="G65" s="241">
        <f t="shared" si="10"/>
        <v>0.0946395601045928</v>
      </c>
      <c r="H65" s="242">
        <f t="shared" si="11"/>
        <v>0.9053604398954072</v>
      </c>
      <c r="I65" s="157"/>
    </row>
    <row r="66" spans="1:9" ht="15.75">
      <c r="A66" s="177"/>
      <c r="B66" s="165">
        <f>DATE(18,6,1)</f>
        <v>6727</v>
      </c>
      <c r="C66" s="226">
        <v>181087089.93</v>
      </c>
      <c r="D66" s="226">
        <v>16790172.37</v>
      </c>
      <c r="E66" s="226">
        <v>16251328.4</v>
      </c>
      <c r="F66" s="166">
        <f t="shared" si="9"/>
        <v>0.03315691842151197</v>
      </c>
      <c r="G66" s="241">
        <f t="shared" si="10"/>
        <v>0.0927187707113208</v>
      </c>
      <c r="H66" s="242">
        <f t="shared" si="11"/>
        <v>0.9072812292886792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8"/>
      <c r="C68" s="228">
        <f>SUM(C55:C67)</f>
        <v>2168012306.58</v>
      </c>
      <c r="D68" s="228">
        <f>SUM(D55:D67)</f>
        <v>200924656.61</v>
      </c>
      <c r="E68" s="228">
        <f>SUM(E55:E67)</f>
        <v>204152760.17000005</v>
      </c>
      <c r="F68" s="176">
        <f>(+D68-E68)/E68</f>
        <v>-0.01581219650085533</v>
      </c>
      <c r="G68" s="245">
        <f>D68/C68</f>
        <v>0.09267689855827203</v>
      </c>
      <c r="H68" s="246">
        <f>1-G68</f>
        <v>0.907323101441728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16</v>
      </c>
      <c r="B70" s="165">
        <f>DATE(17,7,1)</f>
        <v>6392</v>
      </c>
      <c r="C70" s="226">
        <v>122650754.72</v>
      </c>
      <c r="D70" s="226">
        <v>12386204.68</v>
      </c>
      <c r="E70" s="226">
        <v>10986140.39</v>
      </c>
      <c r="F70" s="166">
        <f aca="true" t="shared" si="12" ref="F70:F81">(+D70-E70)/E70</f>
        <v>0.12743914061706244</v>
      </c>
      <c r="G70" s="241">
        <f aca="true" t="shared" si="13" ref="G70:G81">D70/C70</f>
        <v>0.10098759447731509</v>
      </c>
      <c r="H70" s="242">
        <f aca="true" t="shared" si="14" ref="H70:H81">1-G70</f>
        <v>0.8990124055226849</v>
      </c>
      <c r="I70" s="157"/>
    </row>
    <row r="71" spans="1:9" ht="15.75">
      <c r="A71" s="164"/>
      <c r="B71" s="165">
        <f>DATE(17,8,1)</f>
        <v>6423</v>
      </c>
      <c r="C71" s="226">
        <v>118081260.75</v>
      </c>
      <c r="D71" s="226">
        <v>11735802.96</v>
      </c>
      <c r="E71" s="226">
        <v>11023402.54</v>
      </c>
      <c r="F71" s="166">
        <f t="shared" si="12"/>
        <v>0.06462618210801561</v>
      </c>
      <c r="G71" s="241">
        <f t="shared" si="13"/>
        <v>0.0993875140344824</v>
      </c>
      <c r="H71" s="242">
        <f t="shared" si="14"/>
        <v>0.9006124859655176</v>
      </c>
      <c r="I71" s="157"/>
    </row>
    <row r="72" spans="1:9" ht="15.75">
      <c r="A72" s="164"/>
      <c r="B72" s="165">
        <f>DATE(17,9,1)</f>
        <v>6454</v>
      </c>
      <c r="C72" s="226">
        <v>124802163.83</v>
      </c>
      <c r="D72" s="226">
        <v>11892155.97</v>
      </c>
      <c r="E72" s="226">
        <v>10758067.16</v>
      </c>
      <c r="F72" s="166">
        <f t="shared" si="12"/>
        <v>0.10541752464761528</v>
      </c>
      <c r="G72" s="241">
        <f t="shared" si="13"/>
        <v>0.09528805915736342</v>
      </c>
      <c r="H72" s="242">
        <f t="shared" si="14"/>
        <v>0.9047119408426366</v>
      </c>
      <c r="I72" s="157"/>
    </row>
    <row r="73" spans="1:9" ht="15.75">
      <c r="A73" s="164"/>
      <c r="B73" s="165">
        <f>DATE(17,10,1)</f>
        <v>6484</v>
      </c>
      <c r="C73" s="226">
        <v>121164519.66</v>
      </c>
      <c r="D73" s="226">
        <v>11365393.67</v>
      </c>
      <c r="E73" s="226">
        <v>10388271.47</v>
      </c>
      <c r="F73" s="166">
        <f t="shared" si="12"/>
        <v>0.0940601333746238</v>
      </c>
      <c r="G73" s="241">
        <f t="shared" si="13"/>
        <v>0.09380133476278744</v>
      </c>
      <c r="H73" s="242">
        <f t="shared" si="14"/>
        <v>0.9061986652372126</v>
      </c>
      <c r="I73" s="157"/>
    </row>
    <row r="74" spans="1:9" ht="15.75">
      <c r="A74" s="164"/>
      <c r="B74" s="165">
        <f>DATE(17,11,1)</f>
        <v>6515</v>
      </c>
      <c r="C74" s="226">
        <v>108604695.6</v>
      </c>
      <c r="D74" s="226">
        <v>10423173.18</v>
      </c>
      <c r="E74" s="226">
        <v>10027604.31</v>
      </c>
      <c r="F74" s="166">
        <f t="shared" si="12"/>
        <v>0.03944799353575602</v>
      </c>
      <c r="G74" s="241">
        <f t="shared" si="13"/>
        <v>0.09597350393015604</v>
      </c>
      <c r="H74" s="242">
        <f t="shared" si="14"/>
        <v>0.904026496069844</v>
      </c>
      <c r="I74" s="157"/>
    </row>
    <row r="75" spans="1:9" ht="15.75">
      <c r="A75" s="164"/>
      <c r="B75" s="165">
        <f>DATE(17,12,1)</f>
        <v>6545</v>
      </c>
      <c r="C75" s="226">
        <v>121851286.93</v>
      </c>
      <c r="D75" s="226">
        <v>11374202.05</v>
      </c>
      <c r="E75" s="226">
        <v>10322703.49</v>
      </c>
      <c r="F75" s="166">
        <f t="shared" si="12"/>
        <v>0.10186271077326087</v>
      </c>
      <c r="G75" s="241">
        <f t="shared" si="13"/>
        <v>0.09334494806389813</v>
      </c>
      <c r="H75" s="242">
        <f t="shared" si="14"/>
        <v>0.9066550519361019</v>
      </c>
      <c r="I75" s="157"/>
    </row>
    <row r="76" spans="1:9" ht="15.75">
      <c r="A76" s="164"/>
      <c r="B76" s="165">
        <f>DATE(18,1,1)</f>
        <v>6576</v>
      </c>
      <c r="C76" s="226">
        <v>98869972.59</v>
      </c>
      <c r="D76" s="226">
        <v>9601370.92</v>
      </c>
      <c r="E76" s="226">
        <v>9495948.77</v>
      </c>
      <c r="F76" s="166">
        <f t="shared" si="12"/>
        <v>0.011101802732240349</v>
      </c>
      <c r="G76" s="241">
        <f t="shared" si="13"/>
        <v>0.09711109114812388</v>
      </c>
      <c r="H76" s="242">
        <f t="shared" si="14"/>
        <v>0.9028889088518761</v>
      </c>
      <c r="I76" s="157"/>
    </row>
    <row r="77" spans="1:9" ht="15.75">
      <c r="A77" s="164"/>
      <c r="B77" s="165">
        <f>DATE(18,2,1)</f>
        <v>6607</v>
      </c>
      <c r="C77" s="226">
        <v>103363336.11</v>
      </c>
      <c r="D77" s="226">
        <v>9958011.36</v>
      </c>
      <c r="E77" s="226">
        <v>10021318.48</v>
      </c>
      <c r="F77" s="166">
        <f t="shared" si="12"/>
        <v>-0.006317244594745286</v>
      </c>
      <c r="G77" s="241">
        <f t="shared" si="13"/>
        <v>0.09633987963974588</v>
      </c>
      <c r="H77" s="242">
        <f t="shared" si="14"/>
        <v>0.9036601203602541</v>
      </c>
      <c r="I77" s="157"/>
    </row>
    <row r="78" spans="1:9" ht="15.75">
      <c r="A78" s="164"/>
      <c r="B78" s="165">
        <f>DATE(18,3,1)</f>
        <v>6635</v>
      </c>
      <c r="C78" s="226">
        <v>121750394.37</v>
      </c>
      <c r="D78" s="226">
        <v>11915524.59</v>
      </c>
      <c r="E78" s="226">
        <v>12423291.88</v>
      </c>
      <c r="F78" s="166">
        <f t="shared" si="12"/>
        <v>-0.040872201579473875</v>
      </c>
      <c r="G78" s="241">
        <f t="shared" si="13"/>
        <v>0.09786846812001829</v>
      </c>
      <c r="H78" s="242">
        <f t="shared" si="14"/>
        <v>0.9021315318799817</v>
      </c>
      <c r="I78" s="157"/>
    </row>
    <row r="79" spans="1:9" ht="15.75">
      <c r="A79" s="164"/>
      <c r="B79" s="165">
        <f>DATE(18,4,1)</f>
        <v>6666</v>
      </c>
      <c r="C79" s="226">
        <v>112989042.24</v>
      </c>
      <c r="D79" s="226">
        <v>11125906.65</v>
      </c>
      <c r="E79" s="226">
        <v>11348877.78</v>
      </c>
      <c r="F79" s="166">
        <f t="shared" si="12"/>
        <v>-0.01964697605545973</v>
      </c>
      <c r="G79" s="241">
        <f t="shared" si="13"/>
        <v>0.09846889954485555</v>
      </c>
      <c r="H79" s="242">
        <f t="shared" si="14"/>
        <v>0.9015311004551445</v>
      </c>
      <c r="I79" s="157"/>
    </row>
    <row r="80" spans="1:9" ht="15.75">
      <c r="A80" s="164"/>
      <c r="B80" s="165">
        <f>DATE(18,5,1)</f>
        <v>6696</v>
      </c>
      <c r="C80" s="226">
        <v>112653207.81</v>
      </c>
      <c r="D80" s="226">
        <v>10440578.3</v>
      </c>
      <c r="E80" s="226">
        <v>11915213.82</v>
      </c>
      <c r="F80" s="166">
        <f t="shared" si="12"/>
        <v>-0.12376072660356166</v>
      </c>
      <c r="G80" s="241">
        <f t="shared" si="13"/>
        <v>0.09267892590869668</v>
      </c>
      <c r="H80" s="242">
        <f t="shared" si="14"/>
        <v>0.9073210740913034</v>
      </c>
      <c r="I80" s="157"/>
    </row>
    <row r="81" spans="1:9" ht="15.75">
      <c r="A81" s="164"/>
      <c r="B81" s="165">
        <f>DATE(18,6,1)</f>
        <v>6727</v>
      </c>
      <c r="C81" s="226">
        <v>117337386.42</v>
      </c>
      <c r="D81" s="226">
        <v>11003330.56</v>
      </c>
      <c r="E81" s="226">
        <v>11095839.95</v>
      </c>
      <c r="F81" s="166">
        <f t="shared" si="12"/>
        <v>-0.008337303928036447</v>
      </c>
      <c r="G81" s="241">
        <f t="shared" si="13"/>
        <v>0.09377514614663769</v>
      </c>
      <c r="H81" s="242">
        <f t="shared" si="14"/>
        <v>0.9062248538533623</v>
      </c>
      <c r="I81" s="157"/>
    </row>
    <row r="82" spans="1:9" ht="15.75" thickBot="1">
      <c r="A82" s="167"/>
      <c r="B82" s="165"/>
      <c r="C82" s="226"/>
      <c r="D82" s="226"/>
      <c r="E82" s="226"/>
      <c r="F82" s="166"/>
      <c r="G82" s="241"/>
      <c r="H82" s="242"/>
      <c r="I82" s="157"/>
    </row>
    <row r="83" spans="1:9" ht="17.25" thickBot="1" thickTop="1">
      <c r="A83" s="174" t="s">
        <v>14</v>
      </c>
      <c r="B83" s="175"/>
      <c r="C83" s="228">
        <f>SUM(C70:C82)</f>
        <v>1384118021.03</v>
      </c>
      <c r="D83" s="230">
        <f>SUM(D70:D82)</f>
        <v>133221654.89000002</v>
      </c>
      <c r="E83" s="271">
        <f>SUM(E70:E82)</f>
        <v>129806680.04</v>
      </c>
      <c r="F83" s="272">
        <f>(+D83-E83)/E83</f>
        <v>0.02630815955656275</v>
      </c>
      <c r="G83" s="249">
        <f>D83/C83</f>
        <v>0.0962502133964431</v>
      </c>
      <c r="H83" s="270">
        <f>1-G83</f>
        <v>0.9037497866035569</v>
      </c>
      <c r="I83" s="157"/>
    </row>
    <row r="84" spans="1:9" ht="15.75" thickTop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5.75">
      <c r="A85" s="164" t="s">
        <v>66</v>
      </c>
      <c r="B85" s="165">
        <f>DATE(17,7,1)</f>
        <v>6392</v>
      </c>
      <c r="C85" s="226">
        <v>48763845.1</v>
      </c>
      <c r="D85" s="226">
        <v>4991725.48</v>
      </c>
      <c r="E85" s="226">
        <v>5336762.36</v>
      </c>
      <c r="F85" s="166">
        <f aca="true" t="shared" si="15" ref="F85:F96">(+D85-E85)/E85</f>
        <v>-0.0646528469369582</v>
      </c>
      <c r="G85" s="241">
        <f aca="true" t="shared" si="16" ref="G85:G96">D85/C85</f>
        <v>0.10236529686622273</v>
      </c>
      <c r="H85" s="242">
        <f aca="true" t="shared" si="17" ref="H85:H96">1-G85</f>
        <v>0.8976347031337772</v>
      </c>
      <c r="I85" s="157"/>
    </row>
    <row r="86" spans="1:9" ht="15.75">
      <c r="A86" s="164"/>
      <c r="B86" s="165">
        <f>DATE(17,8,1)</f>
        <v>6423</v>
      </c>
      <c r="C86" s="226">
        <v>46643306.34</v>
      </c>
      <c r="D86" s="226">
        <v>4592418.47</v>
      </c>
      <c r="E86" s="226">
        <v>4882835.18</v>
      </c>
      <c r="F86" s="166">
        <f t="shared" si="15"/>
        <v>-0.05947706594511756</v>
      </c>
      <c r="G86" s="241">
        <f t="shared" si="16"/>
        <v>0.0984582532919985</v>
      </c>
      <c r="H86" s="242">
        <f t="shared" si="17"/>
        <v>0.9015417467080015</v>
      </c>
      <c r="I86" s="157"/>
    </row>
    <row r="87" spans="1:9" ht="15.75">
      <c r="A87" s="164"/>
      <c r="B87" s="165">
        <f>DATE(17,9,1)</f>
        <v>6454</v>
      </c>
      <c r="C87" s="226">
        <v>47450126.56</v>
      </c>
      <c r="D87" s="226">
        <v>5151289.35</v>
      </c>
      <c r="E87" s="226">
        <v>4889525.49</v>
      </c>
      <c r="F87" s="166">
        <f t="shared" si="15"/>
        <v>0.0535356366451828</v>
      </c>
      <c r="G87" s="241">
        <f t="shared" si="16"/>
        <v>0.1085621835694425</v>
      </c>
      <c r="H87" s="242">
        <f t="shared" si="17"/>
        <v>0.8914378164305575</v>
      </c>
      <c r="I87" s="157"/>
    </row>
    <row r="88" spans="1:9" ht="15.75">
      <c r="A88" s="164"/>
      <c r="B88" s="165">
        <f>DATE(17,10,1)</f>
        <v>6484</v>
      </c>
      <c r="C88" s="226">
        <v>43853918.35</v>
      </c>
      <c r="D88" s="226">
        <v>4567525</v>
      </c>
      <c r="E88" s="226">
        <v>4651162.99</v>
      </c>
      <c r="F88" s="166">
        <f t="shared" si="15"/>
        <v>-0.01798216707946419</v>
      </c>
      <c r="G88" s="241">
        <f t="shared" si="16"/>
        <v>0.10415317882307316</v>
      </c>
      <c r="H88" s="242">
        <f t="shared" si="17"/>
        <v>0.8958468211769268</v>
      </c>
      <c r="I88" s="157"/>
    </row>
    <row r="89" spans="1:9" ht="15.75">
      <c r="A89" s="164"/>
      <c r="B89" s="165">
        <f>DATE(17,11,1)</f>
        <v>6515</v>
      </c>
      <c r="C89" s="226">
        <v>42534698.28</v>
      </c>
      <c r="D89" s="226">
        <v>4348004.21</v>
      </c>
      <c r="E89" s="226">
        <v>4567000.88</v>
      </c>
      <c r="F89" s="166">
        <f t="shared" si="15"/>
        <v>-0.04795196579861397</v>
      </c>
      <c r="G89" s="241">
        <f t="shared" si="16"/>
        <v>0.10222252386457976</v>
      </c>
      <c r="H89" s="242">
        <f t="shared" si="17"/>
        <v>0.8977774761354202</v>
      </c>
      <c r="I89" s="157"/>
    </row>
    <row r="90" spans="1:9" ht="15.75">
      <c r="A90" s="164"/>
      <c r="B90" s="165">
        <f>DATE(17,12,1)</f>
        <v>6545</v>
      </c>
      <c r="C90" s="226">
        <v>47343687.14</v>
      </c>
      <c r="D90" s="226">
        <v>4903510.72</v>
      </c>
      <c r="E90" s="226">
        <v>4759383.95</v>
      </c>
      <c r="F90" s="166">
        <f t="shared" si="15"/>
        <v>0.03028265244286491</v>
      </c>
      <c r="G90" s="241">
        <f t="shared" si="16"/>
        <v>0.10357264117388723</v>
      </c>
      <c r="H90" s="242">
        <f t="shared" si="17"/>
        <v>0.8964273588261128</v>
      </c>
      <c r="I90" s="157"/>
    </row>
    <row r="91" spans="1:9" ht="15.75">
      <c r="A91" s="164"/>
      <c r="B91" s="165">
        <f>DATE(18,1,1)</f>
        <v>6576</v>
      </c>
      <c r="C91" s="226">
        <v>41181144.11</v>
      </c>
      <c r="D91" s="226">
        <v>4062330.47</v>
      </c>
      <c r="E91" s="226">
        <v>4536139.97</v>
      </c>
      <c r="F91" s="166">
        <f t="shared" si="15"/>
        <v>-0.10445213400238167</v>
      </c>
      <c r="G91" s="241">
        <f t="shared" si="16"/>
        <v>0.09864540089388985</v>
      </c>
      <c r="H91" s="242">
        <f t="shared" si="17"/>
        <v>0.9013545991061102</v>
      </c>
      <c r="I91" s="157"/>
    </row>
    <row r="92" spans="1:9" ht="15.75">
      <c r="A92" s="164"/>
      <c r="B92" s="165">
        <f>DATE(18,2,1)</f>
        <v>6607</v>
      </c>
      <c r="C92" s="226">
        <v>45191439.71</v>
      </c>
      <c r="D92" s="226">
        <v>4744487.69</v>
      </c>
      <c r="E92" s="226">
        <v>4899915.65</v>
      </c>
      <c r="F92" s="166">
        <f t="shared" si="15"/>
        <v>-0.031720537883136814</v>
      </c>
      <c r="G92" s="241">
        <f t="shared" si="16"/>
        <v>0.10498642487263216</v>
      </c>
      <c r="H92" s="242">
        <f t="shared" si="17"/>
        <v>0.8950135751273678</v>
      </c>
      <c r="I92" s="157"/>
    </row>
    <row r="93" spans="1:9" ht="15.75">
      <c r="A93" s="164"/>
      <c r="B93" s="165">
        <f>DATE(18,3,1)</f>
        <v>6635</v>
      </c>
      <c r="C93" s="226">
        <v>57108388.15</v>
      </c>
      <c r="D93" s="226">
        <v>5877350.31</v>
      </c>
      <c r="E93" s="226">
        <v>5285635</v>
      </c>
      <c r="F93" s="166">
        <f t="shared" si="15"/>
        <v>0.11194781894701386</v>
      </c>
      <c r="G93" s="241">
        <f t="shared" si="16"/>
        <v>0.10291570994023931</v>
      </c>
      <c r="H93" s="242">
        <f t="shared" si="17"/>
        <v>0.8970842900597606</v>
      </c>
      <c r="I93" s="157"/>
    </row>
    <row r="94" spans="1:9" ht="15.75">
      <c r="A94" s="164"/>
      <c r="B94" s="165">
        <f>DATE(18,4,1)</f>
        <v>6666</v>
      </c>
      <c r="C94" s="226">
        <v>45957042.36</v>
      </c>
      <c r="D94" s="226">
        <v>4747529.41</v>
      </c>
      <c r="E94" s="226">
        <v>4688030.13</v>
      </c>
      <c r="F94" s="166">
        <f t="shared" si="15"/>
        <v>0.012691744368119123</v>
      </c>
      <c r="G94" s="241">
        <f t="shared" si="16"/>
        <v>0.10330363239676506</v>
      </c>
      <c r="H94" s="242">
        <f t="shared" si="17"/>
        <v>0.8966963676032349</v>
      </c>
      <c r="I94" s="157"/>
    </row>
    <row r="95" spans="1:9" ht="15.75">
      <c r="A95" s="164"/>
      <c r="B95" s="165">
        <f>DATE(18,5,1)</f>
        <v>6696</v>
      </c>
      <c r="C95" s="226">
        <v>44768286.05</v>
      </c>
      <c r="D95" s="226">
        <v>4634455.94</v>
      </c>
      <c r="E95" s="226">
        <v>4616514.62</v>
      </c>
      <c r="F95" s="166">
        <f t="shared" si="15"/>
        <v>0.0038863344918856333</v>
      </c>
      <c r="G95" s="241">
        <f t="shared" si="16"/>
        <v>0.10352095978889951</v>
      </c>
      <c r="H95" s="242">
        <f t="shared" si="17"/>
        <v>0.8964790402111005</v>
      </c>
      <c r="I95" s="157"/>
    </row>
    <row r="96" spans="1:9" ht="15.75">
      <c r="A96" s="164"/>
      <c r="B96" s="165">
        <f>DATE(18,6,1)</f>
        <v>6727</v>
      </c>
      <c r="C96" s="226">
        <v>44678486.76</v>
      </c>
      <c r="D96" s="226">
        <v>4765361.83</v>
      </c>
      <c r="E96" s="226">
        <v>4461518.48</v>
      </c>
      <c r="F96" s="166">
        <f t="shared" si="15"/>
        <v>0.06810312483565004</v>
      </c>
      <c r="G96" s="241">
        <f t="shared" si="16"/>
        <v>0.10665898009478601</v>
      </c>
      <c r="H96" s="242">
        <f t="shared" si="17"/>
        <v>0.893341019905214</v>
      </c>
      <c r="I96" s="157"/>
    </row>
    <row r="97" spans="1:9" ht="15.75" thickBot="1">
      <c r="A97" s="167"/>
      <c r="B97" s="165"/>
      <c r="C97" s="226"/>
      <c r="D97" s="226"/>
      <c r="E97" s="226"/>
      <c r="F97" s="166"/>
      <c r="G97" s="241"/>
      <c r="H97" s="242"/>
      <c r="I97" s="157"/>
    </row>
    <row r="98" spans="1:9" ht="17.25" thickBot="1" thickTop="1">
      <c r="A98" s="174" t="s">
        <v>14</v>
      </c>
      <c r="B98" s="175"/>
      <c r="C98" s="228">
        <f>SUM(C85:C97)</f>
        <v>555474368.91</v>
      </c>
      <c r="D98" s="230">
        <f>SUM(D85:D97)</f>
        <v>57385988.879999995</v>
      </c>
      <c r="E98" s="271">
        <f>SUM(E85:E97)</f>
        <v>57574424.7</v>
      </c>
      <c r="F98" s="272">
        <f>(+D98-E98)/E98</f>
        <v>-0.0032729084308159443</v>
      </c>
      <c r="G98" s="249">
        <f>D98/C98</f>
        <v>0.10330987727229929</v>
      </c>
      <c r="H98" s="270">
        <f>1-G98</f>
        <v>0.8966901227277007</v>
      </c>
      <c r="I98" s="157"/>
    </row>
    <row r="99" spans="1:9" ht="15.75" thickTop="1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>
      <c r="A100" s="164" t="s">
        <v>17</v>
      </c>
      <c r="B100" s="165">
        <f>DATE(17,7,1)</f>
        <v>6392</v>
      </c>
      <c r="C100" s="226">
        <v>51730614.82</v>
      </c>
      <c r="D100" s="226">
        <v>5822170.92</v>
      </c>
      <c r="E100" s="226">
        <v>5949492.25</v>
      </c>
      <c r="F100" s="166">
        <f aca="true" t="shared" si="18" ref="F100:F111">(+D100-E100)/E100</f>
        <v>-0.021400369081916205</v>
      </c>
      <c r="G100" s="241">
        <f aca="true" t="shared" si="19" ref="G100:G111">D100/C100</f>
        <v>0.11254787789123748</v>
      </c>
      <c r="H100" s="242">
        <f aca="true" t="shared" si="20" ref="H100:H111">1-G100</f>
        <v>0.8874521221087626</v>
      </c>
      <c r="I100" s="157"/>
    </row>
    <row r="101" spans="1:9" ht="15.75">
      <c r="A101" s="164"/>
      <c r="B101" s="165">
        <f>DATE(17,8,1)</f>
        <v>6423</v>
      </c>
      <c r="C101" s="226">
        <v>50278496.66</v>
      </c>
      <c r="D101" s="226">
        <v>5584923.33</v>
      </c>
      <c r="E101" s="226">
        <v>5777712.11</v>
      </c>
      <c r="F101" s="166">
        <f t="shared" si="18"/>
        <v>-0.0333676680889523</v>
      </c>
      <c r="G101" s="241">
        <f t="shared" si="19"/>
        <v>0.11107975975827437</v>
      </c>
      <c r="H101" s="242">
        <f t="shared" si="20"/>
        <v>0.8889202402417257</v>
      </c>
      <c r="I101" s="157"/>
    </row>
    <row r="102" spans="1:9" ht="15.75">
      <c r="A102" s="164"/>
      <c r="B102" s="165">
        <f>DATE(17,9,1)</f>
        <v>6454</v>
      </c>
      <c r="C102" s="226">
        <v>51254253.76</v>
      </c>
      <c r="D102" s="226">
        <v>5571414.24</v>
      </c>
      <c r="E102" s="226">
        <v>5530260.84</v>
      </c>
      <c r="F102" s="166">
        <f t="shared" si="18"/>
        <v>0.007441493482972925</v>
      </c>
      <c r="G102" s="241">
        <f t="shared" si="19"/>
        <v>0.10870149951042815</v>
      </c>
      <c r="H102" s="242">
        <f t="shared" si="20"/>
        <v>0.8912985004895718</v>
      </c>
      <c r="I102" s="157"/>
    </row>
    <row r="103" spans="1:9" ht="15.75">
      <c r="A103" s="164"/>
      <c r="B103" s="165">
        <f>DATE(17,10,1)</f>
        <v>6484</v>
      </c>
      <c r="C103" s="226">
        <v>48929722.41</v>
      </c>
      <c r="D103" s="226">
        <v>5441119.06</v>
      </c>
      <c r="E103" s="226">
        <v>5730702.37</v>
      </c>
      <c r="F103" s="166">
        <f t="shared" si="18"/>
        <v>-0.050531905393649074</v>
      </c>
      <c r="G103" s="241">
        <f t="shared" si="19"/>
        <v>0.11120273715037411</v>
      </c>
      <c r="H103" s="242">
        <f t="shared" si="20"/>
        <v>0.8887972628496259</v>
      </c>
      <c r="I103" s="157"/>
    </row>
    <row r="104" spans="1:9" ht="15.75">
      <c r="A104" s="164"/>
      <c r="B104" s="165">
        <f>DATE(17,11,1)</f>
        <v>6515</v>
      </c>
      <c r="C104" s="226">
        <v>47395483.1</v>
      </c>
      <c r="D104" s="226">
        <v>5393254.4</v>
      </c>
      <c r="E104" s="226">
        <v>5507223.42</v>
      </c>
      <c r="F104" s="166">
        <f t="shared" si="18"/>
        <v>-0.020694460948526318</v>
      </c>
      <c r="G104" s="241">
        <f t="shared" si="19"/>
        <v>0.11379258206147497</v>
      </c>
      <c r="H104" s="242">
        <f t="shared" si="20"/>
        <v>0.8862074179385251</v>
      </c>
      <c r="I104" s="157"/>
    </row>
    <row r="105" spans="1:9" ht="15.75">
      <c r="A105" s="164"/>
      <c r="B105" s="165">
        <f>DATE(17,12,1)</f>
        <v>6545</v>
      </c>
      <c r="C105" s="226">
        <v>50499042.39</v>
      </c>
      <c r="D105" s="226">
        <v>5595361.43</v>
      </c>
      <c r="E105" s="226">
        <v>5775753.06</v>
      </c>
      <c r="F105" s="166">
        <f t="shared" si="18"/>
        <v>-0.031232573159905817</v>
      </c>
      <c r="G105" s="241">
        <f t="shared" si="19"/>
        <v>0.11080133731621043</v>
      </c>
      <c r="H105" s="242">
        <f t="shared" si="20"/>
        <v>0.8891986626837896</v>
      </c>
      <c r="I105" s="157"/>
    </row>
    <row r="106" spans="1:9" ht="15.75">
      <c r="A106" s="164"/>
      <c r="B106" s="165">
        <f>DATE(18,1,1)</f>
        <v>6576</v>
      </c>
      <c r="C106" s="226">
        <v>45338566.4</v>
      </c>
      <c r="D106" s="226">
        <v>5047120.87</v>
      </c>
      <c r="E106" s="226">
        <v>5323269.15</v>
      </c>
      <c r="F106" s="166">
        <f t="shared" si="18"/>
        <v>-0.05187569371727151</v>
      </c>
      <c r="G106" s="241">
        <f t="shared" si="19"/>
        <v>0.11132069826539553</v>
      </c>
      <c r="H106" s="242">
        <f t="shared" si="20"/>
        <v>0.8886793017346044</v>
      </c>
      <c r="I106" s="157"/>
    </row>
    <row r="107" spans="1:9" ht="15.75">
      <c r="A107" s="164"/>
      <c r="B107" s="165">
        <f>DATE(18,2,1)</f>
        <v>6607</v>
      </c>
      <c r="C107" s="226">
        <v>47663451.33</v>
      </c>
      <c r="D107" s="226">
        <v>5208050.55</v>
      </c>
      <c r="E107" s="226">
        <v>5916633.96</v>
      </c>
      <c r="F107" s="166">
        <f t="shared" si="18"/>
        <v>-0.11976123836465966</v>
      </c>
      <c r="G107" s="241">
        <f t="shared" si="19"/>
        <v>0.10926717232333498</v>
      </c>
      <c r="H107" s="242">
        <f t="shared" si="20"/>
        <v>0.8907328276766651</v>
      </c>
      <c r="I107" s="157"/>
    </row>
    <row r="108" spans="1:9" ht="15.75">
      <c r="A108" s="164"/>
      <c r="B108" s="165">
        <f>DATE(18,3,1)</f>
        <v>6635</v>
      </c>
      <c r="C108" s="226">
        <v>59270393.23</v>
      </c>
      <c r="D108" s="226">
        <v>6546343.56</v>
      </c>
      <c r="E108" s="226">
        <v>6941288.64</v>
      </c>
      <c r="F108" s="166">
        <f t="shared" si="18"/>
        <v>-0.05689794798678766</v>
      </c>
      <c r="G108" s="241">
        <f t="shared" si="19"/>
        <v>0.11044879581947055</v>
      </c>
      <c r="H108" s="242">
        <f t="shared" si="20"/>
        <v>0.8895512041805295</v>
      </c>
      <c r="I108" s="157"/>
    </row>
    <row r="109" spans="1:9" ht="15.75">
      <c r="A109" s="164"/>
      <c r="B109" s="165">
        <f>DATE(18,4,1)</f>
        <v>6666</v>
      </c>
      <c r="C109" s="226">
        <v>49938452.93</v>
      </c>
      <c r="D109" s="226">
        <v>5597873.2</v>
      </c>
      <c r="E109" s="226">
        <v>6296959.43</v>
      </c>
      <c r="F109" s="166">
        <f t="shared" si="18"/>
        <v>-0.11101964968511788</v>
      </c>
      <c r="G109" s="241">
        <f t="shared" si="19"/>
        <v>0.11209544692637317</v>
      </c>
      <c r="H109" s="242">
        <f t="shared" si="20"/>
        <v>0.8879045530736268</v>
      </c>
      <c r="I109" s="157"/>
    </row>
    <row r="110" spans="1:9" ht="15.75">
      <c r="A110" s="164"/>
      <c r="B110" s="165">
        <f>DATE(18,5,1)</f>
        <v>6696</v>
      </c>
      <c r="C110" s="226">
        <v>49488651.14</v>
      </c>
      <c r="D110" s="226">
        <v>5227940.91</v>
      </c>
      <c r="E110" s="226">
        <v>5870659.49</v>
      </c>
      <c r="F110" s="166">
        <f t="shared" si="18"/>
        <v>-0.10947979202248026</v>
      </c>
      <c r="G110" s="241">
        <f t="shared" si="19"/>
        <v>0.10563918776469607</v>
      </c>
      <c r="H110" s="242">
        <f t="shared" si="20"/>
        <v>0.894360812235304</v>
      </c>
      <c r="I110" s="157"/>
    </row>
    <row r="111" spans="1:9" ht="15.75">
      <c r="A111" s="164"/>
      <c r="B111" s="165">
        <f>DATE(18,6,1)</f>
        <v>6727</v>
      </c>
      <c r="C111" s="226">
        <v>50108762.65</v>
      </c>
      <c r="D111" s="226">
        <v>5547155.24</v>
      </c>
      <c r="E111" s="226">
        <v>5813395.5</v>
      </c>
      <c r="F111" s="166">
        <f t="shared" si="18"/>
        <v>-0.045797720110389836</v>
      </c>
      <c r="G111" s="241">
        <f t="shared" si="19"/>
        <v>0.11070229929135958</v>
      </c>
      <c r="H111" s="242">
        <f t="shared" si="20"/>
        <v>0.8892977007086404</v>
      </c>
      <c r="I111" s="157"/>
    </row>
    <row r="112" spans="1:9" ht="15.75" thickBot="1">
      <c r="A112" s="167"/>
      <c r="B112" s="165"/>
      <c r="C112" s="226"/>
      <c r="D112" s="226"/>
      <c r="E112" s="226"/>
      <c r="F112" s="166"/>
      <c r="G112" s="241"/>
      <c r="H112" s="242"/>
      <c r="I112" s="157"/>
    </row>
    <row r="113" spans="1:9" ht="17.25" thickBot="1" thickTop="1">
      <c r="A113" s="174" t="s">
        <v>14</v>
      </c>
      <c r="B113" s="175"/>
      <c r="C113" s="228">
        <f>SUM(C100:C112)</f>
        <v>601895890.8199999</v>
      </c>
      <c r="D113" s="230">
        <f>SUM(D100:D112)</f>
        <v>66582727.71</v>
      </c>
      <c r="E113" s="271">
        <f>SUM(E100:E112)</f>
        <v>70433350.22</v>
      </c>
      <c r="F113" s="272">
        <f>(+D113-E113)/E113</f>
        <v>-0.05467044373116571</v>
      </c>
      <c r="G113" s="249">
        <f>D113/C113</f>
        <v>0.11062166850697426</v>
      </c>
      <c r="H113" s="270">
        <f>1-G113</f>
        <v>0.8893783314930257</v>
      </c>
      <c r="I113" s="157"/>
    </row>
    <row r="114" spans="1:9" ht="15.75" thickTop="1">
      <c r="A114" s="167"/>
      <c r="B114" s="168"/>
      <c r="C114" s="226"/>
      <c r="D114" s="226"/>
      <c r="E114" s="226"/>
      <c r="F114" s="166"/>
      <c r="G114" s="241"/>
      <c r="H114" s="242"/>
      <c r="I114" s="157"/>
    </row>
    <row r="115" spans="1:9" ht="15.75">
      <c r="A115" s="164" t="s">
        <v>67</v>
      </c>
      <c r="B115" s="165">
        <f>DATE(17,7,1)</f>
        <v>6392</v>
      </c>
      <c r="C115" s="226">
        <v>109468070.42</v>
      </c>
      <c r="D115" s="226">
        <v>10117966.68</v>
      </c>
      <c r="E115" s="226">
        <v>8936566.59</v>
      </c>
      <c r="F115" s="166">
        <f aca="true" t="shared" si="21" ref="F115:F126">(+D115-E115)/E115</f>
        <v>0.13219843192596856</v>
      </c>
      <c r="G115" s="241">
        <f aca="true" t="shared" si="22" ref="G115:G126">D115/C115</f>
        <v>0.09242847381140493</v>
      </c>
      <c r="H115" s="242">
        <f aca="true" t="shared" si="23" ref="H115:H126">1-G115</f>
        <v>0.907571526188595</v>
      </c>
      <c r="I115" s="157"/>
    </row>
    <row r="116" spans="1:9" ht="15.75">
      <c r="A116" s="164"/>
      <c r="B116" s="165">
        <f>DATE(17,8,1)</f>
        <v>6423</v>
      </c>
      <c r="C116" s="226">
        <v>102310953.37</v>
      </c>
      <c r="D116" s="226">
        <v>10081520.41</v>
      </c>
      <c r="E116" s="226">
        <v>7748842.64</v>
      </c>
      <c r="F116" s="166">
        <f t="shared" si="21"/>
        <v>0.3010356356907514</v>
      </c>
      <c r="G116" s="241">
        <f t="shared" si="22"/>
        <v>0.09853803603550566</v>
      </c>
      <c r="H116" s="242">
        <f t="shared" si="23"/>
        <v>0.9014619639644943</v>
      </c>
      <c r="I116" s="157"/>
    </row>
    <row r="117" spans="1:9" ht="15.75">
      <c r="A117" s="164"/>
      <c r="B117" s="165">
        <f>DATE(17,9,1)</f>
        <v>6454</v>
      </c>
      <c r="C117" s="226">
        <v>103135206.2</v>
      </c>
      <c r="D117" s="226">
        <v>9642813.36</v>
      </c>
      <c r="E117" s="226">
        <v>8194684.76</v>
      </c>
      <c r="F117" s="166">
        <f t="shared" si="21"/>
        <v>0.17671559582970459</v>
      </c>
      <c r="G117" s="241">
        <f t="shared" si="22"/>
        <v>0.09349681563927488</v>
      </c>
      <c r="H117" s="242">
        <f t="shared" si="23"/>
        <v>0.9065031843607251</v>
      </c>
      <c r="I117" s="157"/>
    </row>
    <row r="118" spans="1:9" ht="15.75">
      <c r="A118" s="164"/>
      <c r="B118" s="165">
        <f>DATE(17,10,1)</f>
        <v>6484</v>
      </c>
      <c r="C118" s="226">
        <v>98551658.52</v>
      </c>
      <c r="D118" s="226">
        <v>9440836.54</v>
      </c>
      <c r="E118" s="226">
        <v>8155477.29</v>
      </c>
      <c r="F118" s="166">
        <f t="shared" si="21"/>
        <v>0.15760687011857266</v>
      </c>
      <c r="G118" s="241">
        <f t="shared" si="22"/>
        <v>0.09579581593833941</v>
      </c>
      <c r="H118" s="242">
        <f t="shared" si="23"/>
        <v>0.9042041840616606</v>
      </c>
      <c r="I118" s="157"/>
    </row>
    <row r="119" spans="1:9" ht="15.75">
      <c r="A119" s="164"/>
      <c r="B119" s="165">
        <f>DATE(17,11,1)</f>
        <v>6515</v>
      </c>
      <c r="C119" s="226">
        <v>104447200.76</v>
      </c>
      <c r="D119" s="226">
        <v>9748688.07</v>
      </c>
      <c r="E119" s="226">
        <v>7902548.5</v>
      </c>
      <c r="F119" s="166">
        <f t="shared" si="21"/>
        <v>0.23361319073207842</v>
      </c>
      <c r="G119" s="241">
        <f t="shared" si="22"/>
        <v>0.09333603963595587</v>
      </c>
      <c r="H119" s="242">
        <f t="shared" si="23"/>
        <v>0.9066639603640442</v>
      </c>
      <c r="I119" s="157"/>
    </row>
    <row r="120" spans="1:9" ht="15.75">
      <c r="A120" s="164"/>
      <c r="B120" s="165">
        <f>DATE(17,12,1)</f>
        <v>6545</v>
      </c>
      <c r="C120" s="226">
        <v>119043904.52</v>
      </c>
      <c r="D120" s="226">
        <v>10597064.9</v>
      </c>
      <c r="E120" s="226">
        <v>9058840.33</v>
      </c>
      <c r="F120" s="166">
        <f t="shared" si="21"/>
        <v>0.1698036960543271</v>
      </c>
      <c r="G120" s="241">
        <f t="shared" si="22"/>
        <v>0.08901812270631326</v>
      </c>
      <c r="H120" s="242">
        <f t="shared" si="23"/>
        <v>0.9109818772936867</v>
      </c>
      <c r="I120" s="157"/>
    </row>
    <row r="121" spans="1:9" ht="15.75">
      <c r="A121" s="164"/>
      <c r="B121" s="165">
        <f>DATE(18,1,1)</f>
        <v>6576</v>
      </c>
      <c r="C121" s="226">
        <v>107495479.12</v>
      </c>
      <c r="D121" s="226">
        <v>10120620.01</v>
      </c>
      <c r="E121" s="226">
        <v>8269082.65</v>
      </c>
      <c r="F121" s="166">
        <f t="shared" si="21"/>
        <v>0.22391085424693383</v>
      </c>
      <c r="G121" s="241">
        <f t="shared" si="22"/>
        <v>0.09414926183734748</v>
      </c>
      <c r="H121" s="242">
        <f t="shared" si="23"/>
        <v>0.9058507381626525</v>
      </c>
      <c r="I121" s="157"/>
    </row>
    <row r="122" spans="1:9" ht="15.75">
      <c r="A122" s="164"/>
      <c r="B122" s="165">
        <f>DATE(18,2,1)</f>
        <v>6607</v>
      </c>
      <c r="C122" s="226">
        <v>117442153.2</v>
      </c>
      <c r="D122" s="226">
        <v>11560671.16</v>
      </c>
      <c r="E122" s="226">
        <v>9640352.66</v>
      </c>
      <c r="F122" s="166">
        <f t="shared" si="21"/>
        <v>0.1991958767201365</v>
      </c>
      <c r="G122" s="241">
        <f t="shared" si="22"/>
        <v>0.09843715263217773</v>
      </c>
      <c r="H122" s="242">
        <f t="shared" si="23"/>
        <v>0.9015628473678223</v>
      </c>
      <c r="I122" s="157"/>
    </row>
    <row r="123" spans="1:9" ht="15.75">
      <c r="A123" s="164"/>
      <c r="B123" s="165">
        <f>DATE(18,3,1)</f>
        <v>6635</v>
      </c>
      <c r="C123" s="226">
        <v>140467988.74</v>
      </c>
      <c r="D123" s="226">
        <v>13834359.94</v>
      </c>
      <c r="E123" s="226">
        <v>11097029.25</v>
      </c>
      <c r="F123" s="166">
        <f t="shared" si="21"/>
        <v>0.24667238666600788</v>
      </c>
      <c r="G123" s="241">
        <f t="shared" si="22"/>
        <v>0.09848763454289065</v>
      </c>
      <c r="H123" s="242">
        <f t="shared" si="23"/>
        <v>0.9015123654571093</v>
      </c>
      <c r="I123" s="157"/>
    </row>
    <row r="124" spans="1:9" ht="15.75">
      <c r="A124" s="164"/>
      <c r="B124" s="165">
        <f>DATE(18,4,1)</f>
        <v>6666</v>
      </c>
      <c r="C124" s="226">
        <v>122464222.08</v>
      </c>
      <c r="D124" s="226">
        <v>12018253.03</v>
      </c>
      <c r="E124" s="226">
        <v>10327489.5</v>
      </c>
      <c r="F124" s="166">
        <f t="shared" si="21"/>
        <v>0.16371486313300046</v>
      </c>
      <c r="G124" s="241">
        <f t="shared" si="22"/>
        <v>0.09813685030513689</v>
      </c>
      <c r="H124" s="242">
        <f t="shared" si="23"/>
        <v>0.9018631496948631</v>
      </c>
      <c r="I124" s="157"/>
    </row>
    <row r="125" spans="1:9" ht="15.75">
      <c r="A125" s="164"/>
      <c r="B125" s="165">
        <f>DATE(18,5,1)</f>
        <v>6696</v>
      </c>
      <c r="C125" s="226">
        <v>122542027.41</v>
      </c>
      <c r="D125" s="226">
        <v>11899786.96</v>
      </c>
      <c r="E125" s="226">
        <v>10229034.26</v>
      </c>
      <c r="F125" s="166">
        <f t="shared" si="21"/>
        <v>0.16333435371639876</v>
      </c>
      <c r="G125" s="241">
        <f t="shared" si="22"/>
        <v>0.09710780220883569</v>
      </c>
      <c r="H125" s="242">
        <f t="shared" si="23"/>
        <v>0.9028921977911644</v>
      </c>
      <c r="I125" s="157"/>
    </row>
    <row r="126" spans="1:9" ht="15.75">
      <c r="A126" s="164"/>
      <c r="B126" s="165">
        <f>DATE(18,6,1)</f>
        <v>6727</v>
      </c>
      <c r="C126" s="226">
        <v>124093553.45</v>
      </c>
      <c r="D126" s="226">
        <v>12293253.68</v>
      </c>
      <c r="E126" s="226">
        <v>10064467.69</v>
      </c>
      <c r="F126" s="166">
        <f t="shared" si="21"/>
        <v>0.22145095584285196</v>
      </c>
      <c r="G126" s="241">
        <f t="shared" si="22"/>
        <v>0.09906440212426683</v>
      </c>
      <c r="H126" s="242">
        <f t="shared" si="23"/>
        <v>0.9009355978757332</v>
      </c>
      <c r="I126" s="157"/>
    </row>
    <row r="127" spans="1:9" ht="15.75" thickBot="1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SUM(C115:C127)</f>
        <v>1371462417.7900002</v>
      </c>
      <c r="D128" s="230">
        <f>SUM(D115:D127)</f>
        <v>131355834.74000001</v>
      </c>
      <c r="E128" s="271">
        <f>SUM(E115:E127)</f>
        <v>109624416.12</v>
      </c>
      <c r="F128" s="176">
        <f>(+D128-E128)/E128</f>
        <v>0.19823520515914794</v>
      </c>
      <c r="G128" s="249">
        <f>D128/C128</f>
        <v>0.09577793239983143</v>
      </c>
      <c r="H128" s="270">
        <f>1-G128</f>
        <v>0.9042220676001685</v>
      </c>
      <c r="I128" s="157"/>
    </row>
    <row r="129" spans="1:9" ht="15.75" thickTop="1">
      <c r="A129" s="167"/>
      <c r="B129" s="179"/>
      <c r="C129" s="229"/>
      <c r="D129" s="229"/>
      <c r="E129" s="229"/>
      <c r="F129" s="180"/>
      <c r="G129" s="247"/>
      <c r="H129" s="248"/>
      <c r="I129" s="157"/>
    </row>
    <row r="130" spans="1:9" ht="15.75">
      <c r="A130" s="164" t="s">
        <v>18</v>
      </c>
      <c r="B130" s="165">
        <f>DATE(17,7,1)</f>
        <v>6392</v>
      </c>
      <c r="C130" s="226">
        <v>149607316.71</v>
      </c>
      <c r="D130" s="226">
        <v>13990899.67</v>
      </c>
      <c r="E130" s="226">
        <v>14874442.41</v>
      </c>
      <c r="F130" s="166">
        <f aca="true" t="shared" si="24" ref="F130:F141">(+D130-E130)/E130</f>
        <v>-0.05940005787416943</v>
      </c>
      <c r="G130" s="241">
        <f aca="true" t="shared" si="25" ref="G130:G141">D130/C130</f>
        <v>0.0935174828188388</v>
      </c>
      <c r="H130" s="242">
        <f aca="true" t="shared" si="26" ref="H130:H141">1-G130</f>
        <v>0.9064825171811612</v>
      </c>
      <c r="I130" s="157"/>
    </row>
    <row r="131" spans="1:9" ht="15.75">
      <c r="A131" s="164"/>
      <c r="B131" s="165">
        <f>DATE(17,8,1)</f>
        <v>6423</v>
      </c>
      <c r="C131" s="226">
        <v>139276395.92</v>
      </c>
      <c r="D131" s="226">
        <v>13373041.55</v>
      </c>
      <c r="E131" s="226">
        <v>13587466.12</v>
      </c>
      <c r="F131" s="166">
        <f t="shared" si="24"/>
        <v>-0.015781056460878847</v>
      </c>
      <c r="G131" s="241">
        <f t="shared" si="25"/>
        <v>0.09601800406783531</v>
      </c>
      <c r="H131" s="242">
        <f t="shared" si="26"/>
        <v>0.9039819959321647</v>
      </c>
      <c r="I131" s="157"/>
    </row>
    <row r="132" spans="1:9" ht="15.75">
      <c r="A132" s="164"/>
      <c r="B132" s="165">
        <f>DATE(17,9,1)</f>
        <v>6454</v>
      </c>
      <c r="C132" s="226">
        <v>145809880.77</v>
      </c>
      <c r="D132" s="226">
        <v>13392030.43</v>
      </c>
      <c r="E132" s="226">
        <v>13653509.51</v>
      </c>
      <c r="F132" s="166">
        <f t="shared" si="24"/>
        <v>-0.019151052687844804</v>
      </c>
      <c r="G132" s="241">
        <f t="shared" si="25"/>
        <v>0.09184583623056754</v>
      </c>
      <c r="H132" s="242">
        <f t="shared" si="26"/>
        <v>0.9081541637694325</v>
      </c>
      <c r="I132" s="157"/>
    </row>
    <row r="133" spans="1:9" ht="15.75">
      <c r="A133" s="164"/>
      <c r="B133" s="165">
        <f>DATE(17,10,1)</f>
        <v>6484</v>
      </c>
      <c r="C133" s="226">
        <v>137124347.25</v>
      </c>
      <c r="D133" s="226">
        <v>12769108.56</v>
      </c>
      <c r="E133" s="226">
        <v>13910961.09</v>
      </c>
      <c r="F133" s="166">
        <f t="shared" si="24"/>
        <v>-0.08208293608274332</v>
      </c>
      <c r="G133" s="241">
        <f t="shared" si="25"/>
        <v>0.09312065155518909</v>
      </c>
      <c r="H133" s="242">
        <f t="shared" si="26"/>
        <v>0.9068793484448109</v>
      </c>
      <c r="I133" s="157"/>
    </row>
    <row r="134" spans="1:9" ht="15.75">
      <c r="A134" s="164"/>
      <c r="B134" s="165">
        <f>DATE(17,11,1)</f>
        <v>6515</v>
      </c>
      <c r="C134" s="226">
        <v>132140000.6</v>
      </c>
      <c r="D134" s="226">
        <v>12739975.57</v>
      </c>
      <c r="E134" s="226">
        <v>13119547.64</v>
      </c>
      <c r="F134" s="166">
        <f t="shared" si="24"/>
        <v>-0.028931795547792245</v>
      </c>
      <c r="G134" s="241">
        <f t="shared" si="25"/>
        <v>0.09641271009650655</v>
      </c>
      <c r="H134" s="242">
        <f t="shared" si="26"/>
        <v>0.9035872899034935</v>
      </c>
      <c r="I134" s="157"/>
    </row>
    <row r="135" spans="1:9" ht="15.75">
      <c r="A135" s="164"/>
      <c r="B135" s="165">
        <f>DATE(17,12,1)</f>
        <v>6545</v>
      </c>
      <c r="C135" s="226">
        <v>145680241.12</v>
      </c>
      <c r="D135" s="226">
        <v>13705331.41</v>
      </c>
      <c r="E135" s="226">
        <v>13506446.31</v>
      </c>
      <c r="F135" s="166">
        <f t="shared" si="24"/>
        <v>0.01472519828200462</v>
      </c>
      <c r="G135" s="241">
        <f t="shared" si="25"/>
        <v>0.09407817631706566</v>
      </c>
      <c r="H135" s="242">
        <f t="shared" si="26"/>
        <v>0.9059218236829343</v>
      </c>
      <c r="I135" s="157"/>
    </row>
    <row r="136" spans="1:9" ht="15.75">
      <c r="A136" s="164"/>
      <c r="B136" s="165">
        <f>DATE(18,1,1)</f>
        <v>6576</v>
      </c>
      <c r="C136" s="226">
        <v>128203247.42</v>
      </c>
      <c r="D136" s="226">
        <v>12314929.47</v>
      </c>
      <c r="E136" s="226">
        <v>12650604.78</v>
      </c>
      <c r="F136" s="166">
        <f t="shared" si="24"/>
        <v>-0.02653432905679618</v>
      </c>
      <c r="G136" s="241">
        <f t="shared" si="25"/>
        <v>0.0960578590467034</v>
      </c>
      <c r="H136" s="242">
        <f t="shared" si="26"/>
        <v>0.9039421409532966</v>
      </c>
      <c r="I136" s="157"/>
    </row>
    <row r="137" spans="1:9" ht="15.75">
      <c r="A137" s="164"/>
      <c r="B137" s="165">
        <f>DATE(18,2,1)</f>
        <v>6607</v>
      </c>
      <c r="C137" s="226">
        <v>128906979.93</v>
      </c>
      <c r="D137" s="226">
        <v>12905800.56</v>
      </c>
      <c r="E137" s="226">
        <v>13965168.51</v>
      </c>
      <c r="F137" s="166">
        <f t="shared" si="24"/>
        <v>-0.07585787090513234</v>
      </c>
      <c r="G137" s="241">
        <f t="shared" si="25"/>
        <v>0.10011715864422703</v>
      </c>
      <c r="H137" s="242">
        <f t="shared" si="26"/>
        <v>0.899882841355773</v>
      </c>
      <c r="I137" s="157"/>
    </row>
    <row r="138" spans="1:9" ht="15.75">
      <c r="A138" s="164"/>
      <c r="B138" s="165">
        <f>DATE(18,3,1)</f>
        <v>6635</v>
      </c>
      <c r="C138" s="226">
        <v>159791555.81</v>
      </c>
      <c r="D138" s="226">
        <v>15707751.75</v>
      </c>
      <c r="E138" s="226">
        <v>15555765.15</v>
      </c>
      <c r="F138" s="166">
        <f t="shared" si="24"/>
        <v>0.009770435496707124</v>
      </c>
      <c r="G138" s="241">
        <f t="shared" si="25"/>
        <v>0.09830151330823318</v>
      </c>
      <c r="H138" s="242">
        <f t="shared" si="26"/>
        <v>0.9016984866917668</v>
      </c>
      <c r="I138" s="157"/>
    </row>
    <row r="139" spans="1:9" ht="15.75">
      <c r="A139" s="164"/>
      <c r="B139" s="165">
        <f>DATE(18,4,1)</f>
        <v>6666</v>
      </c>
      <c r="C139" s="226">
        <v>140555385.8</v>
      </c>
      <c r="D139" s="226">
        <v>13931794.98</v>
      </c>
      <c r="E139" s="226">
        <v>13929016.51</v>
      </c>
      <c r="F139" s="166">
        <f t="shared" si="24"/>
        <v>0.00019947352334645705</v>
      </c>
      <c r="G139" s="241">
        <f t="shared" si="25"/>
        <v>0.09911960968769935</v>
      </c>
      <c r="H139" s="242">
        <f t="shared" si="26"/>
        <v>0.9008803903123006</v>
      </c>
      <c r="I139" s="157"/>
    </row>
    <row r="140" spans="1:9" ht="15.75">
      <c r="A140" s="164"/>
      <c r="B140" s="165">
        <f>DATE(18,5,1)</f>
        <v>6696</v>
      </c>
      <c r="C140" s="226">
        <v>142057547.18</v>
      </c>
      <c r="D140" s="226">
        <v>14043474.58</v>
      </c>
      <c r="E140" s="226">
        <v>13479598.79</v>
      </c>
      <c r="F140" s="166">
        <f t="shared" si="24"/>
        <v>0.04183179327401932</v>
      </c>
      <c r="G140" s="241">
        <f t="shared" si="25"/>
        <v>0.09885764507960723</v>
      </c>
      <c r="H140" s="242">
        <f t="shared" si="26"/>
        <v>0.9011423549203927</v>
      </c>
      <c r="I140" s="157"/>
    </row>
    <row r="141" spans="1:9" ht="15.75">
      <c r="A141" s="164"/>
      <c r="B141" s="165">
        <f>DATE(18,6,1)</f>
        <v>6727</v>
      </c>
      <c r="C141" s="226">
        <v>143704104.19</v>
      </c>
      <c r="D141" s="226">
        <v>13934259</v>
      </c>
      <c r="E141" s="226">
        <v>13347674.41</v>
      </c>
      <c r="F141" s="166">
        <f t="shared" si="24"/>
        <v>0.04394657615865533</v>
      </c>
      <c r="G141" s="241">
        <f t="shared" si="25"/>
        <v>0.09696493415091793</v>
      </c>
      <c r="H141" s="242">
        <f t="shared" si="26"/>
        <v>0.9030350658490821</v>
      </c>
      <c r="I141" s="157"/>
    </row>
    <row r="142" spans="1:9" ht="15.75" customHeight="1" thickBot="1">
      <c r="A142" s="164"/>
      <c r="B142" s="165"/>
      <c r="C142" s="226"/>
      <c r="D142" s="226"/>
      <c r="E142" s="226"/>
      <c r="F142" s="166"/>
      <c r="G142" s="241"/>
      <c r="H142" s="242"/>
      <c r="I142" s="157"/>
    </row>
    <row r="143" spans="1:9" ht="17.25" thickBot="1" thickTop="1">
      <c r="A143" s="174" t="s">
        <v>14</v>
      </c>
      <c r="B143" s="181"/>
      <c r="C143" s="228">
        <f>SUM(C130:C142)</f>
        <v>1692857002.7</v>
      </c>
      <c r="D143" s="228">
        <f>SUM(D130:D142)</f>
        <v>162808397.53</v>
      </c>
      <c r="E143" s="228">
        <f>SUM(E130:E142)</f>
        <v>165580201.23</v>
      </c>
      <c r="F143" s="176">
        <f>(+D143-E143)/E143</f>
        <v>-0.016739946439307683</v>
      </c>
      <c r="G143" s="245">
        <f>D143/C143</f>
        <v>0.09617374490008955</v>
      </c>
      <c r="H143" s="246">
        <f>1-G143</f>
        <v>0.9038262550999104</v>
      </c>
      <c r="I143" s="157"/>
    </row>
    <row r="144" spans="1:9" ht="15.75" thickTop="1">
      <c r="A144" s="171"/>
      <c r="B144" s="172"/>
      <c r="C144" s="227"/>
      <c r="D144" s="227"/>
      <c r="E144" s="227"/>
      <c r="F144" s="173"/>
      <c r="G144" s="243"/>
      <c r="H144" s="244"/>
      <c r="I144" s="157"/>
    </row>
    <row r="145" spans="1:9" ht="15.75">
      <c r="A145" s="164" t="s">
        <v>58</v>
      </c>
      <c r="B145" s="165">
        <f>DATE(17,7,1)</f>
        <v>6392</v>
      </c>
      <c r="C145" s="226">
        <v>187696645.78</v>
      </c>
      <c r="D145" s="226">
        <v>17449857.02</v>
      </c>
      <c r="E145" s="226">
        <v>18055170.59</v>
      </c>
      <c r="F145" s="166">
        <f aca="true" t="shared" si="27" ref="F145:F156">(+D145-E145)/E145</f>
        <v>-0.03352577407024102</v>
      </c>
      <c r="G145" s="241">
        <f aca="true" t="shared" si="28" ref="G145:G156">D145/C145</f>
        <v>0.09296840094016942</v>
      </c>
      <c r="H145" s="242">
        <f aca="true" t="shared" si="29" ref="H145:H156">1-G145</f>
        <v>0.9070315990598306</v>
      </c>
      <c r="I145" s="157"/>
    </row>
    <row r="146" spans="1:9" ht="15.75">
      <c r="A146" s="164"/>
      <c r="B146" s="165">
        <f>DATE(17,8,1)</f>
        <v>6423</v>
      </c>
      <c r="C146" s="226">
        <v>180877315.36</v>
      </c>
      <c r="D146" s="226">
        <v>16610228.17</v>
      </c>
      <c r="E146" s="226">
        <v>16341152.65</v>
      </c>
      <c r="F146" s="166">
        <f t="shared" si="27"/>
        <v>0.01646612853836841</v>
      </c>
      <c r="G146" s="241">
        <f t="shared" si="28"/>
        <v>0.09183146121414215</v>
      </c>
      <c r="H146" s="242">
        <f t="shared" si="29"/>
        <v>0.9081685387858578</v>
      </c>
      <c r="I146" s="157"/>
    </row>
    <row r="147" spans="1:9" ht="15.75">
      <c r="A147" s="164"/>
      <c r="B147" s="165">
        <f>DATE(17,9,1)</f>
        <v>6454</v>
      </c>
      <c r="C147" s="226">
        <v>179839451.12</v>
      </c>
      <c r="D147" s="226">
        <v>16301470.13</v>
      </c>
      <c r="E147" s="226">
        <v>15682621.27</v>
      </c>
      <c r="F147" s="166">
        <f t="shared" si="27"/>
        <v>0.03946080501120214</v>
      </c>
      <c r="G147" s="241">
        <f t="shared" si="28"/>
        <v>0.09064457230311858</v>
      </c>
      <c r="H147" s="242">
        <f t="shared" si="29"/>
        <v>0.9093554276968814</v>
      </c>
      <c r="I147" s="157"/>
    </row>
    <row r="148" spans="1:9" ht="15.75">
      <c r="A148" s="164"/>
      <c r="B148" s="165">
        <f>DATE(17,10,1)</f>
        <v>6484</v>
      </c>
      <c r="C148" s="226">
        <v>168519417.42</v>
      </c>
      <c r="D148" s="226">
        <v>15646297.04</v>
      </c>
      <c r="E148" s="226">
        <v>16857793.66</v>
      </c>
      <c r="F148" s="166">
        <f t="shared" si="27"/>
        <v>-0.07186566904509145</v>
      </c>
      <c r="G148" s="241">
        <f t="shared" si="28"/>
        <v>0.09284566300751457</v>
      </c>
      <c r="H148" s="242">
        <f t="shared" si="29"/>
        <v>0.9071543369924855</v>
      </c>
      <c r="I148" s="157"/>
    </row>
    <row r="149" spans="1:9" ht="15.75">
      <c r="A149" s="164"/>
      <c r="B149" s="165">
        <f>DATE(17,11,1)</f>
        <v>6515</v>
      </c>
      <c r="C149" s="226">
        <v>166126798.47</v>
      </c>
      <c r="D149" s="226">
        <v>15321390.57</v>
      </c>
      <c r="E149" s="226">
        <v>15363287.77</v>
      </c>
      <c r="F149" s="166">
        <f t="shared" si="27"/>
        <v>-0.0027270985629659437</v>
      </c>
      <c r="G149" s="241">
        <f t="shared" si="28"/>
        <v>0.09222708624440754</v>
      </c>
      <c r="H149" s="242">
        <f t="shared" si="29"/>
        <v>0.9077729137555924</v>
      </c>
      <c r="I149" s="157"/>
    </row>
    <row r="150" spans="1:9" ht="15.75">
      <c r="A150" s="164"/>
      <c r="B150" s="165">
        <f>DATE(17,12,1)</f>
        <v>6545</v>
      </c>
      <c r="C150" s="226">
        <v>182994085.67</v>
      </c>
      <c r="D150" s="226">
        <v>17108418.35</v>
      </c>
      <c r="E150" s="226">
        <v>16219530.86</v>
      </c>
      <c r="F150" s="166">
        <f t="shared" si="27"/>
        <v>0.05480352654293739</v>
      </c>
      <c r="G150" s="241">
        <f t="shared" si="28"/>
        <v>0.09349164639589634</v>
      </c>
      <c r="H150" s="242">
        <f t="shared" si="29"/>
        <v>0.9065083536041036</v>
      </c>
      <c r="I150" s="157"/>
    </row>
    <row r="151" spans="1:9" ht="15.75">
      <c r="A151" s="164"/>
      <c r="B151" s="165">
        <f>DATE(18,1,1)</f>
        <v>6576</v>
      </c>
      <c r="C151" s="226">
        <v>155933928.03</v>
      </c>
      <c r="D151" s="226">
        <v>14386363.66</v>
      </c>
      <c r="E151" s="226">
        <v>15641994.18</v>
      </c>
      <c r="F151" s="166">
        <f t="shared" si="27"/>
        <v>-0.08027304610594092</v>
      </c>
      <c r="G151" s="241">
        <f t="shared" si="28"/>
        <v>0.09225935523943332</v>
      </c>
      <c r="H151" s="242">
        <f t="shared" si="29"/>
        <v>0.9077406447605667</v>
      </c>
      <c r="I151" s="157"/>
    </row>
    <row r="152" spans="1:9" ht="15.75">
      <c r="A152" s="164"/>
      <c r="B152" s="165">
        <f>DATE(18,2,1)</f>
        <v>6607</v>
      </c>
      <c r="C152" s="226">
        <v>170530036.65</v>
      </c>
      <c r="D152" s="226">
        <v>15815880.54</v>
      </c>
      <c r="E152" s="226">
        <v>16555178.2</v>
      </c>
      <c r="F152" s="166">
        <f t="shared" si="27"/>
        <v>-0.04465658122604806</v>
      </c>
      <c r="G152" s="241">
        <f t="shared" si="28"/>
        <v>0.0927454239188425</v>
      </c>
      <c r="H152" s="242">
        <f t="shared" si="29"/>
        <v>0.9072545760811574</v>
      </c>
      <c r="I152" s="157"/>
    </row>
    <row r="153" spans="1:9" ht="15.75">
      <c r="A153" s="164"/>
      <c r="B153" s="165">
        <f>DATE(18,3,1)</f>
        <v>6635</v>
      </c>
      <c r="C153" s="226">
        <v>200634276.52</v>
      </c>
      <c r="D153" s="226">
        <v>19279509.88</v>
      </c>
      <c r="E153" s="226">
        <v>18234270.62</v>
      </c>
      <c r="F153" s="166">
        <f t="shared" si="27"/>
        <v>0.057322789695439864</v>
      </c>
      <c r="G153" s="241">
        <f t="shared" si="28"/>
        <v>0.09609280235861464</v>
      </c>
      <c r="H153" s="242">
        <f t="shared" si="29"/>
        <v>0.9039071976413854</v>
      </c>
      <c r="I153" s="157"/>
    </row>
    <row r="154" spans="1:9" ht="15.75">
      <c r="A154" s="164"/>
      <c r="B154" s="165">
        <f>DATE(18,4,1)</f>
        <v>6666</v>
      </c>
      <c r="C154" s="226">
        <v>177999446.93</v>
      </c>
      <c r="D154" s="226">
        <v>16670834.66</v>
      </c>
      <c r="E154" s="226">
        <v>17304134.78</v>
      </c>
      <c r="F154" s="166">
        <f t="shared" si="27"/>
        <v>-0.03659819621446574</v>
      </c>
      <c r="G154" s="241">
        <f t="shared" si="28"/>
        <v>0.09365666549826959</v>
      </c>
      <c r="H154" s="242">
        <f t="shared" si="29"/>
        <v>0.9063433345017304</v>
      </c>
      <c r="I154" s="157"/>
    </row>
    <row r="155" spans="1:9" ht="15.75">
      <c r="A155" s="164"/>
      <c r="B155" s="165">
        <f>DATE(18,5,1)</f>
        <v>6696</v>
      </c>
      <c r="C155" s="226">
        <v>175660470.14</v>
      </c>
      <c r="D155" s="226">
        <v>15937528.72</v>
      </c>
      <c r="E155" s="226">
        <v>16457511.54</v>
      </c>
      <c r="F155" s="166">
        <f t="shared" si="27"/>
        <v>-0.031595470477792445</v>
      </c>
      <c r="G155" s="241">
        <f t="shared" si="28"/>
        <v>0.09072917035516254</v>
      </c>
      <c r="H155" s="242">
        <f t="shared" si="29"/>
        <v>0.9092708296448375</v>
      </c>
      <c r="I155" s="157"/>
    </row>
    <row r="156" spans="1:9" ht="15.75">
      <c r="A156" s="164"/>
      <c r="B156" s="165">
        <f>DATE(18,6,1)</f>
        <v>6727</v>
      </c>
      <c r="C156" s="226">
        <v>171703957.85</v>
      </c>
      <c r="D156" s="226">
        <v>16555234.83</v>
      </c>
      <c r="E156" s="226">
        <v>16075910.27</v>
      </c>
      <c r="F156" s="166">
        <f t="shared" si="27"/>
        <v>0.02981632467148627</v>
      </c>
      <c r="G156" s="241">
        <f t="shared" si="28"/>
        <v>0.09641731639326916</v>
      </c>
      <c r="H156" s="242">
        <f t="shared" si="29"/>
        <v>0.9035826836067309</v>
      </c>
      <c r="I156" s="157"/>
    </row>
    <row r="157" spans="1:9" ht="15.75" thickBot="1">
      <c r="A157" s="167"/>
      <c r="B157" s="168"/>
      <c r="C157" s="226"/>
      <c r="D157" s="226"/>
      <c r="E157" s="226"/>
      <c r="F157" s="166"/>
      <c r="G157" s="241"/>
      <c r="H157" s="242"/>
      <c r="I157" s="157"/>
    </row>
    <row r="158" spans="1:9" ht="17.25" thickBot="1" thickTop="1">
      <c r="A158" s="174" t="s">
        <v>14</v>
      </c>
      <c r="B158" s="175"/>
      <c r="C158" s="228">
        <f>SUM(C145:C157)</f>
        <v>2118515829.94</v>
      </c>
      <c r="D158" s="228">
        <f>SUM(D145:D157)</f>
        <v>197083013.57</v>
      </c>
      <c r="E158" s="228">
        <f>SUM(E145:E157)</f>
        <v>198788556.39</v>
      </c>
      <c r="F158" s="176">
        <f>(+D158-E158)/E158</f>
        <v>-0.008579683111405651</v>
      </c>
      <c r="G158" s="249">
        <f>D158/C158</f>
        <v>0.09302881327801157</v>
      </c>
      <c r="H158" s="270">
        <f>1-G158</f>
        <v>0.9069711867219884</v>
      </c>
      <c r="I158" s="157"/>
    </row>
    <row r="159" spans="1:9" ht="15.75" thickTop="1">
      <c r="A159" s="167"/>
      <c r="B159" s="168"/>
      <c r="C159" s="226"/>
      <c r="D159" s="226"/>
      <c r="E159" s="226"/>
      <c r="F159" s="166"/>
      <c r="G159" s="241"/>
      <c r="H159" s="242"/>
      <c r="I159" s="157"/>
    </row>
    <row r="160" spans="1:9" ht="15.75">
      <c r="A160" s="164" t="s">
        <v>59</v>
      </c>
      <c r="B160" s="165">
        <f>DATE(17,7,1)</f>
        <v>6392</v>
      </c>
      <c r="C160" s="226">
        <v>23593924.79</v>
      </c>
      <c r="D160" s="226">
        <v>2744349.13</v>
      </c>
      <c r="E160" s="226">
        <v>2795817.88</v>
      </c>
      <c r="F160" s="166">
        <f aca="true" t="shared" si="30" ref="F160:F171">(+D160-E160)/E160</f>
        <v>-0.01840919266171944</v>
      </c>
      <c r="G160" s="241">
        <f aca="true" t="shared" si="31" ref="G160:G171">D160/C160</f>
        <v>0.11631592261255148</v>
      </c>
      <c r="H160" s="242">
        <f aca="true" t="shared" si="32" ref="H160:H171">1-G160</f>
        <v>0.8836840773874485</v>
      </c>
      <c r="I160" s="157"/>
    </row>
    <row r="161" spans="1:9" ht="15.75">
      <c r="A161" s="164"/>
      <c r="B161" s="165">
        <f>DATE(17,8,1)</f>
        <v>6423</v>
      </c>
      <c r="C161" s="226">
        <v>21507122.18</v>
      </c>
      <c r="D161" s="226">
        <v>2540959.26</v>
      </c>
      <c r="E161" s="226">
        <v>2610502.16</v>
      </c>
      <c r="F161" s="166">
        <f t="shared" si="30"/>
        <v>-0.026639663841534753</v>
      </c>
      <c r="G161" s="241">
        <f t="shared" si="31"/>
        <v>0.11814501441587104</v>
      </c>
      <c r="H161" s="242">
        <f t="shared" si="32"/>
        <v>0.881854985584129</v>
      </c>
      <c r="I161" s="157"/>
    </row>
    <row r="162" spans="1:9" ht="15.75">
      <c r="A162" s="164"/>
      <c r="B162" s="165">
        <f>DATE(17,9,1)</f>
        <v>6454</v>
      </c>
      <c r="C162" s="226">
        <v>22920807.74</v>
      </c>
      <c r="D162" s="226">
        <v>2634253.17</v>
      </c>
      <c r="E162" s="226">
        <v>2597489.31</v>
      </c>
      <c r="F162" s="166">
        <f t="shared" si="30"/>
        <v>0.01415361359081007</v>
      </c>
      <c r="G162" s="241">
        <f t="shared" si="31"/>
        <v>0.11492846150455953</v>
      </c>
      <c r="H162" s="242">
        <f t="shared" si="32"/>
        <v>0.8850715384954405</v>
      </c>
      <c r="I162" s="157"/>
    </row>
    <row r="163" spans="1:9" ht="15.75">
      <c r="A163" s="164"/>
      <c r="B163" s="165">
        <f>DATE(17,10,1)</f>
        <v>6484</v>
      </c>
      <c r="C163" s="226">
        <v>20376782.81</v>
      </c>
      <c r="D163" s="226">
        <v>2351008.96</v>
      </c>
      <c r="E163" s="226">
        <v>2658718.15</v>
      </c>
      <c r="F163" s="166">
        <f t="shared" si="30"/>
        <v>-0.115735919582149</v>
      </c>
      <c r="G163" s="241">
        <f t="shared" si="31"/>
        <v>0.11537684736209838</v>
      </c>
      <c r="H163" s="242">
        <f t="shared" si="32"/>
        <v>0.8846231526379016</v>
      </c>
      <c r="I163" s="157"/>
    </row>
    <row r="164" spans="1:9" ht="15.75">
      <c r="A164" s="164"/>
      <c r="B164" s="165">
        <f>DATE(17,11,1)</f>
        <v>6515</v>
      </c>
      <c r="C164" s="226">
        <v>20648636.11</v>
      </c>
      <c r="D164" s="226">
        <v>2370134.99</v>
      </c>
      <c r="E164" s="226">
        <v>2541859.77</v>
      </c>
      <c r="F164" s="166">
        <f t="shared" si="30"/>
        <v>-0.06755871508993581</v>
      </c>
      <c r="G164" s="241">
        <f t="shared" si="31"/>
        <v>0.11478409408610574</v>
      </c>
      <c r="H164" s="242">
        <f t="shared" si="32"/>
        <v>0.8852159059138942</v>
      </c>
      <c r="I164" s="157"/>
    </row>
    <row r="165" spans="1:9" ht="15.75">
      <c r="A165" s="164"/>
      <c r="B165" s="165">
        <f>DATE(17,12,1)</f>
        <v>6545</v>
      </c>
      <c r="C165" s="226">
        <v>21570745.19</v>
      </c>
      <c r="D165" s="226">
        <v>2474390.43</v>
      </c>
      <c r="E165" s="226">
        <v>2574078.09</v>
      </c>
      <c r="F165" s="166">
        <f t="shared" si="30"/>
        <v>-0.0387275197233817</v>
      </c>
      <c r="G165" s="241">
        <f t="shared" si="31"/>
        <v>0.11471047514608372</v>
      </c>
      <c r="H165" s="242">
        <f t="shared" si="32"/>
        <v>0.8852895248539163</v>
      </c>
      <c r="I165" s="157"/>
    </row>
    <row r="166" spans="1:9" ht="15.75">
      <c r="A166" s="164"/>
      <c r="B166" s="165">
        <f>DATE(18,1,1)</f>
        <v>6576</v>
      </c>
      <c r="C166" s="226">
        <v>20773090.6</v>
      </c>
      <c r="D166" s="226">
        <v>2393011.98</v>
      </c>
      <c r="E166" s="226">
        <v>2540085.31</v>
      </c>
      <c r="F166" s="166">
        <f t="shared" si="30"/>
        <v>-0.05790094113020167</v>
      </c>
      <c r="G166" s="241">
        <f t="shared" si="31"/>
        <v>0.11519768656860331</v>
      </c>
      <c r="H166" s="242">
        <f t="shared" si="32"/>
        <v>0.8848023134313967</v>
      </c>
      <c r="I166" s="157"/>
    </row>
    <row r="167" spans="1:9" ht="15.75">
      <c r="A167" s="164"/>
      <c r="B167" s="165">
        <f>DATE(18,2,1)</f>
        <v>6607</v>
      </c>
      <c r="C167" s="226">
        <v>21720854.06</v>
      </c>
      <c r="D167" s="226">
        <v>2447889.15</v>
      </c>
      <c r="E167" s="226">
        <v>2700948.11</v>
      </c>
      <c r="F167" s="166">
        <f t="shared" si="30"/>
        <v>-0.09369264039656058</v>
      </c>
      <c r="G167" s="241">
        <f t="shared" si="31"/>
        <v>0.11269764730420549</v>
      </c>
      <c r="H167" s="242">
        <f t="shared" si="32"/>
        <v>0.8873023526957945</v>
      </c>
      <c r="I167" s="157"/>
    </row>
    <row r="168" spans="1:9" ht="15.75">
      <c r="A168" s="164"/>
      <c r="B168" s="165">
        <f>DATE(18,3,1)</f>
        <v>6635</v>
      </c>
      <c r="C168" s="226">
        <v>29666808.77</v>
      </c>
      <c r="D168" s="226">
        <v>3412980.94</v>
      </c>
      <c r="E168" s="226">
        <v>3060470.22</v>
      </c>
      <c r="F168" s="166">
        <f t="shared" si="30"/>
        <v>0.11518188208346615</v>
      </c>
      <c r="G168" s="241">
        <f t="shared" si="31"/>
        <v>0.11504375028875072</v>
      </c>
      <c r="H168" s="242">
        <f t="shared" si="32"/>
        <v>0.8849562497112493</v>
      </c>
      <c r="I168" s="157"/>
    </row>
    <row r="169" spans="1:9" ht="15.75">
      <c r="A169" s="164"/>
      <c r="B169" s="165">
        <f>DATE(18,4,1)</f>
        <v>6666</v>
      </c>
      <c r="C169" s="226">
        <v>24633726.64</v>
      </c>
      <c r="D169" s="226">
        <v>2736386.51</v>
      </c>
      <c r="E169" s="226">
        <v>2775007.55</v>
      </c>
      <c r="F169" s="166">
        <f t="shared" si="30"/>
        <v>-0.013917454026386358</v>
      </c>
      <c r="G169" s="241">
        <f t="shared" si="31"/>
        <v>0.11108292910731106</v>
      </c>
      <c r="H169" s="242">
        <f t="shared" si="32"/>
        <v>0.8889170708926889</v>
      </c>
      <c r="I169" s="157"/>
    </row>
    <row r="170" spans="1:9" ht="15.75">
      <c r="A170" s="164"/>
      <c r="B170" s="165">
        <f>DATE(18,5,1)</f>
        <v>6696</v>
      </c>
      <c r="C170" s="226">
        <v>24048668.44</v>
      </c>
      <c r="D170" s="226">
        <v>2770489.93</v>
      </c>
      <c r="E170" s="226">
        <v>2708749.16</v>
      </c>
      <c r="F170" s="166">
        <f t="shared" si="30"/>
        <v>0.022793092439759174</v>
      </c>
      <c r="G170" s="241">
        <f t="shared" si="31"/>
        <v>0.11520346487840721</v>
      </c>
      <c r="H170" s="242">
        <f t="shared" si="32"/>
        <v>0.8847965351215927</v>
      </c>
      <c r="I170" s="157"/>
    </row>
    <row r="171" spans="1:9" ht="15.75">
      <c r="A171" s="164"/>
      <c r="B171" s="165">
        <f>DATE(18,6,1)</f>
        <v>6727</v>
      </c>
      <c r="C171" s="226">
        <v>24601682.9</v>
      </c>
      <c r="D171" s="226">
        <v>2731082.79</v>
      </c>
      <c r="E171" s="226">
        <v>2543565.29</v>
      </c>
      <c r="F171" s="166">
        <f t="shared" si="30"/>
        <v>0.07372230653454152</v>
      </c>
      <c r="G171" s="241">
        <f t="shared" si="31"/>
        <v>0.11101203121352321</v>
      </c>
      <c r="H171" s="242">
        <f t="shared" si="32"/>
        <v>0.8889879687864768</v>
      </c>
      <c r="I171" s="157"/>
    </row>
    <row r="172" spans="1:9" ht="15.75" thickBot="1">
      <c r="A172" s="167"/>
      <c r="B172" s="168"/>
      <c r="C172" s="226"/>
      <c r="D172" s="226"/>
      <c r="E172" s="226"/>
      <c r="F172" s="166"/>
      <c r="G172" s="241"/>
      <c r="H172" s="242"/>
      <c r="I172" s="157"/>
    </row>
    <row r="173" spans="1:9" ht="17.25" thickBot="1" thickTop="1">
      <c r="A173" s="182" t="s">
        <v>14</v>
      </c>
      <c r="B173" s="183"/>
      <c r="C173" s="230">
        <f>SUM(C160:C172)</f>
        <v>276062850.22999996</v>
      </c>
      <c r="D173" s="230">
        <f>SUM(D160:D172)</f>
        <v>31606937.239999995</v>
      </c>
      <c r="E173" s="230">
        <f>SUM(E160:E172)</f>
        <v>32107290.999999996</v>
      </c>
      <c r="F173" s="176">
        <f>(+D173-E173)/E173</f>
        <v>-0.01558380493701576</v>
      </c>
      <c r="G173" s="249">
        <f>D173/C173</f>
        <v>0.11449181667749529</v>
      </c>
      <c r="H173" s="246">
        <f>1-G173</f>
        <v>0.8855081833225047</v>
      </c>
      <c r="I173" s="157"/>
    </row>
    <row r="174" spans="1:9" ht="15.75" thickTop="1">
      <c r="A174" s="167"/>
      <c r="B174" s="168"/>
      <c r="C174" s="226"/>
      <c r="D174" s="226"/>
      <c r="E174" s="226"/>
      <c r="F174" s="166"/>
      <c r="G174" s="241"/>
      <c r="H174" s="242"/>
      <c r="I174" s="157"/>
    </row>
    <row r="175" spans="1:9" ht="15.75">
      <c r="A175" s="164" t="s">
        <v>40</v>
      </c>
      <c r="B175" s="165">
        <f>DATE(17,7,1)</f>
        <v>6392</v>
      </c>
      <c r="C175" s="226">
        <v>226837676.51</v>
      </c>
      <c r="D175" s="226">
        <v>20250233.59</v>
      </c>
      <c r="E175" s="226">
        <v>20041496.31</v>
      </c>
      <c r="F175" s="166">
        <f aca="true" t="shared" si="33" ref="F175:F186">(+D175-E175)/E175</f>
        <v>0.010415254269006285</v>
      </c>
      <c r="G175" s="241">
        <f aca="true" t="shared" si="34" ref="G175:G186">D175/C175</f>
        <v>0.08927191417915657</v>
      </c>
      <c r="H175" s="242">
        <f aca="true" t="shared" si="35" ref="H175:H186">1-G175</f>
        <v>0.9107280858208434</v>
      </c>
      <c r="I175" s="157"/>
    </row>
    <row r="176" spans="1:9" ht="15.75">
      <c r="A176" s="164"/>
      <c r="B176" s="165">
        <f>DATE(17,8,1)</f>
        <v>6423</v>
      </c>
      <c r="C176" s="226">
        <v>203505092.13</v>
      </c>
      <c r="D176" s="226">
        <v>18649872.98</v>
      </c>
      <c r="E176" s="226">
        <v>18005684.83</v>
      </c>
      <c r="F176" s="166">
        <f t="shared" si="33"/>
        <v>0.03577693134596549</v>
      </c>
      <c r="G176" s="241">
        <f t="shared" si="34"/>
        <v>0.09164327430237655</v>
      </c>
      <c r="H176" s="242">
        <f t="shared" si="35"/>
        <v>0.9083567256976235</v>
      </c>
      <c r="I176" s="157"/>
    </row>
    <row r="177" spans="1:9" ht="15.75">
      <c r="A177" s="164"/>
      <c r="B177" s="165">
        <f>DATE(17,9,1)</f>
        <v>6454</v>
      </c>
      <c r="C177" s="226">
        <v>207713230.86</v>
      </c>
      <c r="D177" s="226">
        <v>18449653.52</v>
      </c>
      <c r="E177" s="226">
        <v>18830129.89</v>
      </c>
      <c r="F177" s="166">
        <f t="shared" si="33"/>
        <v>-0.020205722011618105</v>
      </c>
      <c r="G177" s="241">
        <f t="shared" si="34"/>
        <v>0.08882271699117318</v>
      </c>
      <c r="H177" s="242">
        <f t="shared" si="35"/>
        <v>0.9111772830088268</v>
      </c>
      <c r="I177" s="157"/>
    </row>
    <row r="178" spans="1:9" ht="15.75">
      <c r="A178" s="164"/>
      <c r="B178" s="165">
        <f>DATE(17,10,1)</f>
        <v>6484</v>
      </c>
      <c r="C178" s="226">
        <v>205445724.16</v>
      </c>
      <c r="D178" s="226">
        <v>17943427.35</v>
      </c>
      <c r="E178" s="226">
        <v>18755897.64</v>
      </c>
      <c r="F178" s="166">
        <f t="shared" si="33"/>
        <v>-0.04331812348278518</v>
      </c>
      <c r="G178" s="241">
        <f t="shared" si="34"/>
        <v>0.08733901580753153</v>
      </c>
      <c r="H178" s="242">
        <f t="shared" si="35"/>
        <v>0.9126609841924684</v>
      </c>
      <c r="I178" s="157"/>
    </row>
    <row r="179" spans="1:9" ht="15.75">
      <c r="A179" s="164"/>
      <c r="B179" s="165">
        <f>DATE(17,11,1)</f>
        <v>6515</v>
      </c>
      <c r="C179" s="226">
        <v>202500755.18</v>
      </c>
      <c r="D179" s="226">
        <v>17723437.11</v>
      </c>
      <c r="E179" s="226">
        <v>17341075.18</v>
      </c>
      <c r="F179" s="166">
        <f t="shared" si="33"/>
        <v>0.022049493819217714</v>
      </c>
      <c r="G179" s="241">
        <f t="shared" si="34"/>
        <v>0.08752281982477493</v>
      </c>
      <c r="H179" s="242">
        <f t="shared" si="35"/>
        <v>0.9124771801752251</v>
      </c>
      <c r="I179" s="157"/>
    </row>
    <row r="180" spans="1:9" ht="15.75">
      <c r="A180" s="164"/>
      <c r="B180" s="165">
        <f>DATE(17,12,1)</f>
        <v>6545</v>
      </c>
      <c r="C180" s="226">
        <v>216163576.61</v>
      </c>
      <c r="D180" s="226">
        <v>18728361.25</v>
      </c>
      <c r="E180" s="226">
        <v>18716969.5</v>
      </c>
      <c r="F180" s="166">
        <f t="shared" si="33"/>
        <v>0.0006086321826832062</v>
      </c>
      <c r="G180" s="241">
        <f t="shared" si="34"/>
        <v>0.08663976394038625</v>
      </c>
      <c r="H180" s="242">
        <f t="shared" si="35"/>
        <v>0.9133602360596138</v>
      </c>
      <c r="I180" s="157"/>
    </row>
    <row r="181" spans="1:9" ht="15.75">
      <c r="A181" s="164"/>
      <c r="B181" s="165">
        <f>DATE(18,1,1)</f>
        <v>6576</v>
      </c>
      <c r="C181" s="226">
        <v>193901004.59</v>
      </c>
      <c r="D181" s="226">
        <v>16953191</v>
      </c>
      <c r="E181" s="226">
        <v>16940330.17</v>
      </c>
      <c r="F181" s="166">
        <f t="shared" si="33"/>
        <v>0.000759184140505935</v>
      </c>
      <c r="G181" s="241">
        <f t="shared" si="34"/>
        <v>0.08743219786739734</v>
      </c>
      <c r="H181" s="242">
        <f t="shared" si="35"/>
        <v>0.9125678021326027</v>
      </c>
      <c r="I181" s="157"/>
    </row>
    <row r="182" spans="1:9" ht="15.75">
      <c r="A182" s="164"/>
      <c r="B182" s="165">
        <f>DATE(18,2,1)</f>
        <v>6607</v>
      </c>
      <c r="C182" s="226">
        <v>195611002.13</v>
      </c>
      <c r="D182" s="226">
        <v>18138655.68</v>
      </c>
      <c r="E182" s="226">
        <v>18602686.64</v>
      </c>
      <c r="F182" s="166">
        <f t="shared" si="33"/>
        <v>-0.024944298045758023</v>
      </c>
      <c r="G182" s="241">
        <f t="shared" si="34"/>
        <v>0.09272819771121736</v>
      </c>
      <c r="H182" s="242">
        <f t="shared" si="35"/>
        <v>0.9072718022887827</v>
      </c>
      <c r="I182" s="157"/>
    </row>
    <row r="183" spans="1:9" ht="15.75">
      <c r="A183" s="164"/>
      <c r="B183" s="165">
        <f>DATE(18,3,1)</f>
        <v>6635</v>
      </c>
      <c r="C183" s="226">
        <v>242846069.3</v>
      </c>
      <c r="D183" s="226">
        <v>21744558.07</v>
      </c>
      <c r="E183" s="226">
        <v>21096281.87</v>
      </c>
      <c r="F183" s="166">
        <f t="shared" si="33"/>
        <v>0.030729405494049705</v>
      </c>
      <c r="G183" s="241">
        <f t="shared" si="34"/>
        <v>0.08954049836045667</v>
      </c>
      <c r="H183" s="242">
        <f t="shared" si="35"/>
        <v>0.9104595016395434</v>
      </c>
      <c r="I183" s="157"/>
    </row>
    <row r="184" spans="1:9" ht="15.75">
      <c r="A184" s="164"/>
      <c r="B184" s="165">
        <f>DATE(18,4,1)</f>
        <v>6666</v>
      </c>
      <c r="C184" s="226">
        <v>222069490.84</v>
      </c>
      <c r="D184" s="226">
        <v>19265202.35</v>
      </c>
      <c r="E184" s="226">
        <v>19362289.06</v>
      </c>
      <c r="F184" s="166">
        <f t="shared" si="33"/>
        <v>-0.005014216537060478</v>
      </c>
      <c r="G184" s="241">
        <f t="shared" si="34"/>
        <v>0.08675303517438371</v>
      </c>
      <c r="H184" s="242">
        <f t="shared" si="35"/>
        <v>0.9132469648256163</v>
      </c>
      <c r="I184" s="157"/>
    </row>
    <row r="185" spans="1:9" ht="15.75">
      <c r="A185" s="164"/>
      <c r="B185" s="165">
        <f>DATE(18,5,1)</f>
        <v>6696</v>
      </c>
      <c r="C185" s="226">
        <v>213881700.53</v>
      </c>
      <c r="D185" s="226">
        <v>19274378.74</v>
      </c>
      <c r="E185" s="226">
        <v>19517717.72</v>
      </c>
      <c r="F185" s="166">
        <f t="shared" si="33"/>
        <v>-0.012467593982602207</v>
      </c>
      <c r="G185" s="241">
        <f t="shared" si="34"/>
        <v>0.09011700716909388</v>
      </c>
      <c r="H185" s="242">
        <f t="shared" si="35"/>
        <v>0.9098829928309061</v>
      </c>
      <c r="I185" s="157"/>
    </row>
    <row r="186" spans="1:9" ht="15.75">
      <c r="A186" s="164"/>
      <c r="B186" s="165">
        <f>DATE(18,6,1)</f>
        <v>6727</v>
      </c>
      <c r="C186" s="226">
        <v>210907837.95</v>
      </c>
      <c r="D186" s="226">
        <v>19439911.36</v>
      </c>
      <c r="E186" s="226">
        <v>18208809.4</v>
      </c>
      <c r="F186" s="166">
        <f t="shared" si="33"/>
        <v>0.06761023925045868</v>
      </c>
      <c r="G186" s="241">
        <f t="shared" si="34"/>
        <v>0.09217254109166216</v>
      </c>
      <c r="H186" s="242">
        <f t="shared" si="35"/>
        <v>0.9078274589083378</v>
      </c>
      <c r="I186" s="157"/>
    </row>
    <row r="187" spans="1:9" ht="15.75" thickBot="1">
      <c r="A187" s="167"/>
      <c r="B187" s="168"/>
      <c r="C187" s="226"/>
      <c r="D187" s="226"/>
      <c r="E187" s="226"/>
      <c r="F187" s="166"/>
      <c r="G187" s="241"/>
      <c r="H187" s="242"/>
      <c r="I187" s="157"/>
    </row>
    <row r="188" spans="1:9" ht="17.25" thickBot="1" thickTop="1">
      <c r="A188" s="174" t="s">
        <v>14</v>
      </c>
      <c r="B188" s="175"/>
      <c r="C188" s="228">
        <f>SUM(C175:C187)</f>
        <v>2541383160.7899995</v>
      </c>
      <c r="D188" s="228">
        <f>SUM(D175:D187)</f>
        <v>226560883</v>
      </c>
      <c r="E188" s="228">
        <f>SUM(E175:E187)</f>
        <v>225419368.21</v>
      </c>
      <c r="F188" s="176">
        <f>(+D188-E188)/E188</f>
        <v>0.005063960559664775</v>
      </c>
      <c r="G188" s="245">
        <f>D188/C188</f>
        <v>0.08914865200002844</v>
      </c>
      <c r="H188" s="246">
        <f>1-G188</f>
        <v>0.9108513479999716</v>
      </c>
      <c r="I188" s="157"/>
    </row>
    <row r="189" spans="1:9" ht="15.75" thickTop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5.75">
      <c r="A190" s="164" t="s">
        <v>64</v>
      </c>
      <c r="B190" s="165">
        <f>DATE(17,7,1)</f>
        <v>6392</v>
      </c>
      <c r="C190" s="226">
        <v>26722604.05</v>
      </c>
      <c r="D190" s="226">
        <v>3031134.15</v>
      </c>
      <c r="E190" s="226">
        <v>3216307.57</v>
      </c>
      <c r="F190" s="166">
        <f aca="true" t="shared" si="36" ref="F190:F201">(+D190-E190)/E190</f>
        <v>-0.057573293588958574</v>
      </c>
      <c r="G190" s="241">
        <f aca="true" t="shared" si="37" ref="G190:G201">D190/C190</f>
        <v>0.11342959482273958</v>
      </c>
      <c r="H190" s="242">
        <f aca="true" t="shared" si="38" ref="H190:H201">1-G190</f>
        <v>0.8865704051772604</v>
      </c>
      <c r="I190" s="157"/>
    </row>
    <row r="191" spans="1:9" ht="15.75">
      <c r="A191" s="164"/>
      <c r="B191" s="165">
        <f>DATE(17,8,1)</f>
        <v>6423</v>
      </c>
      <c r="C191" s="226">
        <v>27214005.58</v>
      </c>
      <c r="D191" s="226">
        <v>3021204.93</v>
      </c>
      <c r="E191" s="226">
        <v>3011271.54</v>
      </c>
      <c r="F191" s="166">
        <f t="shared" si="36"/>
        <v>0.003298736054869409</v>
      </c>
      <c r="G191" s="241">
        <f t="shared" si="37"/>
        <v>0.11101654701725833</v>
      </c>
      <c r="H191" s="242">
        <f t="shared" si="38"/>
        <v>0.8889834529827416</v>
      </c>
      <c r="I191" s="157"/>
    </row>
    <row r="192" spans="1:9" ht="15.75">
      <c r="A192" s="164"/>
      <c r="B192" s="165">
        <f>DATE(17,9,1)</f>
        <v>6454</v>
      </c>
      <c r="C192" s="226">
        <v>29416618.56</v>
      </c>
      <c r="D192" s="226">
        <v>3254625.5</v>
      </c>
      <c r="E192" s="226">
        <v>2994225.71</v>
      </c>
      <c r="F192" s="166">
        <f t="shared" si="36"/>
        <v>0.08696732151164384</v>
      </c>
      <c r="G192" s="241">
        <f t="shared" si="37"/>
        <v>0.11063900812942384</v>
      </c>
      <c r="H192" s="242">
        <f t="shared" si="38"/>
        <v>0.8893609918705762</v>
      </c>
      <c r="I192" s="157"/>
    </row>
    <row r="193" spans="1:9" ht="15.75">
      <c r="A193" s="164"/>
      <c r="B193" s="165">
        <f>DATE(17,10,1)</f>
        <v>6484</v>
      </c>
      <c r="C193" s="226">
        <v>28240080.8</v>
      </c>
      <c r="D193" s="226">
        <v>3125463.3</v>
      </c>
      <c r="E193" s="226">
        <v>2995512.05</v>
      </c>
      <c r="F193" s="166">
        <f t="shared" si="36"/>
        <v>0.043381982055455265</v>
      </c>
      <c r="G193" s="241">
        <f t="shared" si="37"/>
        <v>0.11067472937258734</v>
      </c>
      <c r="H193" s="242">
        <f t="shared" si="38"/>
        <v>0.8893252706274126</v>
      </c>
      <c r="I193" s="157"/>
    </row>
    <row r="194" spans="1:9" ht="15.75">
      <c r="A194" s="164"/>
      <c r="B194" s="165">
        <f>DATE(17,11,1)</f>
        <v>6515</v>
      </c>
      <c r="C194" s="226">
        <v>28823289.36</v>
      </c>
      <c r="D194" s="226">
        <v>3210022.57</v>
      </c>
      <c r="E194" s="226">
        <v>2860580.01</v>
      </c>
      <c r="F194" s="166">
        <f t="shared" si="36"/>
        <v>0.12215793957114315</v>
      </c>
      <c r="G194" s="241">
        <f t="shared" si="37"/>
        <v>0.11136905749746807</v>
      </c>
      <c r="H194" s="242">
        <f t="shared" si="38"/>
        <v>0.8886309425025319</v>
      </c>
      <c r="I194" s="157"/>
    </row>
    <row r="195" spans="1:9" ht="15.75">
      <c r="A195" s="164"/>
      <c r="B195" s="165">
        <f>DATE(17,12,1)</f>
        <v>6545</v>
      </c>
      <c r="C195" s="226">
        <v>31139345.86</v>
      </c>
      <c r="D195" s="226">
        <v>3515871.15</v>
      </c>
      <c r="E195" s="226">
        <v>3126363.15</v>
      </c>
      <c r="F195" s="166">
        <f t="shared" si="36"/>
        <v>0.12458821362451128</v>
      </c>
      <c r="G195" s="241">
        <f t="shared" si="37"/>
        <v>0.11290767525455013</v>
      </c>
      <c r="H195" s="242">
        <f t="shared" si="38"/>
        <v>0.8870923247454499</v>
      </c>
      <c r="I195" s="157"/>
    </row>
    <row r="196" spans="1:9" ht="15.75">
      <c r="A196" s="164"/>
      <c r="B196" s="165">
        <f>DATE(18,1,1)</f>
        <v>6576</v>
      </c>
      <c r="C196" s="226">
        <v>27912991.36</v>
      </c>
      <c r="D196" s="226">
        <v>3085963.24</v>
      </c>
      <c r="E196" s="226">
        <v>2998319.34</v>
      </c>
      <c r="F196" s="166">
        <f t="shared" si="36"/>
        <v>0.02923100912926786</v>
      </c>
      <c r="G196" s="241">
        <f t="shared" si="37"/>
        <v>0.11055652187899363</v>
      </c>
      <c r="H196" s="242">
        <f t="shared" si="38"/>
        <v>0.8894434781210063</v>
      </c>
      <c r="I196" s="157"/>
    </row>
    <row r="197" spans="1:9" ht="15.75">
      <c r="A197" s="164"/>
      <c r="B197" s="165">
        <f>DATE(18,2,1)</f>
        <v>6607</v>
      </c>
      <c r="C197" s="226">
        <v>29229612.4</v>
      </c>
      <c r="D197" s="226">
        <v>3332057.19</v>
      </c>
      <c r="E197" s="226">
        <v>3249635.79</v>
      </c>
      <c r="F197" s="166">
        <f t="shared" si="36"/>
        <v>0.02536327309467499</v>
      </c>
      <c r="G197" s="241">
        <f t="shared" si="37"/>
        <v>0.11399594166359867</v>
      </c>
      <c r="H197" s="242">
        <f t="shared" si="38"/>
        <v>0.8860040583364013</v>
      </c>
      <c r="I197" s="157"/>
    </row>
    <row r="198" spans="1:9" ht="15.75">
      <c r="A198" s="164"/>
      <c r="B198" s="165">
        <f>DATE(18,3,1)</f>
        <v>6635</v>
      </c>
      <c r="C198" s="226">
        <v>37059131.01</v>
      </c>
      <c r="D198" s="226">
        <v>4151066.17</v>
      </c>
      <c r="E198" s="226">
        <v>3641719.4</v>
      </c>
      <c r="F198" s="166">
        <f t="shared" si="36"/>
        <v>0.13986436461853707</v>
      </c>
      <c r="G198" s="241">
        <f t="shared" si="37"/>
        <v>0.11201196727683335</v>
      </c>
      <c r="H198" s="242">
        <f t="shared" si="38"/>
        <v>0.8879880327231666</v>
      </c>
      <c r="I198" s="157"/>
    </row>
    <row r="199" spans="1:9" ht="15.75">
      <c r="A199" s="164"/>
      <c r="B199" s="165">
        <f>DATE(18,4,1)</f>
        <v>6666</v>
      </c>
      <c r="C199" s="226">
        <v>32520421.58</v>
      </c>
      <c r="D199" s="226">
        <v>3563936.22</v>
      </c>
      <c r="E199" s="226">
        <v>3246502.74</v>
      </c>
      <c r="F199" s="166">
        <f t="shared" si="36"/>
        <v>0.09777705593434982</v>
      </c>
      <c r="G199" s="241">
        <f t="shared" si="37"/>
        <v>0.10959071398360391</v>
      </c>
      <c r="H199" s="242">
        <f t="shared" si="38"/>
        <v>0.8904092860163961</v>
      </c>
      <c r="I199" s="157"/>
    </row>
    <row r="200" spans="1:9" ht="15.75">
      <c r="A200" s="164"/>
      <c r="B200" s="165">
        <f>DATE(18,5,1)</f>
        <v>6696</v>
      </c>
      <c r="C200" s="226">
        <v>31363598.36</v>
      </c>
      <c r="D200" s="226">
        <v>3456043.42</v>
      </c>
      <c r="E200" s="226">
        <v>3063738.83</v>
      </c>
      <c r="F200" s="166">
        <f t="shared" si="36"/>
        <v>0.12804766064214418</v>
      </c>
      <c r="G200" s="241">
        <f t="shared" si="37"/>
        <v>0.11019282227538384</v>
      </c>
      <c r="H200" s="242">
        <f t="shared" si="38"/>
        <v>0.8898071777246161</v>
      </c>
      <c r="I200" s="157"/>
    </row>
    <row r="201" spans="1:9" ht="15.75">
      <c r="A201" s="164"/>
      <c r="B201" s="165">
        <f>DATE(18,6,1)</f>
        <v>6727</v>
      </c>
      <c r="C201" s="226">
        <v>31286180.22</v>
      </c>
      <c r="D201" s="226">
        <v>3461689.08</v>
      </c>
      <c r="E201" s="226">
        <v>2999804.03</v>
      </c>
      <c r="F201" s="166">
        <f t="shared" si="36"/>
        <v>0.15397174128071303</v>
      </c>
      <c r="G201" s="241">
        <f t="shared" si="37"/>
        <v>0.1106459483279164</v>
      </c>
      <c r="H201" s="242">
        <f t="shared" si="38"/>
        <v>0.8893540516720836</v>
      </c>
      <c r="I201" s="157"/>
    </row>
    <row r="202" spans="1:9" ht="15.75" thickBot="1">
      <c r="A202" s="167"/>
      <c r="B202" s="168"/>
      <c r="C202" s="226"/>
      <c r="D202" s="226"/>
      <c r="E202" s="226"/>
      <c r="F202" s="166"/>
      <c r="G202" s="241"/>
      <c r="H202" s="242"/>
      <c r="I202" s="157"/>
    </row>
    <row r="203" spans="1:9" ht="17.25" thickBot="1" thickTop="1">
      <c r="A203" s="169" t="s">
        <v>14</v>
      </c>
      <c r="B203" s="155"/>
      <c r="C203" s="223">
        <f>SUM(C190:C202)</f>
        <v>360927879.14</v>
      </c>
      <c r="D203" s="223">
        <f>SUM(D190:D202)</f>
        <v>40209076.919999994</v>
      </c>
      <c r="E203" s="223">
        <f>SUM(E190:E202)</f>
        <v>37403980.16</v>
      </c>
      <c r="F203" s="176">
        <f>(+D203-E203)/E203</f>
        <v>0.07499460613551984</v>
      </c>
      <c r="G203" s="245">
        <f>D203/C203</f>
        <v>0.11140474106851506</v>
      </c>
      <c r="H203" s="246">
        <f>1-G203</f>
        <v>0.8885952589314849</v>
      </c>
      <c r="I203" s="157"/>
    </row>
    <row r="204" spans="1:9" ht="16.5" thickBot="1" thickTop="1">
      <c r="A204" s="171"/>
      <c r="B204" s="172"/>
      <c r="C204" s="227"/>
      <c r="D204" s="227"/>
      <c r="E204" s="227"/>
      <c r="F204" s="173"/>
      <c r="G204" s="243"/>
      <c r="H204" s="244"/>
      <c r="I204" s="157"/>
    </row>
    <row r="205" spans="1:9" ht="17.25" thickBot="1" thickTop="1">
      <c r="A205" s="184" t="s">
        <v>41</v>
      </c>
      <c r="B205" s="155"/>
      <c r="C205" s="223">
        <f>C203+C188+C143+C113+C83+C53+C23+C68+C173+C38+C128+C158+C98</f>
        <v>15566871581.569998</v>
      </c>
      <c r="D205" s="223">
        <f>D203+D188+D143+D113+D83+D53+D23+D68+D173+D38+D128+D158+D98</f>
        <v>1497872007.3199997</v>
      </c>
      <c r="E205" s="223">
        <f>E203+E188+E143+E113+E83+E53+E23+E68+E173+E38+E128+E158+E98</f>
        <v>1477996614.51</v>
      </c>
      <c r="F205" s="170">
        <f>(+D205-E205)/E205</f>
        <v>0.013447522555110175</v>
      </c>
      <c r="G205" s="236">
        <f>D205/C205</f>
        <v>0.09622177452105195</v>
      </c>
      <c r="H205" s="237">
        <f>1-G205</f>
        <v>0.903778225478948</v>
      </c>
      <c r="I205" s="157"/>
    </row>
    <row r="206" spans="1:9" ht="17.25" thickBot="1" thickTop="1">
      <c r="A206" s="184"/>
      <c r="B206" s="155"/>
      <c r="C206" s="223"/>
      <c r="D206" s="223"/>
      <c r="E206" s="223"/>
      <c r="F206" s="170"/>
      <c r="G206" s="236"/>
      <c r="H206" s="237"/>
      <c r="I206" s="157"/>
    </row>
    <row r="207" spans="1:9" ht="17.25" thickBot="1" thickTop="1">
      <c r="A207" s="184" t="s">
        <v>42</v>
      </c>
      <c r="B207" s="155"/>
      <c r="C207" s="223">
        <f>+C21+C36+C51+C66+C81+C96+C111+C126+C141+C156+C171+C186+C201</f>
        <v>1301823161.4900002</v>
      </c>
      <c r="D207" s="223">
        <f>+D21+D36+D51+D66+D81+D96+D111+D126+D141+D156+D171+D186+D201</f>
        <v>127522581.34</v>
      </c>
      <c r="E207" s="223">
        <f>+E21+E36+E51+E66+E81+E96+E111+E126+E141+E156+E171+E186+E201</f>
        <v>121272634.37</v>
      </c>
      <c r="F207" s="170">
        <f>(+D207-E207)/E207</f>
        <v>0.051536333835476476</v>
      </c>
      <c r="G207" s="236">
        <f>D207/C207</f>
        <v>0.09795691543392436</v>
      </c>
      <c r="H207" s="246">
        <f>1-G207</f>
        <v>0.9020430845660756</v>
      </c>
      <c r="I207" s="157"/>
    </row>
    <row r="208" spans="1:9" ht="16.5" thickTop="1">
      <c r="A208" s="185"/>
      <c r="B208" s="186"/>
      <c r="C208" s="231"/>
      <c r="D208" s="231"/>
      <c r="E208" s="231"/>
      <c r="F208" s="187"/>
      <c r="G208" s="250"/>
      <c r="H208" s="250"/>
      <c r="I208" s="151"/>
    </row>
    <row r="209" spans="1:9" ht="16.5" customHeight="1">
      <c r="A209" s="188" t="s">
        <v>52</v>
      </c>
      <c r="B209" s="189"/>
      <c r="C209" s="232"/>
      <c r="D209" s="232"/>
      <c r="E209" s="232"/>
      <c r="F209" s="190"/>
      <c r="G209" s="251"/>
      <c r="H209" s="251"/>
      <c r="I209" s="151"/>
    </row>
    <row r="210" spans="1:9" ht="15.75">
      <c r="A210" s="191"/>
      <c r="B210" s="189"/>
      <c r="C210" s="232"/>
      <c r="D210" s="232"/>
      <c r="E210" s="232"/>
      <c r="F210" s="190"/>
      <c r="G210" s="257"/>
      <c r="H210" s="257"/>
      <c r="I210" s="151"/>
    </row>
    <row r="211" spans="1:9" ht="15.75">
      <c r="A211" s="72"/>
      <c r="I211" s="151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2018-07-09T14:28:45Z</cp:lastPrinted>
  <dcterms:created xsi:type="dcterms:W3CDTF">2003-09-09T14:41:43Z</dcterms:created>
  <dcterms:modified xsi:type="dcterms:W3CDTF">2018-07-09T20:10:29Z</dcterms:modified>
  <cp:category/>
  <cp:version/>
  <cp:contentType/>
  <cp:contentStatus/>
</cp:coreProperties>
</file>